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SEFA'!$B$1:$M$48</definedName>
    <definedName name="_xlnm.Print_Area" localSheetId="28">' SEFA (2)'!$B$1:$M$47</definedName>
    <definedName name="_xlnm.Print_Area" localSheetId="29">' SEFA (3)'!$B$1:$M$47</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I16" i="184" l="1"/>
  <c r="F16" i="184"/>
  <c r="L15" i="184"/>
  <c r="L14" i="184"/>
  <c r="L13" i="184"/>
  <c r="L17" i="183"/>
  <c r="F20" i="183"/>
  <c r="L15" i="183"/>
  <c r="I27" i="184" l="1"/>
  <c r="F27" i="184"/>
  <c r="L26" i="184"/>
  <c r="L25" i="184"/>
  <c r="I20" i="184"/>
  <c r="F20" i="184"/>
  <c r="L19" i="184"/>
  <c r="L18" i="184"/>
  <c r="L27" i="183"/>
  <c r="L25" i="183"/>
  <c r="L22" i="183"/>
  <c r="J20" i="183"/>
  <c r="I20" i="183"/>
  <c r="L13" i="183"/>
  <c r="L28" i="179"/>
  <c r="L26" i="179"/>
  <c r="J24" i="179"/>
  <c r="I24" i="179"/>
  <c r="F24" i="179"/>
  <c r="L23" i="179"/>
  <c r="L22" i="179"/>
  <c r="J20" i="179"/>
  <c r="I20" i="179"/>
  <c r="F20" i="179"/>
  <c r="L19" i="179"/>
  <c r="L18" i="179"/>
  <c r="J16" i="179"/>
  <c r="I16" i="179"/>
  <c r="F16" i="179"/>
  <c r="L15" i="179"/>
  <c r="L14" i="179"/>
  <c r="B4" i="184"/>
  <c r="B4" i="183"/>
  <c r="J30" i="179" l="1"/>
  <c r="I30" i="179"/>
  <c r="I22" i="184" s="1"/>
  <c r="I29" i="184" s="1"/>
  <c r="F30" i="179"/>
  <c r="F22" i="184" s="1"/>
  <c r="F29" i="184" s="1"/>
  <c r="J88" i="28"/>
  <c r="H12" i="145"/>
  <c r="E9" i="108" l="1"/>
  <c r="D8" i="11" l="1"/>
  <c r="E8" i="11"/>
  <c r="L39"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E23" i="181"/>
  <c r="F23" i="181" s="1"/>
  <c r="G23" i="181" s="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B2" i="174"/>
  <c r="E34" i="173"/>
  <c r="A4" i="173"/>
  <c r="A2"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2" i="177"/>
  <c r="B1" i="183" l="1"/>
  <c r="B1" i="184"/>
  <c r="B2" i="179"/>
  <c r="B2" i="184"/>
  <c r="B2" i="18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K6" i="29"/>
  <c r="B7763" i="106" s="1"/>
  <c r="B7762" i="106"/>
  <c r="K12" i="12"/>
  <c r="K23" i="12"/>
  <c r="K24" i="12" s="1"/>
  <c r="B7733" i="106" s="1"/>
  <c r="D7733" i="106" s="1"/>
  <c r="J12" i="12"/>
  <c r="J21" i="12"/>
  <c r="J23" i="12" s="1"/>
  <c r="B7729" i="106"/>
  <c r="B7734" i="106"/>
  <c r="B7726" i="106"/>
  <c r="F162" i="34"/>
  <c r="B30" i="36"/>
  <c r="B33" i="36" s="1"/>
  <c r="B43" i="36" s="1"/>
  <c r="B56" i="36" s="1"/>
  <c r="B66" i="36" s="1"/>
  <c r="B70" i="36" s="1"/>
  <c r="B74" i="36" s="1"/>
  <c r="D73" i="36"/>
  <c r="C191" i="5"/>
  <c r="C201" i="5"/>
  <c r="C211" i="5"/>
  <c r="C216" i="5"/>
  <c r="C224" i="5"/>
  <c r="B5286" i="106" s="1"/>
  <c r="D5286" i="106" s="1"/>
  <c r="C228" i="5"/>
  <c r="C259" i="5"/>
  <c r="B7761" i="106"/>
  <c r="L127" i="29"/>
  <c r="L129" i="29" s="1"/>
  <c r="L139" i="29"/>
  <c r="L149" i="29"/>
  <c r="I7" i="145"/>
  <c r="I6" i="145"/>
  <c r="D78" i="36"/>
  <c r="K75" i="29"/>
  <c r="K130" i="29"/>
  <c r="K185" i="29"/>
  <c r="K122" i="29"/>
  <c r="F15" i="145" s="1"/>
  <c r="F19" i="145" s="1"/>
  <c r="K67" i="29"/>
  <c r="K64" i="29"/>
  <c r="D31" i="108" s="1"/>
  <c r="K59" i="29"/>
  <c r="B1126" i="106" s="1"/>
  <c r="D1126" i="106"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I33" i="8"/>
  <c r="J33" i="8" s="1"/>
  <c r="I34" i="8"/>
  <c r="I35" i="8"/>
  <c r="J35" i="8" s="1"/>
  <c r="I36" i="8"/>
  <c r="I37" i="8"/>
  <c r="J37" i="8" s="1"/>
  <c r="I38" i="8"/>
  <c r="I39" i="8"/>
  <c r="I40" i="8"/>
  <c r="I41" i="8"/>
  <c r="J41" i="8" s="1"/>
  <c r="I42" i="8"/>
  <c r="I43" i="8"/>
  <c r="J43" i="8" s="1"/>
  <c r="I44" i="8"/>
  <c r="I45" i="8"/>
  <c r="J45" i="8" s="1"/>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59" i="127"/>
  <c r="B60" i="127"/>
  <c r="D26" i="108"/>
  <c r="E27" i="108"/>
  <c r="G27" i="108"/>
  <c r="F36" i="108"/>
  <c r="F37" i="108"/>
  <c r="G28"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1744" i="106"/>
  <c r="D1744" i="106" s="1"/>
  <c r="B1745" i="106"/>
  <c r="D1745" i="106" s="1"/>
  <c r="D6" i="7"/>
  <c r="B1762" i="106" s="1"/>
  <c r="D1762" i="106" s="1"/>
  <c r="B1747" i="106"/>
  <c r="D1747" i="106" s="1"/>
  <c r="B1748" i="106"/>
  <c r="D1748" i="106" s="1"/>
  <c r="B1751" i="106"/>
  <c r="D1751" i="106" s="1"/>
  <c r="B1749" i="106"/>
  <c r="D1749" i="106" s="1"/>
  <c r="B1752" i="106"/>
  <c r="D1752" i="106" s="1"/>
  <c r="B1753" i="106"/>
  <c r="D1753" i="106" s="1"/>
  <c r="B3725" i="106"/>
  <c r="D3725" i="106" s="1"/>
  <c r="B1754" i="106"/>
  <c r="D1754" i="106" s="1"/>
  <c r="B1756" i="106"/>
  <c r="D1756" i="106" s="1"/>
  <c r="B3446" i="106"/>
  <c r="D3446" i="106" s="1"/>
  <c r="B4102" i="106"/>
  <c r="D4102" i="106" s="1"/>
  <c r="B4103" i="106"/>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6" i="34"/>
  <c r="F128" i="34"/>
  <c r="F111" i="34"/>
  <c r="B5847" i="106"/>
  <c r="D5847" i="106" s="1"/>
  <c r="B5752" i="106"/>
  <c r="D5752" i="106" s="1"/>
  <c r="B5599" i="106"/>
  <c r="D5599" i="106" s="1"/>
  <c r="K274" i="5"/>
  <c r="F106" i="34"/>
  <c r="D7" i="7"/>
  <c r="B1763" i="106" s="1"/>
  <c r="D1763" i="106" s="1"/>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B7041" i="106"/>
  <c r="D7041" i="106" s="1"/>
  <c r="H173" i="5"/>
  <c r="F127" i="34"/>
  <c r="F131" i="34"/>
  <c r="I274" i="5"/>
  <c r="K173" i="5"/>
  <c r="K6" i="4" s="1"/>
  <c r="B3570" i="106" s="1"/>
  <c r="D3570" i="106" s="1"/>
  <c r="F172" i="5"/>
  <c r="B5644" i="106" s="1"/>
  <c r="D5644" i="106" s="1"/>
  <c r="L342" i="29"/>
  <c r="L312" i="29"/>
  <c r="B7235" i="106"/>
  <c r="D7235" i="106" s="1"/>
  <c r="B3621" i="106"/>
  <c r="D3621" i="106" s="1"/>
  <c r="C367" i="29"/>
  <c r="B279" i="106"/>
  <c r="D279" i="106" s="1"/>
  <c r="M40" i="3"/>
  <c r="F130" i="34"/>
  <c r="D6103" i="106"/>
  <c r="K350" i="29"/>
  <c r="B3670" i="106" s="1"/>
  <c r="D3670" i="106" s="1"/>
  <c r="K76" i="4"/>
  <c r="B3586" i="106" s="1"/>
  <c r="D3586" i="106" s="1"/>
  <c r="G210" i="29"/>
  <c r="E174" i="29"/>
  <c r="B1309" i="106" s="1"/>
  <c r="D1309" i="106" s="1"/>
  <c r="F31" i="108"/>
  <c r="B7727" i="106"/>
  <c r="D7727" i="106" s="1"/>
  <c r="D11" i="37"/>
  <c r="H29" i="118"/>
  <c r="K28" i="118" s="1"/>
  <c r="O27" i="118" s="1"/>
  <c r="O29" i="118" s="1"/>
  <c r="L15" i="11"/>
  <c r="B3459" i="106" s="1"/>
  <c r="D3459" i="106" s="1"/>
  <c r="L13" i="11"/>
  <c r="B2060" i="106" s="1"/>
  <c r="D2060" i="106" s="1"/>
  <c r="K26" i="12"/>
  <c r="B7743" i="106" s="1"/>
  <c r="D7743" i="106" s="1"/>
  <c r="I26" i="12"/>
  <c r="B7741" i="106" s="1"/>
  <c r="D7741" i="106" s="1"/>
  <c r="D69" i="36"/>
  <c r="F19" i="7"/>
  <c r="B1807" i="106" s="1"/>
  <c r="D1807" i="106" s="1"/>
  <c r="C342" i="29"/>
  <c r="B7216" i="106" s="1"/>
  <c r="D7216" i="106" s="1"/>
  <c r="B1410" i="106"/>
  <c r="D1410" i="106" s="1"/>
  <c r="G109" i="5"/>
  <c r="B6024" i="106" s="1"/>
  <c r="D6024" i="106" s="1"/>
  <c r="E29" i="108"/>
  <c r="G29" i="108"/>
  <c r="K184" i="29"/>
  <c r="F13" i="4" s="1"/>
  <c r="B2596" i="106" s="1"/>
  <c r="D2596" i="106" s="1"/>
  <c r="B1329" i="106"/>
  <c r="D1329" i="106" s="1"/>
  <c r="F61" i="34"/>
  <c r="E109" i="5"/>
  <c r="E4" i="4" s="1"/>
  <c r="B2630" i="106" s="1"/>
  <c r="D2630" i="106" s="1"/>
  <c r="B3649" i="106"/>
  <c r="D3649" i="106" s="1"/>
  <c r="G367" i="29"/>
  <c r="B3647" i="106"/>
  <c r="D3647" i="106" s="1"/>
  <c r="K352" i="29"/>
  <c r="K13" i="4" s="1"/>
  <c r="B3572" i="106" s="1"/>
  <c r="D3572" i="106" s="1"/>
  <c r="H109" i="5"/>
  <c r="B6025" i="106" s="1"/>
  <c r="D6025" i="106" s="1"/>
  <c r="H4" i="4"/>
  <c r="B2655" i="106" s="1"/>
  <c r="D2655" i="106" s="1"/>
  <c r="C129" i="29"/>
  <c r="G26" i="108"/>
  <c r="E26" i="108"/>
  <c r="B1274" i="106"/>
  <c r="D1274" i="106" s="1"/>
  <c r="D109" i="5"/>
  <c r="B5356" i="106" s="1"/>
  <c r="D5356" i="106" s="1"/>
  <c r="D4" i="4"/>
  <c r="B2564" i="106" s="1"/>
  <c r="D2564" i="106" s="1"/>
  <c r="G30" i="108"/>
  <c r="E30" i="108"/>
  <c r="F28" i="108"/>
  <c r="E28" i="108"/>
  <c r="F27" i="108"/>
  <c r="E15" i="145"/>
  <c r="G15" i="145" s="1"/>
  <c r="F26" i="108"/>
  <c r="B2724" i="106"/>
  <c r="D2724" i="106" s="1"/>
  <c r="B5260" i="106"/>
  <c r="D5260" i="106" s="1"/>
  <c r="C172" i="5"/>
  <c r="B5096" i="106"/>
  <c r="D5096" i="106" s="1"/>
  <c r="C109" i="5"/>
  <c r="B5121" i="106" s="1"/>
  <c r="D5121"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H275" i="5"/>
  <c r="B5914" i="106"/>
  <c r="D5914" i="106" s="1"/>
  <c r="J7" i="4"/>
  <c r="B2657" i="106"/>
  <c r="D2657" i="106" s="1"/>
  <c r="D274" i="5"/>
  <c r="B7270" i="106"/>
  <c r="B1365" i="106" l="1"/>
  <c r="D1365" i="106" s="1"/>
  <c r="F65" i="34"/>
  <c r="H367" i="29"/>
  <c r="B3660" i="106" s="1"/>
  <c r="D3660" i="106" s="1"/>
  <c r="B280" i="106"/>
  <c r="D280" i="106" s="1"/>
  <c r="M41" i="3"/>
  <c r="B5906" i="106"/>
  <c r="D5906" i="106" s="1"/>
  <c r="H6" i="4"/>
  <c r="F274" i="5"/>
  <c r="F275" i="5" s="1"/>
  <c r="B5720" i="106" s="1"/>
  <c r="D5720" i="106" s="1"/>
  <c r="L16" i="11"/>
  <c r="B2061" i="106" s="1"/>
  <c r="D2061" i="106" s="1"/>
  <c r="K342" i="29"/>
  <c r="F13" i="34" s="1"/>
  <c r="G4" i="4"/>
  <c r="B2603" i="106" s="1"/>
  <c r="D2603" i="106" s="1"/>
  <c r="D19" i="7"/>
  <c r="B1775" i="106" s="1"/>
  <c r="D1775" i="106" s="1"/>
  <c r="B1381" i="106"/>
  <c r="D1381" i="106" s="1"/>
  <c r="F6" i="4"/>
  <c r="B2593" i="106" s="1"/>
  <c r="D2593" i="106" s="1"/>
  <c r="B1317" i="106"/>
  <c r="D1317" i="106" s="1"/>
  <c r="L114" i="29"/>
  <c r="B3672" i="106"/>
  <c r="D3672" i="106" s="1"/>
  <c r="H151" i="29"/>
  <c r="B1273" i="106" s="1"/>
  <c r="D1273" i="106" s="1"/>
  <c r="F41" i="108"/>
  <c r="G43" i="108" s="1"/>
  <c r="C114" i="29"/>
  <c r="B757" i="106" s="1"/>
  <c r="D757" i="106" s="1"/>
  <c r="B5214" i="106"/>
  <c r="D5214" i="106" s="1"/>
  <c r="C173" i="5"/>
  <c r="C4" i="4"/>
  <c r="B2551" i="106" s="1"/>
  <c r="D2551"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6222" i="106"/>
  <c r="D6222" i="106" s="1"/>
  <c r="D7" i="4"/>
  <c r="D275" i="5"/>
  <c r="B5507" i="106"/>
  <c r="D5507" i="106" s="1"/>
  <c r="B7298" i="106"/>
  <c r="B7299" i="106"/>
  <c r="B2656" i="106" l="1"/>
  <c r="D2656" i="106" s="1"/>
  <c r="H8" i="4"/>
  <c r="B281" i="106"/>
  <c r="D281" i="106" s="1"/>
  <c r="D54" i="36"/>
  <c r="J8" i="4"/>
  <c r="J20" i="4" s="1"/>
  <c r="B1145" i="106"/>
  <c r="D1145" i="106" s="1"/>
  <c r="E41" i="108"/>
  <c r="E44" i="108" s="1"/>
  <c r="E45" i="108" s="1"/>
  <c r="G41" i="108"/>
  <c r="G44" i="108" s="1"/>
  <c r="G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D8" i="4"/>
  <c r="B2567" i="106"/>
  <c r="D2567" i="106" s="1"/>
  <c r="F76" i="34" l="1"/>
  <c r="B2658" i="106"/>
  <c r="D2658" i="106" s="1"/>
  <c r="H10" i="4"/>
  <c r="B4127" i="106" s="1"/>
  <c r="D4127" i="106" s="1"/>
  <c r="J10" i="4"/>
  <c r="B6225" i="106" s="1"/>
  <c r="D622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c r="B2574" i="106"/>
  <c r="D2574" i="106" s="1"/>
  <c r="F8" i="146"/>
  <c r="F179" i="34" l="1"/>
  <c r="F79" i="34"/>
  <c r="B6215" i="106"/>
  <c r="D6215" i="106" s="1"/>
  <c r="J41" i="3"/>
  <c r="B3588" i="106"/>
  <c r="D3588" i="106" s="1"/>
  <c r="K81" i="4"/>
  <c r="K39" i="3" s="1"/>
  <c r="F78" i="4"/>
  <c r="B2601" i="106"/>
  <c r="D2601" i="106" s="1"/>
  <c r="B3320" i="106"/>
  <c r="D3320" i="106" s="1"/>
  <c r="I81" i="4"/>
  <c r="I39" i="3" s="1"/>
  <c r="K17" i="118"/>
  <c r="B3300" i="106"/>
  <c r="D3300" i="106" s="1"/>
  <c r="H81" i="4"/>
  <c r="H39" i="3" s="1"/>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3567" i="106" l="1"/>
  <c r="D3567" i="106" s="1"/>
  <c r="K41" i="3"/>
  <c r="B6216" i="106"/>
  <c r="D6216" i="106" s="1"/>
  <c r="D51" i="36"/>
  <c r="B2912" i="106"/>
  <c r="D2912" i="106" s="1"/>
  <c r="I41" i="3"/>
  <c r="B212" i="106"/>
  <c r="D212" i="106" s="1"/>
  <c r="H41" i="3"/>
  <c r="B123" i="106"/>
  <c r="D123" i="106" s="1"/>
  <c r="D41" i="3"/>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3568" i="106" l="1"/>
  <c r="D3568" i="106" s="1"/>
  <c r="D52" i="36"/>
  <c r="B2913" i="106"/>
  <c r="D2913" i="106" s="1"/>
  <c r="D50" i="36"/>
  <c r="B213" i="106"/>
  <c r="D213" i="106" s="1"/>
  <c r="D49" i="36"/>
  <c r="B189" i="106"/>
  <c r="D189" i="106" s="1"/>
  <c r="G41" i="3"/>
  <c r="B170" i="106"/>
  <c r="D170" i="106" s="1"/>
  <c r="F41" i="3"/>
  <c r="B140" i="106"/>
  <c r="D140" i="106" s="1"/>
  <c r="E41" i="3"/>
  <c r="D45" i="36"/>
  <c r="B124" i="106"/>
  <c r="D124" i="106" s="1"/>
  <c r="B92" i="106"/>
  <c r="D92" i="106" s="1"/>
  <c r="D76" i="36"/>
  <c r="C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B171" i="106"/>
  <c r="D171" i="106" s="1"/>
  <c r="D47" i="36"/>
  <c r="B141" i="106"/>
  <c r="D141" i="106" s="1"/>
  <c r="D46"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<sst xmlns="http://schemas.openxmlformats.org/spreadsheetml/2006/main" count="5272" uniqueCount="2201">
  <si>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</si>
  <si>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</si>
  <si>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</si>
  <si>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</si>
  <si>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</si>
  <si>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</si>
  <si>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</si>
  <si>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</si>
  <si>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</si>
  <si>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</si>
  <si>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</si>
  <si>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</si>
  <si>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</si>
  <si>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</si>
  <si>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</si>
  <si>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</si>
  <si>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</si>
  <si>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</si>
  <si>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</si>
  <si>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</si>
  <si>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</si>
  <si>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</si>
  <si>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</si>
  <si>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</si>
  <si>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</si>
  <si>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</si>
  <si>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</si>
  <si>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</si>
  <si>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</si>
  <si>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</si>
  <si>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</si>
  <si>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</si>
  <si>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</si>
  <si>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</si>
  <si>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</si>
  <si>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</si>
  <si>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</si>
  <si>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</si>
  <si>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</si>
  <si>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</si>
  <si>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</si>
  <si>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</si>
  <si>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</si>
  <si>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</si>
  <si>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</si>
  <si>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</si>
  <si>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</si>
  <si>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</si>
  <si>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</si>
  <si>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</si>
  <si>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</si>
  <si>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</si>
  <si>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</si>
  <si>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</si>
  <si>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</si>
  <si>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</si>
  <si>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</si>
  <si>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</si>
  <si>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</si>
  <si>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</si>
  <si>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</si>
  <si>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</si>
  <si>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</si>
  <si>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</si>
  <si>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</si>
  <si>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</si>
  <si>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</si>
  <si>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</si>
  <si>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</si>
  <si>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</si>
  <si>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</si>
  <si>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</si>
  <si>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</si>
  <si>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</si>
  <si>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</si>
  <si>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</si>
  <si>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</si>
  <si>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</si>
  <si>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</si>
  <si>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</si>
  <si>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</si>
  <si>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</si>
  <si>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</si>
  <si>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</si>
  <si>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</si>
  <si>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</si>
  <si>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</si>
  <si>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</si>
  <si>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</si>
  <si>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</si>
  <si>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</si>
  <si>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</si>
  <si>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</si>
  <si>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</si>
  <si>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</si>
  <si>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</si>
  <si>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</si>
  <si>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</si>
  <si>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</si>
  <si>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</si>
  <si>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</si>
  <si>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</si>
  <si>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</si>
  <si>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</si>
  <si>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</si>
  <si>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</si>
  <si>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</si>
  <si>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</si>
  <si>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</si>
  <si>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</si>
  <si>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</si>
  <si>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</si>
  <si>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</si>
  <si>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</si>
  <si>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</si>
  <si>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</si>
  <si>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</si>
  <si>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</si>
  <si>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</si>
  <si>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</si>
  <si>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</si>
  <si>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</si>
  <si>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</si>
  <si>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</si>
  <si>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</si>
  <si>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</si>
  <si>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</si>
  <si>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</si>
  <si>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</si>
  <si>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</si>
  <si>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</si>
  <si>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</si>
  <si>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</si>
  <si>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</si>
  <si>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</si>
  <si>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</si>
  <si>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</si>
  <si>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</si>
  <si>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</si>
  <si>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</si>
  <si>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</si>
  <si>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</si>
  <si>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</si>
  <si>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</si>
  <si>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</si>
  <si>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</si>
  <si>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</si>
  <si>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</si>
  <si>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</si>
  <si>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</si>
  <si>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</si>
  <si>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</si>
  <si>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</si>
  <si>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</si>
  <si>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</si>
  <si>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</si>
  <si>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</si>
  <si>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</si>
  <si>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</si>
  <si>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</si>
  <si>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</si>
  <si>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</si>
  <si>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</si>
  <si>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</si>
  <si>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</si>
  <si>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</si>
  <si>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</si>
  <si>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</si>
  <si>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</si>
  <si>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</si>
  <si>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</si>
  <si>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</si>
  <si>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</si>
  <si>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</si>
  <si>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</si>
  <si>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</si>
  <si>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</si>
  <si>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</si>
  <si>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</si>
  <si>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</si>
  <si>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</si>
  <si>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</si>
  <si>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</si>
  <si>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</si>
  <si>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</si>
  <si>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</si>
  <si>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</si>
  <si>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</si>
  <si>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</si>
  <si>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</si>
  <si>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</si>
  <si>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</si>
  <si>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</si>
  <si>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</si>
  <si>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</si>
  <si>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</si>
  <si>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</si>
  <si>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</si>
  <si>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</si>
  <si>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</si>
  <si>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</si>
  <si>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</si>
  <si>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</si>
  <si>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</si>
  <si>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</si>
  <si>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</si>
  <si>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</si>
  <si>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</si>
  <si>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</si>
  <si>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</si>
  <si>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</si>
  <si>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</si>
  <si>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</si>
  <si>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</si>
  <si>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</si>
  <si>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</si>
  <si>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</si>
  <si>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</si>
  <si>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</si>
  <si>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</si>
  <si>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</si>
  <si>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</si>
  <si>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</si>
  <si>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</si>
  <si>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</si>
  <si>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</si>
  <si>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</si>
  <si>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</si>
  <si>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</si>
  <si>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</si>
  <si>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</si>
  <si>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</si>
  <si>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</si>
  <si>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</si>
  <si>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</si>
  <si>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</si>
  <si>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</si>
  <si>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</si>
  <si>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</si>
  <si>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</si>
  <si>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</si>
  <si>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</si>
  <si>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</si>
  <si>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</si>
  <si>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</si>
  <si>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</si>
  <si>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</si>
  <si>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</si>
  <si>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</si>
  <si>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</si>
  <si>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</si>
  <si>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</si>
  <si>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</si>
  <si>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</si>
  <si>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</si>
  <si>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</si>
  <si>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</si>
  <si>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</si>
  <si>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</si>
  <si>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</si>
  <si>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</si>
  <si>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</si>
  <si>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</si>
  <si>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</si>
  <si>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</si>
  <si>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</si>
  <si>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</si>
  <si>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</si>
  <si>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</si>
  <si>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</si>
  <si>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</si>
  <si>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</si>
  <si>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</si>
  <si>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</si>
  <si>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</si>
  <si>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</si>
  <si>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</si>
  <si>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</si>
  <si>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</si>
  <si>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</si>
  <si>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</si>
  <si>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</si>
  <si>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</si>
  <si>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</si>
  <si>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</si>
  <si>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</si>
  <si>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</si>
  <si>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</si>
  <si>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</si>
  <si>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</si>
  <si>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</si>
  <si>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</si>
  <si>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</si>
  <si>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</si>
  <si>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</si>
  <si>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</si>
  <si>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</si>
  <si>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</si>
  <si>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</si>
  <si>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</si>
  <si>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</si>
  <si>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</si>
  <si>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</si>
  <si>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</si>
  <si>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</si>
  <si>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</si>
  <si>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</si>
  <si>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</si>
  <si>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</si>
  <si>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</si>
  <si>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</si>
  <si>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</si>
  <si>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</si>
  <si>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</si>
  <si>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</si>
  <si>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</si>
  <si>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</si>
  <si>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</si>
  <si>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</si>
  <si>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</si>
  <si>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</si>
  <si>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</si>
  <si>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</si>
  <si>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</si>
  <si>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</si>
  <si>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</si>
  <si>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</si>
  <si>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</si>
  <si>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</si>
  <si>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</si>
  <si>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</si>
  <si>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</si>
  <si>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</si>
  <si>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</si>
  <si>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</si>
  <si>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</si>
  <si>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</si>
  <si>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</si>
  <si>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</si>
  <si>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</si>
  <si>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</si>
  <si>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</si>
  <si>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</si>
  <si>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</si>
  <si>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</si>
  <si>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</si>
  <si>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</si>
  <si>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</si>
  <si>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</si>
  <si>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</si>
  <si>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</si>
  <si>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</si>
  <si>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</si>
  <si>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</si>
  <si>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</si>
  <si>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</si>
  <si>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</si>
  <si>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</si>
  <si>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</si>
  <si>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</si>
  <si>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</si>
  <si>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</si>
  <si>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</si>
  <si>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</si>
  <si>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</si>
  <si>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</si>
  <si>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</si>
  <si>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</si>
  <si>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</si>
  <si>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</si>
  <si>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</si>
  <si>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</si>
  <si>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</si>
  <si>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</si>
  <si>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</si>
  <si>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</si>
  <si>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</si>
  <si>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</si>
  <si>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</si>
  <si>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</si>
  <si>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</si>
  <si>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</si>
  <si>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</si>
  <si>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</si>
  <si>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</si>
  <si>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</si>
  <si>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</si>
  <si>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</si>
  <si>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</si>
  <si>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</si>
  <si>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</si>
  <si>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</si>
  <si>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</si>
  <si>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</si>
  <si>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</si>
  <si>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</si>
  <si>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</si>
  <si>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</si>
  <si>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</si>
  <si>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</si>
  <si>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</si>
  <si>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</si>
  <si>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</si>
  <si>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</si>
  <si>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</si>
  <si>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</si>
  <si>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</si>
  <si>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</si>
  <si>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</si>
  <si>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</si>
  <si>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</si>
  <si>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</si>
  <si>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</si>
  <si>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</si>
  <si>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</si>
  <si>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</si>
  <si>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</si>
  <si>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</si>
  <si>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</si>
  <si>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</si>
  <si>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</si>
  <si>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</si>
  <si>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</si>
  <si>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</si>
  <si>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</si>
  <si>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</si>
  <si>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</si>
  <si>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</si>
  <si>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</si>
  <si>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</si>
  <si>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</si>
  <si>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</si>
  <si>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</si>
  <si>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</si>
  <si>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</si>
  <si>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</si>
  <si>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</si>
  <si>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</si>
  <si>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</si>
  <si>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</si>
  <si>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</si>
  <si>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</si>
  <si>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</si>
  <si>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</si>
  <si>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</si>
  <si>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</si>
  <si>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</si>
  <si>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</si>
  <si>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</si>
  <si>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</si>
  <si>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</si>
  <si>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</si>
  <si>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</si>
  <si>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</si>
  <si>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</si>
  <si>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</si>
  <si>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</si>
  <si>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</si>
  <si>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</si>
  <si>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</si>
  <si>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</si>
  <si>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</si>
  <si>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</si>
  <si>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</si>
  <si>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</si>
  <si>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</si>
  <si>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</si>
  <si>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</si>
  <si>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</si>
  <si>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</si>
  <si>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</si>
  <si>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</si>
  <si>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</si>
  <si>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</si>
  <si>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</si>
  <si>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</si>
  <si>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</si>
  <si>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</si>
  <si>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</si>
  <si>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</si>
  <si>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</si>
  <si>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</si>
  <si>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</si>
  <si>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</si>
  <si>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</si>
  <si>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</si>
  <si>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</si>
  <si>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</si>
  <si>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</si>
  <si>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</si>
  <si>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</si>
  <si>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</si>
  <si>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</si>
  <si>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</si>
  <si>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</si>
  <si>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</si>
  <si>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</si>
  <si>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</si>
  <si>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</si>
  <si>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</si>
  <si>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</si>
  <si>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</si>
  <si>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</si>
  <si>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</si>
  <si>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</si>
  <si>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</si>
  <si>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</si>
  <si>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</si>
  <si>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</si>
  <si>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</si>
  <si>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</si>
  <si>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</si>
  <si>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</si>
  <si>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</si>
  <si>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</si>
  <si>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</si>
  <si>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</si>
  <si>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</si>
  <si>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</si>
  <si>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</si>
  <si>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</si>
  <si>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</si>
  <si>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</si>
  <si>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</si>
  <si>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</si>
  <si>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</si>
  <si>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</si>
  <si>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</si>
  <si>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</si>
  <si>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</si>
  <si>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</si>
  <si>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</si>
  <si>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</si>
  <si>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</si>
  <si>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</si>
  <si>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</si>
  <si>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</si>
  <si>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</si>
  <si>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</si>
  <si>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</si>
  <si>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</si>
  <si>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</si>
  <si>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</si>
  <si>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</si>
  <si>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</si>
  <si>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</si>
  <si>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</si>
  <si>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</si>
  <si>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</si>
  <si>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</si>
  <si>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</si>
  <si>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</si>
  <si>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</si>
  <si>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</si>
  <si>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</si>
  <si>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</si>
  <si>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</si>
  <si>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</si>
  <si>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</si>
  <si>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</si>
  <si>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</si>
  <si>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</si>
  <si>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</si>
  <si>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</si>
  <si>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</si>
  <si>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</si>
  <si>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</si>
  <si>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</si>
  <si>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</si>
  <si>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</si>
  <si>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</si>
  <si>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</si>
  <si>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</si>
  <si>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</si>
  <si>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</si>
  <si>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</si>
  <si>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</si>
  <si>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</si>
  <si>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</si>
  <si>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</si>
  <si>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</si>
  <si>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</si>
  <si>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</si>
  <si>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</si>
  <si>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</si>
  <si>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</si>
  <si>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</si>
  <si>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</si>
  <si>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</si>
  <si>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</si>
  <si>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</si>
  <si>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</si>
  <si>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</si>
  <si>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</si>
  <si>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</si>
  <si>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</si>
  <si>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</si>
  <si>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</si>
  <si>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</si>
  <si>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</si>
  <si>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</si>
  <si>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</si>
  <si>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</si>
  <si>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</si>
  <si>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</si>
  <si>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</si>
  <si>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</si>
  <si>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</si>
  <si>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</si>
  <si>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</si>
  <si>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</si>
  <si>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</si>
  <si>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</si>
  <si>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</si>
  <si>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</si>
  <si>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</si>
  <si>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</si>
  <si>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</si>
  <si>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</si>
  <si>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</si>
  <si>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</si>
  <si>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</si>
  <si>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</si>
  <si>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</si>
  <si>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</si>
  <si>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</si>
  <si>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</si>
  <si>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</si>
  <si>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</si>
  <si>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</si>
  <si>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</si>
  <si>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</si>
  <si>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</si>
  <si>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</si>
  <si>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</si>
  <si>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</si>
  <si>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</si>
  <si>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</si>
  <si>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</si>
  <si>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</si>
  <si>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</si>
  <si>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</si>
  <si>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</si>
  <si>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</si>
  <si>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</si>
  <si>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</si>
  <si>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</si>
  <si>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</si>
  <si>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</si>
  <si>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</si>
  <si>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</si>
  <si>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</si>
  <si>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</si>
  <si>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</si>
  <si>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</si>
  <si>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</si>
  <si>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</si>
  <si>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</si>
  <si>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</si>
  <si>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</si>
  <si>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</si>
  <si>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</si>
  <si>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</si>
  <si>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</si>
  <si>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</si>
  <si>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</si>
  <si>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</si>
  <si>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</si>
  <si>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</si>
  <si>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</si>
  <si>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</si>
  <si>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</si>
  <si>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</si>
  <si>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</si>
  <si>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</si>
  <si>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</si>
  <si>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</si>
  <si>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</si>
  <si>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</si>
  <si>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</si>
  <si>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</si>
  <si>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</si>
  <si>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</si>
  <si>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</si>
  <si>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</si>
  <si>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</si>
  <si>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</si>
  <si>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</si>
  <si>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</si>
  <si>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</si>
  <si>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</si>
  <si>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</si>
  <si>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</si>
  <si>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</si>
  <si>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</si>
  <si>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</si>
  <si>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</si>
  <si>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</si>
  <si>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</si>
  <si>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</si>
  <si>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</si>
  <si>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</si>
  <si>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</si>
  <si>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</si>
  <si>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</si>
  <si>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</si>
  <si>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</si>
  <si>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</si>
  <si>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</si>
  <si>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</si>
  <si>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</si>
  <si>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</si>
  <si>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</si>
  <si>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</si>
  <si>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</si>
  <si>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</si>
  <si>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</si>
  <si>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</si>
  <si>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</si>
  <si>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</si>
  <si>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</si>
  <si>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</si>
  <si>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</si>
  <si>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</si>
  <si>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</si>
  <si>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</si>
  <si>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</si>
  <si>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</si>
  <si>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</si>
  <si>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</si>
  <si>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</si>
  <si>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</si>
  <si>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</si>
  <si>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</si>
  <si>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</si>
  <si>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</si>
  <si>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</si>
  <si>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</si>
  <si>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</si>
  <si>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</si>
  <si>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</si>
  <si>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</si>
  <si>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</si>
  <si>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</si>
  <si>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</si>
  <si>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</si>
  <si>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</si>
  <si>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</si>
  <si>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</si>
  <si>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</si>
  <si>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</si>
  <si>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</si>
  <si>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</si>
  <si>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</si>
  <si>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</si>
  <si>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</si>
  <si>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</si>
  <si>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</si>
  <si>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</si>
  <si>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</si>
  <si>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</si>
  <si>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</si>
  <si>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</si>
  <si>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</si>
  <si>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</si>
  <si>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</si>
  <si>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</si>
  <si>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</si>
  <si>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</si>
  <si>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</si>
  <si>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</si>
  <si>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</si>
  <si>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</si>
  <si>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</si>
  <si>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</si>
  <si>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</si>
  <si>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</si>
  <si>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</si>
  <si>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</si>
  <si>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</si>
  <si>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</si>
  <si>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</si>
  <si>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</si>
  <si>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</si>
  <si>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</si>
  <si>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</si>
  <si>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</si>
  <si>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</si>
  <si>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</si>
  <si>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</si>
  <si>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</si>
  <si>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</si>
  <si>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</si>
  <si>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</si>
  <si>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</si>
  <si>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</si>
  <si>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</si>
  <si>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</si>
  <si>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</si>
  <si>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</si>
  <si>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</si>
  <si>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</si>
  <si>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</si>
  <si>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</si>
  <si>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</si>
  <si>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</si>
  <si>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</si>
  <si>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</si>
  <si>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</si>
  <si>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</si>
  <si>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</si>
  <si>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</si>
  <si>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</si>
  <si>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</si>
  <si>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</si>
  <si>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</si>
  <si>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</si>
  <si>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</si>
  <si>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</si>
  <si>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</si>
  <si>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</si>
  <si>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</si>
  <si>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</si>
  <si>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</si>
  <si>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</si>
  <si>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</si>
  <si>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</si>
  <si>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</si>
  <si>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</si>
  <si>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</si>
  <si>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</si>
  <si>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</si>
  <si>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</si>
  <si>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</si>
  <si>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</si>
  <si>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</si>
  <si>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</si>
  <si>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</si>
  <si>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</si>
  <si>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</si>
  <si>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</si>
  <si>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</si>
  <si>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</si>
  <si>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</si>
  <si>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</si>
  <si>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</si>
  <si>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</si>
  <si>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</si>
  <si>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</si>
  <si>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</si>
  <si>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</si>
  <si>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</si>
  <si>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</si>
  <si>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</si>
  <si>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</si>
  <si>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</si>
  <si>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</si>
  <si>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</si>
  <si>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</si>
  <si>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</si>
  <si>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</si>
  <si>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</si>
  <si>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</si>
  <si>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</si>
  <si>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</si>
  <si>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</si>
  <si>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</si>
  <si>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</si>
  <si>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</si>
  <si>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</si>
  <si>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</si>
  <si>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</si>
  <si>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</si>
  <si>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</si>
  <si>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</si>
  <si>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</si>
  <si>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</si>
  <si>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</si>
  <si>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</si>
  <si>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</si>
  <si>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</si>
  <si>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</si>
  <si>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</si>
  <si>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</si>
  <si>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</si>
  <si>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</si>
  <si>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</si>
  <si>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</si>
  <si>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</si>
  <si>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</si>
  <si>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</si>
  <si>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</si>
  <si>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</si>
  <si>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</si>
  <si>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</si>
  <si>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</si>
  <si>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</si>
  <si>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</si>
  <si>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</si>
  <si>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</si>
  <si>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</si>
  <si>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</si>
  <si>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</si>
  <si>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</si>
  <si>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</si>
  <si>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</si>
  <si>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</si>
  <si>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</si>
  <si>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</si>
  <si>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</si>
  <si>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</si>
  <si>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</si>
  <si>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</si>
  <si>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</si>
  <si>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</si>
  <si>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</si>
  <si>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</si>
  <si>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</si>
  <si>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</si>
  <si>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</si>
  <si>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</si>
  <si>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</si>
  <si>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</si>
  <si>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</si>
  <si>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</si>
  <si>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</si>
  <si>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</si>
  <si>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</si>
  <si>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</si>
  <si>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</si>
  <si>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</si>
  <si>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</si>
  <si>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</si>
  <si>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</si>
  <si>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</si>
  <si>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</si>
  <si>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</si>
  <si>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</si>
  <si>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</si>
  <si>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</si>
  <si>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</si>
  <si>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</si>
  <si>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</si>
  <si>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</si>
  <si>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</si>
  <si>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</si>
  <si>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</si>
  <si>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</si>
  <si>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</si>
  <si>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</si>
  <si>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</si>
  <si>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</si>
  <si>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</si>
  <si>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</si>
  <si>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</si>
  <si>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</si>
  <si>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</si>
  <si>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</si>
  <si>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</si>
  <si>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</si>
  <si>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</si>
  <si>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</si>
  <si>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</si>
  <si>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</si>
  <si>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</si>
  <si>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</si>
  <si>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</si>
  <si>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</si>
  <si>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</si>
  <si>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</si>
  <si>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</si>
  <si>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</si>
  <si>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</si>
  <si>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</si>
  <si>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</si>
  <si>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</si>
  <si>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</si>
  <si>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</si>
  <si>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</si>
  <si>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</si>
  <si>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</si>
  <si>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</si>
  <si>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</si>
  <si>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</si>
  <si>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</si>
  <si>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</si>
  <si>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</si>
  <si>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</si>
  <si>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</si>
  <si>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</si>
  <si>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</si>
  <si>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</si>
  <si>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</si>
  <si>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</si>
  <si>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</si>
  <si>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</si>
  <si>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</si>
  <si>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</si>
  <si>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</si>
  <si>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</si>
  <si>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</si>
  <si>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</si>
  <si>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</si>
  <si>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</si>
  <si>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</si>
  <si>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</si>
  <si>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</si>
  <si>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</si>
  <si>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</si>
  <si>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</si>
  <si>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</si>
  <si>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</si>
  <si>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</si>
  <si>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</si>
  <si>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</si>
  <si>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</si>
  <si>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</si>
  <si>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</si>
  <si>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</si>
  <si>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</si>
  <si>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</si>
  <si>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</si>
  <si>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</si>
  <si>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</si>
  <si>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</si>
  <si>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</si>
  <si>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</si>
  <si>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</si>
  <si>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</si>
  <si>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</si>
  <si>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</si>
  <si>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</si>
  <si>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</si>
  <si>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</si>
  <si>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</si>
  <si>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</si>
  <si>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</si>
  <si>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</si>
  <si>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</si>
  <si>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</si>
  <si>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</si>
  <si>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</si>
  <si>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</si>
  <si>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</si>
  <si>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</si>
  <si>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</si>
  <si>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</si>
  <si>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</si>
  <si>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</si>
  <si>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</si>
  <si>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</si>
  <si>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</si>
  <si>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</si>
  <si>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</si>
  <si>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</si>
  <si>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</si>
  <si>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</si>
  <si>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</si>
  <si>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</si>
  <si>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</si>
  <si>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</si>
  <si>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</si>
  <si>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</si>
  <si>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</si>
  <si>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</si>
  <si>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</si>
  <si>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</si>
  <si>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</si>
  <si>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</si>
  <si>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</si>
  <si>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</si>
  <si>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</si>
  <si>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</si>
  <si>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</si>
  <si>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</si>
  <si>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</si>
  <si>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</si>
  <si>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</si>
  <si>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</si>
  <si>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</si>
  <si>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</si>
  <si>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</si>
  <si>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</si>
  <si>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</si>
  <si>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</si>
  <si>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</si>
  <si>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</si>
  <si>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</si>
  <si>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</si>
  <si>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</si>
  <si>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</si>
  <si>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</si>
  <si>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</si>
  <si>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</si>
  <si>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</si>
  <si>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</si>
  <si>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</si>
  <si>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</si>
  <si>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</si>
  <si>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</si>
  <si>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</si>
  <si>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</si>
  <si>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</si>
  <si>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</si>
  <si>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</si>
  <si>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</si>
  <si>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</si>
  <si>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</si>
  <si>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</si>
  <si>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</si>
  <si>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</si>
  <si>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</si>
  <si>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</si>
  <si>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</si>
  <si>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</si>
  <si>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</si>
  <si>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</si>
  <si>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</si>
  <si>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</si>
  <si>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</si>
  <si>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</si>
  <si>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</si>
  <si>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</si>
  <si>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</si>
  <si>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</si>
  <si>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</si>
  <si>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</si>
  <si>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</si>
  <si>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</si>
  <si>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</si>
  <si>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</si>
  <si>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</si>
  <si>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</si>
  <si>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</si>
  <si>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</si>
  <si>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</si>
  <si>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</si>
  <si>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</si>
  <si>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</si>
  <si>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</si>
  <si>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</si>
  <si>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</si>
  <si>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</si>
  <si>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</si>
  <si>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</si>
  <si>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</si>
  <si>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</si>
  <si>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</si>
  <si>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</si>
  <si>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</si>
  <si>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</si>
  <si>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</si>
  <si>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</si>
  <si>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</si>
  <si>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</si>
  <si>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</si>
  <si>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</si>
  <si>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</si>
  <si>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</si>
  <si>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</si>
  <si>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</si>
  <si>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</si>
  <si>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</si>
  <si>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</si>
  <si>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</si>
  <si>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</si>
  <si>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</si>
  <si>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</si>
  <si>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</si>
  <si>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</si>
  <si>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</si>
  <si>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</si>
  <si>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</si>
  <si>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</si>
  <si>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</si>
  <si>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</si>
  <si>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</si>
  <si>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</si>
  <si>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</si>
  <si>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</si>
  <si>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</si>
  <si>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</si>
  <si>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</si>
  <si>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</si>
  <si>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</si>
  <si>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</si>
  <si>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</si>
  <si>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</si>
  <si>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</si>
  <si>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</si>
  <si>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</si>
  <si>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</si>
  <si>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</si>
  <si>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</si>
  <si>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</si>
  <si>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</si>
  <si>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</si>
  <si>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</si>
  <si>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</si>
  <si>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</si>
  <si>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</si>
  <si>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</si>
  <si>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</si>
  <si>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</si>
  <si>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</si>
  <si>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</si>
  <si>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</si>
  <si>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</si>
  <si>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</si>
  <si>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</si>
  <si>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</si>
  <si>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</si>
  <si>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</si>
  <si>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</si>
  <si>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</si>
  <si>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</si>
  <si>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</si>
  <si>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</si>
  <si>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</si>
  <si>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</si>
  <si>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</si>
  <si>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</si>
  <si>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</si>
  <si>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</si>
  <si>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</si>
  <si>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</si>
  <si>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</si>
  <si>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</si>
  <si>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</si>
  <si>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</si>
  <si>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</si>
  <si>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</si>
  <si>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</si>
  <si>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</si>
  <si>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</si>
  <si>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</si>
  <si>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</si>
  <si>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</si>
  <si>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</si>
  <si>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</si>
  <si>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</si>
  <si>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</si>
  <si>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</si>
  <si>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</si>
  <si>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</si>
  <si>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</si>
  <si>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</si>
  <si>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</si>
  <si>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</si>
  <si>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</si>
  <si>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</si>
  <si>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</si>
  <si>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</si>
  <si>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</si>
  <si>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</si>
  <si>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</si>
  <si>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</si>
  <si>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</si>
  <si>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</si>
  <si>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</si>
  <si>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</si>
  <si>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</si>
  <si>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</si>
  <si>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</si>
  <si>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</si>
  <si>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</si>
  <si>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</si>
  <si>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</si>
  <si>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</si>
  <si>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</si>
  <si>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</si>
  <si>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</si>
  <si>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</si>
  <si>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</si>
  <si>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</si>
  <si>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</si>
  <si>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</si>
  <si>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</si>
  <si>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</si>
  <si>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</si>
  <si>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</si>
  <si>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</si>
  <si>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</si>
  <si>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</si>
  <si>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</si>
  <si>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</si>
  <si>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</si>
  <si>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</si>
  <si>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</si>
  <si>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</si>
  <si>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</si>
  <si>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</si>
  <si>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</si>
  <si>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</si>
  <si>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</si>
  <si>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</si>
  <si>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</si>
  <si>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</si>
  <si>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</si>
  <si>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</si>
  <si>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</si>
  <si>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</si>
  <si>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</si>
  <si>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</si>
  <si>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</si>
  <si>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</si>
  <si>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</si>
  <si>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</si>
  <si>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</si>
  <si>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</si>
  <si>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</si>
  <si>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</si>
  <si>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</si>
  <si>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</si>
  <si>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</si>
  <si>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</si>
  <si>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</si>
  <si>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</si>
  <si>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</si>
  <si>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</si>
  <si>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</si>
  <si>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</si>
  <si>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</si>
  <si>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</si>
  <si>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</si>
  <si>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</si>
  <si>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</si>
  <si>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</si>
  <si>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</si>
  <si>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</si>
  <si>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</si>
  <si>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</si>
  <si>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</si>
  <si>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</si>
  <si>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</si>
  <si>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</si>
  <si>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</si>
  <si>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</si>
  <si>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</si>
  <si>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</si>
  <si>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</si>
  <si>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</si>
  <si>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</si>
  <si>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</si>
  <si>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</si>
  <si>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</si>
  <si>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</si>
  <si>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</si>
  <si>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</si>
  <si>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</si>
  <si>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</si>
  <si>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</si>
  <si>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</si>
  <si>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</si>
  <si>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</si>
  <si>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</si>
  <si>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</si>
  <si>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</si>
  <si>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</si>
  <si>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</si>
  <si>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</si>
  <si>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</si>
  <si>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</si>
  <si>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</si>
  <si>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</si>
  <si>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</si>
  <si>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</si>
  <si>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</si>
  <si>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</si>
  <si>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</si>
  <si>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</si>
  <si>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</si>
  <si>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</si>
  <si>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</si>
  <si>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</si>
  <si>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</si>
  <si>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</si>
  <si>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</si>
  <si>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</si>
  <si>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</si>
  <si>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</si>
  <si>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</si>
  <si>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</si>
  <si>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</si>
  <si>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</si>
  <si>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</si>
  <si>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</si>
  <si>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</si>
  <si>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</si>
  <si>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</si>
  <si>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</si>
  <si>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</si>
  <si>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</si>
  <si>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</si>
  <si>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</si>
  <si>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</si>
  <si>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</si>
  <si>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</si>
  <si>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</si>
  <si>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</si>
  <si>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</si>
  <si>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</si>
  <si>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</si>
  <si>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</si>
  <si>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</si>
  <si>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</si>
  <si>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</si>
  <si>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</si>
  <si>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</si>
  <si>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</si>
  <si>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</si>
  <si>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</si>
  <si>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</si>
  <si>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</si>
  <si>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</si>
  <si>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</si>
  <si>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</si>
  <si>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</si>
  <si>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</si>
  <si>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</si>
  <si>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</si>
  <si>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</si>
  <si>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</si>
  <si>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</si>
  <si>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</si>
  <si>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</si>
  <si>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</si>
  <si>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</si>
  <si>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</si>
  <si>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</si>
  <si>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</si>
  <si>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</si>
  <si>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</si>
  <si>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</si>
  <si>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</si>
  <si>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</si>
  <si>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</si>
  <si>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</si>
  <si>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</si>
  <si>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</si>
  <si>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</si>
  <si>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</si>
  <si>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</si>
  <si>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</si>
  <si>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</si>
  <si>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</si>
  <si>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</si>
  <si>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</si>
  <si>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</si>
  <si>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</si>
  <si>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</si>
  <si>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</si>
  <si>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</si>
  <si>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</si>
  <si>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</si>
  <si>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</si>
  <si>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</si>
  <si>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</si>
  <si>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</si>
  <si>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</si>
  <si>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</si>
  <si>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</si>
  <si>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</si>
  <si>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</si>
  <si>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</si>
  <si>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</si>
  <si>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</si>
  <si>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</si>
  <si>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</si>
  <si>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</si>
  <si>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</si>
  <si>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</si>
  <si>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</si>
  <si>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</si>
  <si>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</si>
  <si>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</si>
  <si>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</si>
  <si>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</si>
  <si>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</si>
  <si>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</si>
  <si>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</si>
  <si>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</si>
  <si>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</si>
  <si>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</si>
  <si>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</si>
  <si>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</si>
  <si>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</si>
  <si>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</si>
  <si>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</si>
  <si>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</si>
  <si>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</si>
  <si>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</si>
  <si>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</si>
  <si>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</si>
  <si>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</si>
  <si>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</si>
  <si>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</si>
  <si>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</si>
  <si>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</si>
  <si>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</si>
  <si>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</si>
  <si>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</si>
  <si>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</si>
  <si>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</si>
  <si>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</si>
  <si>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</si>
  <si>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</si>
  <si>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</si>
  <si>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</si>
  <si>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</si>
  <si>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</si>
  <si>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</si>
  <si>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</si>
  <si>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</si>
  <si>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</si>
  <si>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</si>
  <si>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</si>
  <si>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</si>
  <si>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</si>
  <si>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</si>
  <si>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</si>
  <si>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</si>
  <si>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</si>
  <si>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</si>
  <si>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</si>
  <si>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</si>
  <si>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</si>
  <si>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</si>
  <si>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</si>
  <si>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</si>
  <si>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</si>
  <si>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</si>
  <si>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</si>
  <si>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</si>
  <si>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</si>
  <si>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</si>
  <si>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</si>
  <si>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</si>
  <si>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</si>
  <si>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</si>
  <si>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</si>
  <si>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</si>
  <si>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</si>
  <si>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</si>
  <si>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</si>
  <si>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</si>
  <si>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</si>
  <si>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</si>
  <si>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</si>
  <si>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</si>
  <si>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</si>
  <si>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</si>
  <si>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</si>
  <si>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</si>
  <si>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</si>
  <si>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</si>
  <si>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</si>
  <si>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</si>
  <si>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</si>
  <si>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</si>
  <si>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</si>
  <si>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</si>
  <si>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</si>
  <si>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</si>
  <si>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</si>
  <si>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</si>
  <si>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</si>
  <si>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</si>
  <si>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</si>
  <si>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</si>
  <si>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</si>
  <si>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</si>
  <si>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</si>
  <si>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</si>
  <si>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</si>
  <si>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</si>
  <si>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</si>
  <si>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</si>
  <si>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</si>
  <si>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</si>
  <si>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</si>
  <si>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</si>
  <si>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</si>
  <si>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</si>
  <si>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</si>
  <si>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</si>
  <si>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</si>
  <si>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</si>
  <si>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</si>
  <si>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</si>
  <si>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</si>
  <si>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</si>
  <si>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</si>
  <si>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</si>
  <si>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</si>
  <si>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</si>
  <si>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</si>
  <si>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</si>
  <si>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</si>
  <si>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</si>
  <si>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</si>
  <si>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</si>
  <si>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</si>
  <si>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</si>
  <si>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</si>
  <si>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</si>
  <si>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</si>
  <si>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</si>
  <si>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</si>
  <si>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</si>
  <si>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</si>
  <si>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</si>
  <si>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</si>
  <si>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</si>
  <si>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</si>
  <si>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</si>
  <si>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</si>
  <si>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</si>
  <si>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</si>
  <si>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</si>
  <si>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</si>
  <si>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</si>
  <si>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</si>
  <si>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</si>
  <si>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</si>
  <si>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</si>
  <si>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</si>
  <si>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</si>
  <si>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</si>
  <si>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</si>
  <si>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</si>
  <si>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</si>
  <si>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</si>
  <si>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</si>
  <si>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</si>
  <si>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</si>
  <si>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</si>
  <si>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</si>
  <si>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</si>
  <si>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</si>
  <si>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</si>
  <si>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</si>
  <si>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</si>
  <si>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</si>
  <si>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</si>
  <si>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</si>
  <si>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</si>
  <si>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</si>
  <si>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</si>
  <si>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</si>
  <si>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</si>
  <si>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</si>
  <si>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</si>
  <si>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</si>
  <si>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</si>
  <si>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</si>
  <si>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</si>
  <si>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</si>
  <si>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</si>
  <si>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</si>
  <si>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</si>
  <si>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</si>
  <si>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</si>
  <si>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</si>
  <si>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</si>
  <si>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</si>
  <si>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</si>
  <si>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</si>
  <si>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</si>
  <si>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</si>
  <si>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</si>
  <si>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</si>
  <si>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</si>
  <si>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</si>
  <si>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</si>
  <si>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</si>
  <si>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</si>
  <si>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</si>
  <si>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</si>
  <si>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</si>
  <si>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</si>
  <si>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</si>
  <si>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</si>
  <si>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</si>
  <si>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</si>
  <si>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</si>
  <si>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</si>
  <si>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</si>
  <si>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</si>
  <si>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</si>
  <si>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</si>
  <si>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</si>
  <si>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</si>
  <si>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</si>
  <si>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</si>
  <si>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</si>
  <si>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</si>
  <si>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</si>
  <si>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</si>
  <si>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</si>
  <si>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</si>
  <si>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</si>
  <si>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</si>
  <si>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</si>
  <si>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</si>
  <si>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</si>
  <si>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</si>
  <si>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</si>
  <si>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</si>
  <si>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</si>
  <si>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</si>
  <si>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</si>
  <si>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</si>
  <si>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</si>
  <si>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</si>
  <si>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</si>
  <si>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</si>
  <si>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</si>
  <si>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</si>
  <si>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</si>
  <si>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</si>
  <si>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</si>
  <si>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</si>
  <si>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</si>
  <si>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</si>
  <si>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</si>
  <si>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</si>
  <si>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</si>
  <si>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</si>
  <si>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</si>
  <si>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</si>
  <si>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</si>
  <si>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</si>
  <si>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</si>
  <si>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</si>
  <si>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</si>
  <si>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</si>
  <si>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</si>
  <si>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</si>
  <si>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</si>
  <si>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</si>
  <si>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</si>
  <si>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</si>
  <si>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</si>
  <si>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</si>
  <si>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</si>
  <si>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</si>
  <si>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</si>
  <si>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</si>
  <si>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</si>
  <si>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</si>
  <si>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</si>
  <si>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</si>
  <si>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</si>
  <si>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</si>
  <si>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</si>
  <si>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</si>
  <si>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</si>
  <si>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</si>
  <si>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</si>
  <si>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</si>
  <si>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</si>
  <si>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</si>
  <si>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</si>
  <si>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</si>
  <si>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</si>
  <si>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</si>
  <si>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</si>
  <si>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</si>
  <si>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</si>
  <si>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</si>
  <si>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</si>
  <si>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</si>
  <si>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</si>
  <si>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</si>
  <si>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</si>
  <si>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</si>
  <si>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</si>
  <si>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</si>
  <si>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</si>
  <si>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</si>
  <si>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</si>
  <si>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</si>
  <si>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</si>
  <si>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</si>
  <si>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</si>
  <si>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</si>
  <si>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</si>
  <si>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</si>
  <si>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</si>
  <si>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</si>
  <si>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</si>
  <si>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</si>
  <si>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</si>
  <si>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</si>
  <si>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</si>
  <si>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</si>
  <si>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</si>
  <si>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</si>
  <si>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</si>
  <si>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</si>
  <si>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</si>
  <si>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</si>
  <si>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</si>
  <si>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</si>
  <si>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</si>
  <si>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</si>
  <si>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</si>
  <si>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</si>
  <si>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</si>
  <si>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</si>
  <si>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</si>
  <si>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</si>
  <si>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</si>
  <si>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</si>
  <si>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</si>
  <si>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</si>
  <si>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</si>
  <si>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</si>
  <si>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</si>
  <si>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</si>
  <si>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</si>
  <si>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</si>
  <si>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</si>
  <si>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</si>
  <si>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</si>
  <si>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</si>
  <si>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</si>
  <si>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</si>
  <si>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</si>
  <si>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</si>
  <si>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</si>
  <si>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</si>
  <si>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</si>
  <si>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</si>
  <si>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</si>
  <si>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</si>
  <si>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</si>
  <si>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</si>
  <si>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</si>
  <si>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</si>
  <si>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</si>
  <si>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</si>
  <si>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</si>
  <si>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</si>
  <si>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</si>
  <si>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</si>
  <si>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</si>
  <si>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</si>
  <si>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</si>
  <si>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</si>
  <si>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</si>
  <si>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</si>
  <si>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</si>
  <si>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</si>
  <si>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</si>
  <si>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</si>
  <si>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</si>
  <si>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</si>
  <si>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</si>
  <si>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</si>
  <si>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</si>
  <si>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</si>
  <si>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</si>
  <si>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</si>
  <si>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</si>
  <si>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</si>
  <si>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</si>
  <si>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</si>
  <si>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</si>
  <si>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</si>
  <si>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</si>
  <si>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</si>
  <si>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</si>
  <si>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</si>
  <si>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</si>
  <si>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</si>
  <si>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</si>
  <si>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</si>
  <si>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</si>
  <si>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</si>
  <si>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</si>
  <si>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</si>
  <si>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</si>
  <si>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</si>
  <si>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</si>
  <si>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</si>
  <si>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</si>
  <si>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</si>
  <si>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</si>
  <si>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</si>
  <si>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</si>
  <si>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</si>
  <si>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</si>
  <si>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</si>
  <si>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</si>
  <si>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</si>
  <si>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</si>
  <si>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</si>
  <si>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</si>
  <si>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</si>
  <si>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</si>
  <si>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</si>
  <si>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</si>
  <si>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</si>
  <si>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</si>
  <si>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</si>
  <si>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</si>
  <si>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</si>
  <si>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</si>
  <si>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</si>
  <si>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</si>
  <si>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</si>
  <si>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</si>
  <si>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</si>
  <si>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</si>
  <si>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</si>
  <si>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</si>
  <si>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</si>
  <si>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</si>
  <si>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</si>
  <si>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</si>
  <si>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</si>
  <si>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</si>
  <si>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</si>
  <si>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</si>
  <si>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</si>
  <si>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</si>
  <si>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</si>
  <si>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</si>
  <si>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</si>
  <si>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</si>
  <si>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</si>
  <si>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</si>
  <si>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</si>
  <si>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</si>
  <si>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</si>
  <si>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</si>
  <si>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</si>
  <si>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</si>
  <si>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</si>
  <si>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</si>
  <si>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</si>
  <si>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</si>
  <si>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</si>
  <si>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</si>
  <si>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</si>
  <si>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</si>
  <si>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</si>
  <si>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</si>
  <si>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</si>
  <si>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</si>
  <si>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</si>
  <si>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</si>
  <si>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</si>
  <si>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</si>
  <si>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</si>
  <si>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</si>
  <si>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</si>
  <si>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</si>
  <si>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</si>
  <si>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</si>
  <si>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</si>
  <si>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</si>
  <si>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</si>
  <si>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</si>
  <si>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</si>
  <si>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</si>
  <si>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</si>
  <si>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</si>
  <si>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</si>
  <si>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</si>
  <si>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</si>
  <si>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</si>
  <si>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</si>
  <si>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</si>
  <si>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</si>
  <si>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</si>
  <si>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</si>
  <si>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</si>
  <si>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</si>
  <si>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</si>
  <si>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</si>
  <si>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</si>
  <si>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</si>
  <si>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</si>
  <si>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</si>
  <si>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</si>
  <si>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</si>
  <si>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</si>
  <si>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</si>
  <si>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</si>
  <si>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</si>
  <si>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</si>
  <si>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</si>
  <si>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</si>
  <si>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</si>
  <si>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</si>
  <si>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</si>
  <si>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</si>
  <si>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</si>
  <si>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</si>
  <si>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</si>
  <si>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</si>
  <si>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</si>
  <si>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</si>
  <si>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</si>
  <si>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</si>
  <si>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</si>
  <si>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</si>
  <si>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</si>
  <si>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</si>
  <si>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</si>
  <si>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</si>
  <si>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</si>
  <si>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</si>
  <si>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</si>
  <si>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</si>
  <si>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</si>
  <si>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</si>
  <si>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</si>
  <si>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</si>
  <si>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</si>
  <si>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</si>
  <si>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</si>
  <si>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</si>
  <si>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</si>
  <si>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</si>
  <si>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</si>
  <si>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</si>
  <si>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</si>
  <si>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</si>
  <si>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</si>
  <si>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</si>
  <si>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</si>
  <si>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</si>
  <si>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</si>
  <si>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</si>
  <si>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</si>
  <si>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</si>
  <si>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</si>
  <si>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</si>
  <si>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</si>
  <si>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</si>
  <si>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</si>
  <si>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</si>
  <si>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</si>
  <si>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</si>
  <si>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</si>
  <si>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</si>
  <si>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</si>
  <si>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</si>
  <si>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</si>
  <si>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</si>
  <si>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</si>
  <si>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</si>
  <si>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</si>
  <si>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</si>
  <si>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</si>
  <si>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</si>
  <si>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</si>
  <si>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</si>
  <si>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</si>
  <si>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</si>
  <si>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</si>
  <si>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</si>
  <si>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</si>
  <si>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</si>
  <si>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</si>
  <si>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</si>
  <si>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</si>
  <si>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</si>
  <si>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</si>
  <si>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</si>
  <si>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Meister, Hilton, Chitwood &amp;  Associates, Inc.</t>
  </si>
  <si>
    <t>Ron Hilton</t>
  </si>
  <si>
    <t>809 W.  Detweiller Drive, Suite 804</t>
  </si>
  <si>
    <t>Peoria</t>
  </si>
  <si>
    <t>IL</t>
  </si>
  <si>
    <t>(309) 683-0441</t>
  </si>
  <si>
    <t>ron.hilton1@comcast.net</t>
  </si>
  <si>
    <t>066-004769</t>
  </si>
  <si>
    <t>x</t>
  </si>
  <si>
    <t>Knox and Warren</t>
  </si>
  <si>
    <t>932 Harrison Street</t>
  </si>
  <si>
    <t>jhamm@galesburg205.org</t>
  </si>
  <si>
    <t>Dr.  John Asplund</t>
  </si>
  <si>
    <t>jasplund@galesburg205.org</t>
  </si>
  <si>
    <t>309-973-2101</t>
  </si>
  <si>
    <t>309-343-7757</t>
  </si>
  <si>
    <t>(309) 692-0492</t>
  </si>
  <si>
    <t>GO School Bonds, series 2011A</t>
  </si>
  <si>
    <t>GO School Bonds, series 2011B - Alt Revenue Source</t>
  </si>
  <si>
    <t>GO School Bonds, series 2011C</t>
  </si>
  <si>
    <t>GO School Bonds, series 2013</t>
  </si>
  <si>
    <t>GO School Bonds, series 2014A</t>
  </si>
  <si>
    <t>GO School Bonds, series 2014B - Alt Revenue Source</t>
  </si>
  <si>
    <t>GO School Bonds, series 2014C - Taxable</t>
  </si>
  <si>
    <t>GO School Bonds, series 2015</t>
  </si>
  <si>
    <t>Capital lease payable</t>
  </si>
  <si>
    <t>3,6</t>
  </si>
  <si>
    <t>Qualified Zone Academy Bonds</t>
  </si>
  <si>
    <t>Capital Lease</t>
  </si>
  <si>
    <t>1</t>
  </si>
  <si>
    <t>Illinois Energy Consortium</t>
  </si>
  <si>
    <t>Pekin Public Schools Dist 108 - Reading Recovery services</t>
  </si>
  <si>
    <t>Prairie State Insurance Cooperative</t>
  </si>
  <si>
    <t>Knox-Warren Special Education Association</t>
  </si>
  <si>
    <t>Galesburg Area Vocational Center</t>
  </si>
  <si>
    <t>1 - Galesburg CUSD No. 205 withdrew from the Special Education Cooperative effective 7/1/2017.</t>
  </si>
  <si>
    <t>Page 10. Sales to Pupils (Acct. 1614): Educational Fund: milk sales $ 2,090</t>
  </si>
  <si>
    <t>Page 10. Other Food Service (Acct. 1690): Educational Fund: meal sales to  other LEAs $10,986, rebates $1,489</t>
  </si>
  <si>
    <t>Page 10. Other District/School Activity Revenue (Acct. 1790): Educational Fund: Band instrument rental $ 2,887, athletic</t>
  </si>
  <si>
    <t xml:space="preserve">                  participation fees $25679</t>
  </si>
  <si>
    <t>Page 11. Other Local Fees (Acct. 1993): Educational Fund: miscellaneous $155</t>
  </si>
  <si>
    <t xml:space="preserve">Page 11. Other Local Revenues (Acct. 1999): Educational Fund: IL State antitrust settlement $11,804, crop revenues $78,874, </t>
  </si>
  <si>
    <t xml:space="preserve">                   miscellaneous other $1,618, Operations and Maintenance Fund: miscellaneous $ 1,076, parking fees $5,060</t>
  </si>
  <si>
    <t>Page 12. Other Restricted Revenue from State Sources (Acct. 3999): Educational Fund: Orphanage tuition $ 124,955,</t>
  </si>
  <si>
    <t xml:space="preserve">                 State of Illinois Library grant $5,949, DHS STEP grant $47,684</t>
  </si>
  <si>
    <t>Page 15. Other Support Services - Pupils (Acct. 2190): Educational Fund:  commencement expenditures $4,419</t>
  </si>
  <si>
    <t>Page 16. Other Support Services - School Admin (Acct. 2490): Salaries - HS Assistant Principals $ 56,197, Deans $158,895,</t>
  </si>
  <si>
    <t xml:space="preserve">                  Fine arts coordinator $44,330; Benefits $25,411.</t>
  </si>
  <si>
    <t>Page 16. Other Support Services (Acct. 2900): Salaries; Technical support staff $ 143,327, Principal GHS North $ 25,525,</t>
  </si>
  <si>
    <t xml:space="preserve">                  benefits $ 18,153, Prurchased services; OP/TP supplies $11,947, Medicaid billing fees $4,813</t>
  </si>
  <si>
    <t>Page 18. Debt Services - Other  (Acct. 5400):  Bond agent fees $ 3,286</t>
  </si>
  <si>
    <t>Page 20. Other Support Services - School Admin (Acct. 2490): HS Assistant Principals and Deans  - medicare $ 2,354</t>
  </si>
  <si>
    <t>Page 20. Other Support Services (Acct. 2900): Technical support staff - IMRF $16, 076, Social Security $ 10,800</t>
  </si>
  <si>
    <t>AUDITCHECK - Capital lease payments are made from the Transportation Fund - principal $27,583.  Principal payment made</t>
  </si>
  <si>
    <t xml:space="preserve">                             from the Debt Services Fund were $2,571,000. Total principal retirements are $ 2,598,583.</t>
  </si>
  <si>
    <t>1. One Board Member, Jean Ann Glasnovich, did not file an economic interest statement until September 7, 2018.                                                                                                                     2.   The District did not have the required amount for the Treasurer's bond for 5 out of 12 months during the year ended 6/30/18.                                                                                                                                                            23. The District has prepared these financial statements using the regulatory accounting practices prescribed by the Illinois State Board of Education, which differs from accounting principles generally accepted in the United States of America.</t>
  </si>
  <si>
    <t>Ed-Support Services-Instructional Staff-purchased services</t>
  </si>
  <si>
    <t>10-2200-300</t>
  </si>
  <si>
    <t>Burwood Group, Inc</t>
  </si>
  <si>
    <t>Ed-Support Services-Internal Services-purchased services</t>
  </si>
  <si>
    <t>10-2570-300</t>
  </si>
  <si>
    <t>Xerox Corporation</t>
  </si>
  <si>
    <t>Ed-Support Services-Pupil-purchased services</t>
  </si>
  <si>
    <t>10-2100-300</t>
  </si>
  <si>
    <t>Bridgeway, Inc</t>
  </si>
  <si>
    <t>O&amp;M-operations&amp;maintenance -plant-purchased services</t>
  </si>
  <si>
    <t>20-2540-300</t>
  </si>
  <si>
    <t>United Private Networks</t>
  </si>
  <si>
    <t>Trans-Pupil Transportation Services-purchased services</t>
  </si>
  <si>
    <t>40-2550-300</t>
  </si>
  <si>
    <t>First Student</t>
  </si>
  <si>
    <t>Tort-Support Services-Gen Admin- purchased services</t>
  </si>
  <si>
    <t>80-2300-300</t>
  </si>
  <si>
    <t>City of Galesburg</t>
  </si>
  <si>
    <t>U.S. Department of Agriclture:</t>
  </si>
  <si>
    <t>Passed through the Illinois State Board of Education:</t>
  </si>
  <si>
    <t xml:space="preserve">  National School Lunch Program </t>
  </si>
  <si>
    <t>N/A</t>
  </si>
  <si>
    <t>2017-4210-00</t>
  </si>
  <si>
    <t xml:space="preserve">  Special Milk Program </t>
  </si>
  <si>
    <t>2017-4215-00</t>
  </si>
  <si>
    <t xml:space="preserve">  School Breakfast Program</t>
  </si>
  <si>
    <t>2017-4220-00</t>
  </si>
  <si>
    <t xml:space="preserve">  Food Commodities (Noncash)</t>
  </si>
  <si>
    <t xml:space="preserve">  DoD - Fruits and Vegetables (Noncash) </t>
  </si>
  <si>
    <t>Total U.S. Department of Agriclture</t>
  </si>
  <si>
    <t>2018-4210-00</t>
  </si>
  <si>
    <t>2018-4215-00</t>
  </si>
  <si>
    <t>2018-4220-00</t>
  </si>
  <si>
    <t>U.S. Department of Education:</t>
  </si>
  <si>
    <t>17-4300-00</t>
  </si>
  <si>
    <t>17-4306-00</t>
  </si>
  <si>
    <t>17-4625-00</t>
  </si>
  <si>
    <t xml:space="preserve">  Title V - Rural Education Initative</t>
  </si>
  <si>
    <t>2018-4107-00</t>
  </si>
  <si>
    <r>
      <t xml:space="preserve">Title I - Low Income </t>
    </r>
    <r>
      <rPr>
        <sz val="8"/>
        <rFont val="Arial"/>
        <family val="2"/>
      </rPr>
      <t xml:space="preserve">                                             </t>
    </r>
  </si>
  <si>
    <r>
      <t>Title I - Low Income - Delinquent Private</t>
    </r>
    <r>
      <rPr>
        <sz val="8"/>
        <rFont val="Arial"/>
        <family val="2"/>
      </rPr>
      <t xml:space="preserve">                            </t>
    </r>
  </si>
  <si>
    <t>18-4300-00</t>
  </si>
  <si>
    <t>18-4600-00</t>
  </si>
  <si>
    <t>18-4620-00</t>
  </si>
  <si>
    <t>18-4625-00</t>
  </si>
  <si>
    <t>Total passed through the Illinois State Board of Education</t>
  </si>
  <si>
    <t>17-4932-00</t>
  </si>
  <si>
    <t>18-4932-00</t>
  </si>
  <si>
    <t>Passed through the Illinois Department of Healthcare and Family Services:</t>
  </si>
  <si>
    <t xml:space="preserve"> Medicaid Administrative Outreach</t>
  </si>
  <si>
    <t xml:space="preserve"> Total Medicaid Administrative Outreach</t>
  </si>
  <si>
    <t>Total Expenditures of Federal Awards</t>
  </si>
  <si>
    <t>17-4625-XC</t>
  </si>
  <si>
    <r>
      <t xml:space="preserve">The accompanying Schedule of Expenditures of Federal Awards includes the federal grant activity of </t>
    </r>
    <r>
      <rPr>
        <b/>
        <sz val="9"/>
        <rFont val="Calibri"/>
        <family val="2"/>
        <scheme val="minor"/>
      </rPr>
      <t>Galesburg Community Unit School District No. 205</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t>
    </r>
    <r>
      <rPr>
        <b/>
        <sz val="9"/>
        <rFont val="Calibri"/>
        <family val="2"/>
        <scheme val="minor"/>
      </rPr>
      <t>asic</t>
    </r>
    <r>
      <rPr>
        <sz val="9"/>
        <rFont val="Calibri"/>
        <family val="2"/>
        <scheme val="minor"/>
      </rPr>
      <t xml:space="preserve"> financial statements.</t>
    </r>
  </si>
  <si>
    <r>
      <t xml:space="preserve">Of the federal expenditures presented in the schedule, </t>
    </r>
    <r>
      <rPr>
        <b/>
        <sz val="9"/>
        <rFont val="Calibri"/>
        <family val="2"/>
        <scheme val="minor"/>
      </rPr>
      <t xml:space="preserve">Galesburg Community Unit School District No. 205 </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</si>
  <si>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</si>
  <si>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 xml:space="preserve">Galesburg Community Unit School District No. 205 </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</si>
  <si>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Adverse -GAAP basis, Unmodified-Regulatory basis</t>
  </si>
  <si>
    <t>Unmodified</t>
  </si>
  <si>
    <t>84.027, 84.173</t>
  </si>
  <si>
    <t>Special Education Cluster</t>
  </si>
  <si>
    <r>
      <t xml:space="preserve">Fed. Sp. Ed. - Preschool Flow-Through </t>
    </r>
    <r>
      <rPr>
        <b/>
        <sz val="9"/>
        <rFont val="Calibri"/>
        <family val="2"/>
      </rPr>
      <t>(M)</t>
    </r>
  </si>
  <si>
    <r>
      <t xml:space="preserve">Fed. Sp. Ed. - IDEA Flow-Through          </t>
    </r>
    <r>
      <rPr>
        <b/>
        <sz val="9"/>
        <rFont val="Calibri"/>
        <family val="2"/>
      </rPr>
      <t>(M)</t>
    </r>
  </si>
  <si>
    <r>
      <t xml:space="preserve">Title II - Teacher Quality                    </t>
    </r>
    <r>
      <rPr>
        <b/>
        <sz val="9"/>
        <rFont val="Calibri"/>
        <family val="2"/>
        <scheme val="minor"/>
      </rPr>
      <t>(M)</t>
    </r>
    <r>
      <rPr>
        <sz val="9"/>
        <rFont val="Calibri"/>
        <family val="2"/>
        <scheme val="minor"/>
      </rPr>
      <t xml:space="preserve">             </t>
    </r>
  </si>
  <si>
    <t>There were no findings for the fiscal  year ended June 30, 2017.</t>
  </si>
  <si>
    <t>Skyward Accounting Software</t>
  </si>
  <si>
    <t xml:space="preserve">     Child Nutrition Cluster:</t>
  </si>
  <si>
    <t xml:space="preserve">    Special Education Cluster:</t>
  </si>
  <si>
    <r>
      <t xml:space="preserve">Fed. Sp. Ed. - IDEA - Room and Board   </t>
    </r>
    <r>
      <rPr>
        <b/>
        <sz val="9"/>
        <rFont val="Calibri"/>
        <family val="2"/>
      </rPr>
      <t>(M)</t>
    </r>
  </si>
  <si>
    <t xml:space="preserve">Galesburg </t>
  </si>
  <si>
    <t>Galesburg CUSD 205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</si>
</sst>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9"/>
      <name val="Calibri"/>
      <family val="2"/>
    </font>
    <font>
      <sz val="9"/>
      <name val="Calibri"/>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bottom style="thin">
        <color indexed="64"/>
      </bottom>
      <diagonal/>
    </border>
    <border>
      <left style="thin">
        <color indexed="55"/>
      </left>
      <right style="thin">
        <color indexed="55"/>
      </right>
      <top style="thin">
        <color indexed="55"/>
      </top>
      <bottom style="double">
        <color indexed="64"/>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5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1" fontId="11" fillId="0" borderId="8" xfId="3" applyNumberFormat="1" applyFont="1" applyBorder="1" applyAlignment="1" applyProtection="1">
      <alignment horizontal="center"/>
      <protection locked="0"/>
    </xf>
    <xf numFmtId="3" fontId="11" fillId="0" borderId="8" xfId="3" applyNumberFormat="1" applyFont="1" applyBorder="1" applyAlignment="1" applyProtection="1">
      <alignment horizontal="center"/>
      <protection locked="0"/>
    </xf>
    <xf numFmtId="3" fontId="12" fillId="0" borderId="22" xfId="3" applyNumberFormat="1" applyFont="1" applyBorder="1" applyAlignment="1" applyProtection="1">
      <alignment horizontal="left" vertical="center" wrapText="1"/>
      <protection locked="0"/>
    </xf>
    <xf numFmtId="169" fontId="11" fillId="0" borderId="22" xfId="3" applyNumberFormat="1" applyFont="1" applyBorder="1" applyAlignment="1" applyProtection="1">
      <alignment horizontal="center"/>
      <protection locked="0"/>
    </xf>
    <xf numFmtId="1" fontId="11" fillId="0" borderId="22" xfId="3" applyNumberFormat="1" applyFont="1" applyBorder="1" applyAlignment="1" applyProtection="1">
      <alignment horizontal="center"/>
      <protection locked="0"/>
    </xf>
    <xf numFmtId="3" fontId="11" fillId="0" borderId="22"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3" fontId="11" fillId="0" borderId="166" xfId="3" applyNumberFormat="1" applyFont="1" applyBorder="1" applyAlignment="1" applyProtection="1">
      <alignment horizontal="center"/>
      <protection locked="0"/>
    </xf>
    <xf numFmtId="3" fontId="11" fillId="0" borderId="168" xfId="3" applyNumberFormat="1" applyFont="1" applyBorder="1" applyAlignment="1" applyProtection="1">
      <alignment horizontal="center"/>
      <protection locked="0"/>
    </xf>
    <xf numFmtId="3" fontId="138" fillId="0" borderId="22" xfId="3" applyNumberFormat="1" applyFont="1" applyBorder="1" applyAlignment="1" applyProtection="1">
      <alignment horizontal="center" vertical="center" wrapText="1"/>
      <protection locked="0"/>
    </xf>
    <xf numFmtId="169" fontId="139" fillId="0" borderId="8" xfId="3" applyNumberFormat="1" applyFont="1" applyBorder="1" applyAlignment="1" applyProtection="1">
      <alignment horizontal="center"/>
      <protection locked="0"/>
    </xf>
    <xf numFmtId="1" fontId="139" fillId="0" borderId="8" xfId="3" applyNumberFormat="1" applyFont="1" applyBorder="1" applyAlignment="1" applyProtection="1">
      <alignment horizontal="center"/>
      <protection locked="0"/>
    </xf>
    <xf numFmtId="3" fontId="139" fillId="0" borderId="8" xfId="3" applyNumberFormat="1" applyFont="1" applyBorder="1" applyAlignment="1" applyProtection="1">
      <alignment horizontal="center"/>
      <protection locked="0"/>
    </xf>
    <xf numFmtId="3" fontId="138" fillId="0" borderId="22" xfId="3" applyNumberFormat="1" applyFont="1" applyBorder="1" applyAlignment="1" applyProtection="1">
      <alignment horizontal="left" vertical="center" wrapText="1"/>
      <protection locked="0"/>
    </xf>
    <xf numFmtId="169" fontId="139" fillId="0" borderId="22" xfId="3" applyNumberFormat="1" applyFont="1" applyBorder="1" applyAlignment="1" applyProtection="1">
      <alignment horizontal="center"/>
      <protection locked="0"/>
    </xf>
    <xf numFmtId="1" fontId="139" fillId="0" borderId="22" xfId="3" applyNumberFormat="1" applyFont="1" applyBorder="1" applyAlignment="1" applyProtection="1">
      <alignment horizontal="center"/>
      <protection locked="0"/>
    </xf>
    <xf numFmtId="3" fontId="139" fillId="0" borderId="22" xfId="3" applyNumberFormat="1" applyFont="1" applyBorder="1" applyAlignment="1" applyProtection="1">
      <alignment horizontal="center"/>
      <protection locked="0"/>
    </xf>
    <xf numFmtId="3" fontId="139" fillId="0" borderId="22" xfId="3" applyNumberFormat="1" applyFont="1" applyBorder="1" applyAlignment="1" applyProtection="1">
      <alignment horizontal="left" vertical="center" wrapText="1"/>
      <protection locked="0"/>
    </xf>
    <xf numFmtId="3" fontId="139" fillId="0" borderId="166" xfId="3" applyNumberFormat="1" applyFont="1" applyBorder="1" applyAlignment="1" applyProtection="1">
      <alignment horizontal="center"/>
      <protection locked="0"/>
    </xf>
    <xf numFmtId="3" fontId="139" fillId="0" borderId="167" xfId="3" applyNumberFormat="1" applyFont="1" applyBorder="1" applyAlignment="1" applyProtection="1">
      <alignment horizontal="center"/>
      <protection locked="0"/>
    </xf>
    <xf numFmtId="3" fontId="139" fillId="0" borderId="22" xfId="3" applyNumberFormat="1" applyFont="1" applyBorder="1" applyAlignment="1" applyProtection="1">
      <alignment horizontal="center" vertical="center" wrapText="1"/>
      <protection locked="0"/>
    </xf>
    <xf numFmtId="41" fontId="139" fillId="0" borderId="166" xfId="3" applyNumberFormat="1" applyFont="1" applyBorder="1" applyAlignment="1" applyProtection="1">
      <alignment horizontal="left"/>
      <protection locked="0"/>
    </xf>
    <xf numFmtId="41" fontId="139" fillId="0" borderId="166" xfId="3" applyNumberFormat="1" applyFont="1" applyBorder="1" applyAlignment="1" applyProtection="1">
      <protection locked="0"/>
    </xf>
    <xf numFmtId="41" fontId="139" fillId="0" borderId="166" xfId="3" applyNumberFormat="1" applyFont="1" applyBorder="1" applyAlignment="1" applyProtection="1">
      <alignment horizontal="center"/>
      <protection locked="0"/>
    </xf>
    <xf numFmtId="3" fontId="139" fillId="0" borderId="168" xfId="3" applyNumberFormat="1" applyFont="1" applyBorder="1" applyAlignment="1" applyProtection="1">
      <alignment horizontal="center"/>
      <protection locked="0"/>
    </xf>
    <xf numFmtId="3" fontId="62" fillId="0" borderId="166" xfId="3" applyNumberFormat="1" applyFont="1" applyBorder="1" applyAlignment="1" applyProtection="1">
      <alignment horizontal="center"/>
      <protection locked="0"/>
    </xf>
    <xf numFmtId="3" fontId="54" fillId="0" borderId="22" xfId="3" applyNumberFormat="1" applyFont="1" applyBorder="1" applyAlignment="1" applyProtection="1">
      <alignment horizontal="left" vertical="center" wrapText="1"/>
      <protection locked="0"/>
    </xf>
    <xf numFmtId="169" fontId="55" fillId="0" borderId="8" xfId="3" applyNumberFormat="1" applyFont="1" applyBorder="1" applyAlignment="1" applyProtection="1">
      <alignment horizontal="center"/>
      <protection locked="0"/>
    </xf>
    <xf numFmtId="1" fontId="55" fillId="0" borderId="8" xfId="3" applyNumberFormat="1" applyFont="1" applyBorder="1" applyAlignment="1" applyProtection="1">
      <alignment horizontal="center"/>
      <protection locked="0"/>
    </xf>
    <xf numFmtId="3" fontId="55" fillId="0" borderId="8" xfId="3" applyNumberFormat="1" applyFont="1" applyBorder="1" applyAlignment="1" applyProtection="1">
      <alignment horizontal="center"/>
      <protection locked="0"/>
    </xf>
    <xf numFmtId="169" fontId="55" fillId="0" borderId="22" xfId="3" applyNumberFormat="1" applyFont="1" applyBorder="1" applyAlignment="1" applyProtection="1">
      <alignment horizontal="center"/>
      <protection locked="0"/>
    </xf>
    <xf numFmtId="1" fontId="55" fillId="0" borderId="22" xfId="3" applyNumberFormat="1" applyFont="1" applyBorder="1" applyAlignment="1" applyProtection="1">
      <alignment horizontal="center"/>
      <protection locked="0"/>
    </xf>
    <xf numFmtId="3" fontId="55" fillId="0" borderId="22" xfId="3" applyNumberFormat="1" applyFont="1" applyBorder="1" applyAlignment="1" applyProtection="1">
      <alignment horizontal="center"/>
      <protection locked="0"/>
    </xf>
    <xf numFmtId="3" fontId="55" fillId="0" borderId="22" xfId="3" applyNumberFormat="1" applyFont="1" applyBorder="1" applyAlignment="1" applyProtection="1">
      <alignment horizontal="left" vertical="center" wrapText="1"/>
      <protection locked="0"/>
    </xf>
    <xf numFmtId="3" fontId="55" fillId="0" borderId="166" xfId="3" applyNumberFormat="1" applyFont="1" applyBorder="1" applyAlignment="1" applyProtection="1">
      <alignment horizontal="center"/>
      <protection locked="0"/>
    </xf>
    <xf numFmtId="3" fontId="55" fillId="0" borderId="167" xfId="3" applyNumberFormat="1" applyFont="1" applyBorder="1" applyAlignment="1" applyProtection="1">
      <alignment horizontal="center"/>
      <protection locked="0"/>
    </xf>
    <xf numFmtId="0" fontId="55" fillId="0" borderId="0" xfId="3" applyFont="1" applyProtection="1">
      <protection locked="0"/>
    </xf>
    <xf numFmtId="3" fontId="55" fillId="0" borderId="169" xfId="3" applyNumberFormat="1" applyFont="1" applyBorder="1" applyAlignment="1" applyProtection="1">
      <alignment horizontal="center"/>
      <protection locked="0"/>
    </xf>
    <xf numFmtId="3" fontId="139" fillId="0" borderId="147" xfId="3" applyNumberFormat="1" applyFont="1" applyBorder="1" applyAlignment="1" applyProtection="1">
      <alignment horizontal="center"/>
      <protection locked="0"/>
    </xf>
    <xf numFmtId="3" fontId="139" fillId="0" borderId="45" xfId="3" applyNumberFormat="1" applyFont="1" applyBorder="1" applyAlignment="1" applyProtection="1">
      <alignment horizontal="center"/>
      <protection locked="0"/>
    </xf>
    <xf numFmtId="3" fontId="11" fillId="0" borderId="45" xfId="3" applyNumberFormat="1" applyFont="1" applyBorder="1" applyAlignment="1" applyProtection="1">
      <alignment horizontal="center"/>
      <protection locked="0"/>
    </xf>
    <xf numFmtId="3" fontId="139" fillId="0" borderId="44" xfId="3" applyNumberFormat="1" applyFont="1" applyBorder="1" applyAlignment="1" applyProtection="1">
      <alignment horizontal="center"/>
      <protection locked="0"/>
    </xf>
    <xf numFmtId="0" fontId="54" fillId="0" borderId="148" xfId="3" applyFont="1" applyBorder="1" applyAlignment="1" applyProtection="1">
      <alignment horizontal="center"/>
      <protection locked="0"/>
    </xf>
    <xf numFmtId="0" fontId="65" fillId="0" borderId="0" xfId="3" applyFont="1" applyProtection="1">
      <protection locked="0"/>
    </xf>
    <xf numFmtId="0" fontId="1" fillId="0" borderId="158"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left"/>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0" fontId="86" fillId="0" borderId="0" xfId="3" applyFont="1" applyAlignment="1" applyProtection="1">
      <alignment horizontal="center" vertical="top" wrapText="1"/>
      <protection locked="0"/>
    </xf>
    <xf numFmtId="0" fontId="65" fillId="0" borderId="0" xfId="3" applyFont="1" applyAlignment="1" applyProtection="1">
      <alignment horizontal="center" vertical="top" wrapText="1"/>
      <protection locked="0"/>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86" fillId="0" borderId="0" xfId="3" applyFont="1" applyAlignment="1" applyProtection="1">
      <alignment horizontal="center" vertical="center"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78" t="s">
        <v>425</v>
      </c>
      <c r="J1" s="2079"/>
      <c r="K1" s="2079"/>
      <c r="L1" s="2079"/>
      <c r="M1" s="2079"/>
      <c r="N1" s="2079"/>
      <c r="O1" s="2079"/>
      <c r="P1" s="2079"/>
      <c r="Q1" s="2079"/>
      <c r="R1" s="2079"/>
      <c r="S1" s="2079"/>
    </row>
    <row r="2" spans="1:28" ht="12" customHeight="1" x14ac:dyDescent="0.2">
      <c r="A2" s="47" t="s">
        <v>1684</v>
      </c>
      <c r="D2" s="48"/>
      <c r="I2" s="2080" t="s">
        <v>1036</v>
      </c>
      <c r="J2" s="2079"/>
      <c r="K2" s="2079"/>
      <c r="L2" s="2079"/>
      <c r="M2" s="2079"/>
      <c r="N2" s="2079"/>
      <c r="O2" s="2079"/>
      <c r="P2" s="2079"/>
      <c r="Q2" s="2079"/>
      <c r="R2" s="2079"/>
      <c r="S2" s="2079"/>
    </row>
    <row r="3" spans="1:28" ht="12" customHeight="1" x14ac:dyDescent="0.2">
      <c r="A3" s="155" t="s">
        <v>1685</v>
      </c>
      <c r="B3" s="156"/>
      <c r="C3" s="156"/>
      <c r="D3" s="157"/>
      <c r="I3" s="2080" t="s">
        <v>54</v>
      </c>
      <c r="J3" s="2079"/>
      <c r="K3" s="2079"/>
      <c r="L3" s="2079"/>
      <c r="M3" s="2079"/>
      <c r="N3" s="2079"/>
      <c r="O3" s="2079"/>
      <c r="P3" s="2079"/>
      <c r="Q3" s="2079"/>
      <c r="R3" s="2079"/>
      <c r="S3" s="2079"/>
    </row>
    <row r="4" spans="1:28" ht="12" customHeight="1" x14ac:dyDescent="0.2">
      <c r="A4" s="37"/>
      <c r="I4" s="2080" t="s">
        <v>545</v>
      </c>
      <c r="J4" s="2079"/>
      <c r="K4" s="2079"/>
      <c r="L4" s="2079"/>
      <c r="M4" s="2079"/>
      <c r="N4" s="2079"/>
      <c r="O4" s="2079"/>
      <c r="P4" s="2079"/>
      <c r="Q4" s="2079"/>
      <c r="R4" s="2079"/>
      <c r="S4" s="2079"/>
    </row>
    <row r="5" spans="1:28" ht="14.1" customHeight="1" x14ac:dyDescent="0.2">
      <c r="B5" s="104" t="s">
        <v>2082</v>
      </c>
      <c r="C5" s="26" t="s">
        <v>966</v>
      </c>
      <c r="D5" s="84"/>
      <c r="E5" s="84"/>
      <c r="H5" s="38"/>
      <c r="I5" s="2087" t="s">
        <v>701</v>
      </c>
      <c r="J5" s="2032"/>
      <c r="K5" s="2032"/>
      <c r="L5" s="2032"/>
      <c r="M5" s="2032"/>
      <c r="N5" s="2032"/>
      <c r="O5" s="2032"/>
      <c r="P5" s="2032"/>
      <c r="Q5" s="2032"/>
      <c r="R5" s="2032"/>
      <c r="S5" s="2032"/>
    </row>
    <row r="6" spans="1:28" ht="14.1" customHeight="1" x14ac:dyDescent="0.2">
      <c r="B6" s="104"/>
      <c r="C6" s="26" t="s">
        <v>967</v>
      </c>
      <c r="D6" s="84"/>
      <c r="E6" s="84"/>
      <c r="I6" s="2086" t="s">
        <v>938</v>
      </c>
      <c r="J6" s="2032"/>
      <c r="K6" s="2032"/>
      <c r="L6" s="2032"/>
      <c r="M6" s="2032"/>
      <c r="N6" s="2032"/>
      <c r="O6" s="2032"/>
      <c r="P6" s="2032"/>
      <c r="Q6" s="2032"/>
      <c r="R6" s="2032"/>
      <c r="S6" s="2032"/>
    </row>
    <row r="7" spans="1:28" ht="12.2" customHeight="1" x14ac:dyDescent="0.2">
      <c r="I7" s="2081">
        <v>43281</v>
      </c>
      <c r="J7" s="2082"/>
      <c r="K7" s="2082"/>
      <c r="L7" s="2082"/>
      <c r="M7" s="2082"/>
      <c r="N7" s="2082"/>
      <c r="O7" s="2082"/>
      <c r="P7" s="2082"/>
      <c r="Q7" s="2082"/>
      <c r="R7" s="2082"/>
      <c r="S7" s="208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83" t="s">
        <v>695</v>
      </c>
      <c r="J9" s="2084"/>
      <c r="K9" s="2084"/>
      <c r="L9" s="2084"/>
      <c r="M9" s="2084"/>
      <c r="N9" s="2084"/>
      <c r="O9" s="2084"/>
      <c r="P9" s="2084"/>
      <c r="Q9" s="2084"/>
      <c r="R9" s="2084"/>
      <c r="S9" s="2085"/>
      <c r="T9" s="2028" t="s">
        <v>554</v>
      </c>
      <c r="U9" s="2029"/>
      <c r="V9" s="2029"/>
      <c r="W9" s="2029"/>
      <c r="X9" s="2029"/>
      <c r="Y9" s="2029"/>
      <c r="Z9" s="2029"/>
      <c r="AA9" s="2030"/>
    </row>
    <row r="10" spans="1:28" ht="13.5" customHeight="1" x14ac:dyDescent="0.2">
      <c r="A10" s="2037" t="s">
        <v>696</v>
      </c>
      <c r="B10" s="2038"/>
      <c r="C10" s="2038"/>
      <c r="D10" s="2038"/>
      <c r="E10" s="2038"/>
      <c r="F10" s="2038"/>
      <c r="G10" s="2038"/>
      <c r="H10" s="2039"/>
      <c r="I10" s="29"/>
      <c r="J10" s="30"/>
      <c r="K10" s="28"/>
      <c r="R10" s="30"/>
      <c r="S10" s="30"/>
      <c r="T10" s="2031"/>
      <c r="U10" s="2032"/>
      <c r="V10" s="2032"/>
      <c r="W10" s="2032"/>
      <c r="X10" s="2032"/>
      <c r="Y10" s="2032"/>
      <c r="Z10" s="2032"/>
      <c r="AA10" s="2033"/>
    </row>
    <row r="11" spans="1:28" ht="14.25" customHeight="1" x14ac:dyDescent="0.2">
      <c r="A11" s="2040" t="s">
        <v>1012</v>
      </c>
      <c r="B11" s="2041"/>
      <c r="C11" s="2041"/>
      <c r="D11" s="2041"/>
      <c r="E11" s="2041"/>
      <c r="F11" s="2041"/>
      <c r="G11" s="2041"/>
      <c r="H11" s="2042"/>
      <c r="I11" s="27"/>
      <c r="J11" s="74"/>
      <c r="K11" s="27"/>
      <c r="O11" s="148"/>
      <c r="P11" s="100" t="s">
        <v>210</v>
      </c>
      <c r="Q11" s="30"/>
      <c r="R11" s="28"/>
      <c r="S11" s="27"/>
      <c r="T11" s="2034"/>
      <c r="U11" s="2035"/>
      <c r="V11" s="2035"/>
      <c r="W11" s="2035"/>
      <c r="X11" s="2035"/>
      <c r="Y11" s="2035"/>
      <c r="Z11" s="2035"/>
      <c r="AA11" s="2036"/>
    </row>
    <row r="12" spans="1:28" ht="13.5" customHeight="1" x14ac:dyDescent="0.2">
      <c r="A12" s="85" t="s">
        <v>982</v>
      </c>
      <c r="B12" s="76"/>
      <c r="C12" s="76"/>
      <c r="D12" s="76"/>
      <c r="E12" s="76"/>
      <c r="F12" s="76"/>
      <c r="G12" s="76"/>
      <c r="H12" s="53"/>
      <c r="I12" s="29"/>
      <c r="J12" s="30"/>
      <c r="K12" s="28"/>
      <c r="O12" s="149" t="s">
        <v>2082</v>
      </c>
      <c r="P12" s="100" t="s">
        <v>211</v>
      </c>
      <c r="Q12" s="74"/>
      <c r="R12" s="30"/>
      <c r="S12" s="30"/>
      <c r="T12" s="85" t="s">
        <v>283</v>
      </c>
      <c r="U12" s="51"/>
      <c r="V12" s="51"/>
      <c r="W12" s="51"/>
      <c r="X12" s="51"/>
      <c r="Y12" s="45"/>
      <c r="Z12" s="45"/>
      <c r="AA12" s="46"/>
    </row>
    <row r="13" spans="1:28" ht="13.5" customHeight="1" x14ac:dyDescent="0.2">
      <c r="A13" s="2048">
        <v>33048205026</v>
      </c>
      <c r="B13" s="2049"/>
      <c r="C13" s="2049"/>
      <c r="D13" s="2049"/>
      <c r="E13" s="2049"/>
      <c r="F13" s="2049"/>
      <c r="G13" s="2049"/>
      <c r="H13" s="2050"/>
      <c r="I13" s="31"/>
      <c r="J13" s="30"/>
      <c r="K13" s="28"/>
      <c r="L13" s="30"/>
      <c r="M13" s="30"/>
      <c r="N13" s="30"/>
      <c r="O13" s="30"/>
      <c r="P13" s="30"/>
      <c r="Q13" s="30"/>
      <c r="R13" s="30"/>
      <c r="S13" s="30"/>
      <c r="T13" s="2053" t="s">
        <v>2074</v>
      </c>
      <c r="U13" s="2054"/>
      <c r="V13" s="2054"/>
      <c r="W13" s="2054"/>
      <c r="X13" s="2054"/>
      <c r="Y13" s="2055"/>
      <c r="Z13" s="2055"/>
      <c r="AA13" s="205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6" t="s">
        <v>2083</v>
      </c>
      <c r="B15" s="2051"/>
      <c r="C15" s="2051"/>
      <c r="D15" s="2051"/>
      <c r="E15" s="2051"/>
      <c r="F15" s="2051"/>
      <c r="G15" s="2051"/>
      <c r="H15" s="2052"/>
      <c r="T15" s="2014" t="s">
        <v>2075</v>
      </c>
      <c r="U15" s="2015"/>
      <c r="V15" s="2015"/>
      <c r="W15" s="2015"/>
      <c r="X15" s="2015"/>
      <c r="Y15" s="2057"/>
      <c r="Z15" s="2057"/>
      <c r="AA15" s="205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6" t="s">
        <v>2200</v>
      </c>
      <c r="B17" s="2076"/>
      <c r="C17" s="2076"/>
      <c r="D17" s="2076"/>
      <c r="E17" s="2076"/>
      <c r="F17" s="2076"/>
      <c r="G17" s="2076"/>
      <c r="H17" s="2077"/>
      <c r="T17" s="2063" t="s">
        <v>2076</v>
      </c>
      <c r="U17" s="2064"/>
      <c r="V17" s="2064"/>
      <c r="W17" s="2064"/>
      <c r="X17" s="2064"/>
      <c r="Y17" s="2064"/>
      <c r="Z17" s="2064"/>
      <c r="AA17" s="2065"/>
    </row>
    <row r="18" spans="1:27" ht="13.5" customHeight="1" x14ac:dyDescent="0.2">
      <c r="A18" s="85" t="s">
        <v>551</v>
      </c>
      <c r="B18" s="76"/>
      <c r="C18" s="72"/>
      <c r="D18" s="76"/>
      <c r="E18" s="76"/>
      <c r="F18" s="76"/>
      <c r="G18" s="76"/>
      <c r="H18" s="56"/>
      <c r="I18" s="2073" t="s">
        <v>697</v>
      </c>
      <c r="J18" s="2074"/>
      <c r="K18" s="2074"/>
      <c r="L18" s="2074"/>
      <c r="M18" s="2074"/>
      <c r="N18" s="2074"/>
      <c r="O18" s="2074"/>
      <c r="P18" s="2074"/>
      <c r="Q18" s="2074"/>
      <c r="R18" s="2074"/>
      <c r="S18" s="2075"/>
      <c r="T18" s="85" t="s">
        <v>735</v>
      </c>
      <c r="U18" s="51"/>
      <c r="V18" s="72"/>
      <c r="W18" s="50"/>
      <c r="X18" s="85" t="s">
        <v>284</v>
      </c>
      <c r="Y18" s="81"/>
      <c r="Z18" s="159" t="s">
        <v>698</v>
      </c>
      <c r="AA18" s="46"/>
    </row>
    <row r="19" spans="1:27" ht="13.5" customHeight="1" x14ac:dyDescent="0.2">
      <c r="A19" s="2046" t="s">
        <v>2084</v>
      </c>
      <c r="B19" s="2047"/>
      <c r="C19" s="2047"/>
      <c r="D19" s="2047"/>
      <c r="E19" s="2047"/>
      <c r="F19" s="2047"/>
      <c r="G19" s="2047"/>
      <c r="H19" s="2045"/>
      <c r="I19" s="30"/>
      <c r="J19" s="99"/>
      <c r="K19" s="40"/>
      <c r="L19" s="38"/>
      <c r="M19" s="112" t="s">
        <v>333</v>
      </c>
      <c r="P19" s="27"/>
      <c r="Q19" s="27"/>
      <c r="R19" s="27"/>
      <c r="S19" s="31"/>
      <c r="T19" s="2046" t="s">
        <v>2077</v>
      </c>
      <c r="U19" s="2044"/>
      <c r="V19" s="2044"/>
      <c r="W19" s="2045"/>
      <c r="X19" s="2061" t="s">
        <v>2078</v>
      </c>
      <c r="Y19" s="2062"/>
      <c r="Z19" s="2059">
        <v>61615</v>
      </c>
      <c r="AA19" s="206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43" t="s">
        <v>2199</v>
      </c>
      <c r="B21" s="2044"/>
      <c r="C21" s="2044"/>
      <c r="D21" s="2044"/>
      <c r="E21" s="2044"/>
      <c r="F21" s="2044"/>
      <c r="G21" s="2044"/>
      <c r="H21" s="2045"/>
      <c r="I21" s="2069" t="s">
        <v>699</v>
      </c>
      <c r="J21" s="2032"/>
      <c r="K21" s="2032"/>
      <c r="L21" s="2032"/>
      <c r="M21" s="2032"/>
      <c r="N21" s="2032"/>
      <c r="O21" s="2032"/>
      <c r="P21" s="2032"/>
      <c r="Q21" s="2032"/>
      <c r="R21" s="2032"/>
      <c r="S21" s="2033"/>
      <c r="T21" s="2011" t="s">
        <v>2079</v>
      </c>
      <c r="U21" s="2012"/>
      <c r="V21" s="2012"/>
      <c r="W21" s="2012"/>
      <c r="X21" s="2025" t="s">
        <v>2090</v>
      </c>
      <c r="Y21" s="2026"/>
      <c r="Z21" s="2026"/>
      <c r="AA21" s="2027"/>
    </row>
    <row r="22" spans="1:27" ht="13.5" customHeight="1" x14ac:dyDescent="0.2">
      <c r="A22" s="87" t="s">
        <v>552</v>
      </c>
      <c r="B22" s="59"/>
      <c r="C22" s="59"/>
      <c r="D22" s="59"/>
      <c r="E22" s="59"/>
      <c r="F22" s="59"/>
      <c r="G22" s="59"/>
      <c r="H22" s="60"/>
      <c r="I22" s="2070" t="s">
        <v>1504</v>
      </c>
      <c r="J22" s="2071"/>
      <c r="K22" s="2071"/>
      <c r="L22" s="2071"/>
      <c r="M22" s="2071"/>
      <c r="N22" s="2071"/>
      <c r="O22" s="2071"/>
      <c r="P22" s="2071"/>
      <c r="Q22" s="2071"/>
      <c r="R22" s="2071"/>
      <c r="S22" s="2072"/>
      <c r="T22" s="85" t="s">
        <v>1596</v>
      </c>
      <c r="U22" s="51"/>
      <c r="V22" s="72"/>
      <c r="W22" s="51"/>
      <c r="X22" s="160" t="s">
        <v>1385</v>
      </c>
      <c r="Z22" s="45"/>
      <c r="AA22" s="46"/>
    </row>
    <row r="23" spans="1:27" ht="13.5" customHeight="1" x14ac:dyDescent="0.2">
      <c r="A23" s="2066" t="s">
        <v>2085</v>
      </c>
      <c r="B23" s="2067"/>
      <c r="C23" s="2067"/>
      <c r="D23" s="2067"/>
      <c r="E23" s="2067"/>
      <c r="F23" s="2067"/>
      <c r="G23" s="2067"/>
      <c r="H23" s="2068"/>
      <c r="T23" s="2006" t="s">
        <v>2081</v>
      </c>
      <c r="U23" s="2007"/>
      <c r="V23" s="2007"/>
      <c r="W23" s="2007"/>
      <c r="X23" s="2022">
        <v>43434</v>
      </c>
      <c r="Y23" s="2023"/>
      <c r="Z23" s="2023"/>
      <c r="AA23" s="2024"/>
    </row>
    <row r="24" spans="1:27" ht="14.1" customHeight="1" x14ac:dyDescent="0.2">
      <c r="A24" s="88" t="s">
        <v>698</v>
      </c>
      <c r="B24" s="49"/>
      <c r="C24" s="49"/>
      <c r="D24" s="49"/>
      <c r="E24" s="49"/>
      <c r="F24" s="49"/>
      <c r="G24" s="49"/>
      <c r="H24" s="61"/>
      <c r="J24" s="2108">
        <f>IF(B5="x",IF(AUDITCHECK!D29="AFR form Incomplete.","",IF(AUDITCHECK!D29="Deficit reduction plan is required.","School District must complete a deficit reduction plan in the 2018-2019 Budget",)),"")</f>
        <v>0</v>
      </c>
      <c r="K24" s="2108"/>
      <c r="L24" s="2108"/>
      <c r="M24" s="2108"/>
      <c r="N24" s="2108"/>
      <c r="O24" s="2108"/>
      <c r="P24" s="2108"/>
      <c r="Q24" s="2108"/>
      <c r="R24" s="2108"/>
      <c r="S24" s="2109"/>
      <c r="T24" s="105" t="s">
        <v>552</v>
      </c>
      <c r="U24" s="106"/>
      <c r="V24" s="106"/>
      <c r="W24" s="106"/>
      <c r="X24" s="107"/>
      <c r="Y24" s="107"/>
      <c r="Z24" s="107"/>
      <c r="AA24" s="108"/>
    </row>
    <row r="25" spans="1:27" ht="14.1" customHeight="1" x14ac:dyDescent="0.2">
      <c r="A25" s="2043">
        <v>61401</v>
      </c>
      <c r="B25" s="2044"/>
      <c r="C25" s="2044"/>
      <c r="D25" s="2044"/>
      <c r="E25" s="2044"/>
      <c r="F25" s="2044"/>
      <c r="G25" s="2044"/>
      <c r="H25" s="2045"/>
      <c r="I25" s="113"/>
      <c r="J25" s="2110"/>
      <c r="K25" s="2110"/>
      <c r="L25" s="2110"/>
      <c r="M25" s="2110"/>
      <c r="N25" s="2110"/>
      <c r="O25" s="2110"/>
      <c r="P25" s="2110"/>
      <c r="Q25" s="2110"/>
      <c r="R25" s="2110"/>
      <c r="S25" s="2111"/>
      <c r="T25" s="2003" t="s">
        <v>2080</v>
      </c>
      <c r="U25" s="2004"/>
      <c r="V25" s="2004"/>
      <c r="W25" s="2004"/>
      <c r="X25" s="2004"/>
      <c r="Y25" s="2004"/>
      <c r="Z25" s="2004"/>
      <c r="AA25" s="200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101" t="s">
        <v>1591</v>
      </c>
      <c r="J27" s="2074"/>
      <c r="K27" s="2074"/>
      <c r="L27" s="2074"/>
      <c r="M27" s="2074"/>
      <c r="N27" s="2074"/>
      <c r="O27" s="2074"/>
      <c r="P27" s="2074"/>
      <c r="Q27" s="2074"/>
      <c r="R27" s="2074"/>
      <c r="S27" s="207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2082</v>
      </c>
      <c r="K29" s="28" t="s">
        <v>597</v>
      </c>
      <c r="L29" s="148"/>
      <c r="M29" s="40" t="s">
        <v>101</v>
      </c>
      <c r="N29" s="32" t="s">
        <v>1604</v>
      </c>
      <c r="O29" s="32"/>
      <c r="P29" s="32"/>
      <c r="Q29" s="32"/>
      <c r="R29" s="32"/>
      <c r="S29" s="123"/>
      <c r="T29" s="6"/>
      <c r="U29" s="6"/>
      <c r="V29" s="6"/>
      <c r="W29" s="6"/>
      <c r="X29" s="6"/>
      <c r="Y29" s="6"/>
      <c r="Z29" s="6"/>
      <c r="AA29" s="132"/>
    </row>
    <row r="30" spans="1:27" ht="13.5" customHeight="1" x14ac:dyDescent="0.2">
      <c r="A30" s="153"/>
      <c r="B30" s="136" t="s">
        <v>2082</v>
      </c>
      <c r="C30" s="124" t="s">
        <v>1226</v>
      </c>
      <c r="D30" s="28"/>
      <c r="E30" s="28"/>
      <c r="F30" s="140"/>
      <c r="G30" s="114"/>
      <c r="H30" s="114"/>
      <c r="I30" s="54"/>
      <c r="J30" s="148" t="s">
        <v>2082</v>
      </c>
      <c r="K30" s="28" t="s">
        <v>597</v>
      </c>
      <c r="L30" s="148"/>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2082</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2082</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47"/>
      <c r="Q35" s="2044"/>
      <c r="R35" s="204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6" t="s">
        <v>2086</v>
      </c>
      <c r="B38" s="2076"/>
      <c r="C38" s="2076"/>
      <c r="D38" s="2076"/>
      <c r="E38" s="2076"/>
      <c r="F38" s="2044"/>
      <c r="G38" s="2044"/>
      <c r="H38" s="2045"/>
      <c r="I38" s="2095"/>
      <c r="J38" s="2015"/>
      <c r="K38" s="2015"/>
      <c r="L38" s="2015"/>
      <c r="M38" s="2015"/>
      <c r="N38" s="2015"/>
      <c r="O38" s="2015"/>
      <c r="P38" s="2016"/>
      <c r="Q38" s="2016"/>
      <c r="R38" s="2016"/>
      <c r="S38" s="2017"/>
      <c r="T38" s="2014"/>
      <c r="U38" s="2015"/>
      <c r="V38" s="2015"/>
      <c r="W38" s="2015"/>
      <c r="X38" s="2016"/>
      <c r="Y38" s="2016"/>
      <c r="Z38" s="2016"/>
      <c r="AA38" s="2017"/>
    </row>
    <row r="39" spans="1:27" ht="12" customHeight="1" x14ac:dyDescent="0.2">
      <c r="A39" s="2099" t="s">
        <v>552</v>
      </c>
      <c r="B39" s="2100"/>
      <c r="C39" s="72"/>
      <c r="D39" s="69"/>
      <c r="E39" s="69"/>
      <c r="F39" s="79"/>
      <c r="G39" s="69"/>
      <c r="H39" s="56"/>
      <c r="I39" s="2099" t="s">
        <v>552</v>
      </c>
      <c r="J39" s="2100"/>
      <c r="K39" s="2100"/>
      <c r="L39" s="2100"/>
      <c r="M39" s="2100"/>
      <c r="N39" s="67"/>
      <c r="O39" s="72"/>
      <c r="P39" s="72"/>
      <c r="Q39" s="78"/>
      <c r="R39" s="72"/>
      <c r="S39" s="56"/>
      <c r="T39" s="72" t="s">
        <v>552</v>
      </c>
      <c r="U39" s="51"/>
      <c r="V39" s="72"/>
      <c r="W39" s="50"/>
      <c r="X39" s="78"/>
      <c r="Y39" s="45"/>
      <c r="Z39" s="45"/>
      <c r="AA39" s="46"/>
    </row>
    <row r="40" spans="1:27" ht="13.5" customHeight="1" x14ac:dyDescent="0.2">
      <c r="A40" s="2102" t="s">
        <v>2087</v>
      </c>
      <c r="B40" s="2103"/>
      <c r="C40" s="2104"/>
      <c r="D40" s="2104"/>
      <c r="E40" s="2104"/>
      <c r="F40" s="2105"/>
      <c r="G40" s="2105"/>
      <c r="H40" s="2106"/>
      <c r="I40" s="2018"/>
      <c r="J40" s="2020"/>
      <c r="K40" s="2020"/>
      <c r="L40" s="2020"/>
      <c r="M40" s="2020"/>
      <c r="N40" s="2020"/>
      <c r="O40" s="2020"/>
      <c r="P40" s="2020"/>
      <c r="Q40" s="2020"/>
      <c r="R40" s="2020"/>
      <c r="S40" s="2021"/>
      <c r="T40" s="2018"/>
      <c r="U40" s="2019"/>
      <c r="V40" s="2020"/>
      <c r="W40" s="2020"/>
      <c r="X40" s="2020"/>
      <c r="Y40" s="2020"/>
      <c r="Z40" s="2020"/>
      <c r="AA40" s="202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92" t="s">
        <v>2088</v>
      </c>
      <c r="B42" s="2093"/>
      <c r="C42" s="2094"/>
      <c r="D42" s="2107" t="s">
        <v>2089</v>
      </c>
      <c r="E42" s="2093"/>
      <c r="F42" s="2093"/>
      <c r="G42" s="2093"/>
      <c r="H42" s="2094"/>
      <c r="I42" s="2013"/>
      <c r="J42" s="2009"/>
      <c r="K42" s="2009"/>
      <c r="L42" s="2009"/>
      <c r="M42" s="2009"/>
      <c r="N42" s="2009"/>
      <c r="O42" s="2010"/>
      <c r="P42" s="2008"/>
      <c r="Q42" s="2009"/>
      <c r="R42" s="2009"/>
      <c r="S42" s="2010"/>
      <c r="T42" s="2013"/>
      <c r="U42" s="2009"/>
      <c r="V42" s="2009"/>
      <c r="W42" s="2010"/>
      <c r="X42" s="2008"/>
      <c r="Y42" s="2009"/>
      <c r="Z42" s="2009"/>
      <c r="AA42" s="201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96"/>
      <c r="B44" s="2097"/>
      <c r="C44" s="2097"/>
      <c r="D44" s="2097"/>
      <c r="E44" s="2097"/>
      <c r="F44" s="2097"/>
      <c r="G44" s="2097"/>
      <c r="H44" s="2098"/>
      <c r="I44" s="2088"/>
      <c r="J44" s="2090"/>
      <c r="K44" s="2090"/>
      <c r="L44" s="2090"/>
      <c r="M44" s="2090"/>
      <c r="N44" s="2090"/>
      <c r="O44" s="2090"/>
      <c r="P44" s="2090"/>
      <c r="Q44" s="2090"/>
      <c r="R44" s="2090"/>
      <c r="S44" s="2091"/>
      <c r="T44" s="2088"/>
      <c r="U44" s="2089"/>
      <c r="V44" s="2089"/>
      <c r="W44" s="2089"/>
      <c r="X44" s="2089"/>
      <c r="Y44" s="2089"/>
      <c r="Z44" s="2090"/>
      <c r="AA44" s="209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9" sqref="E1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45" t="s">
        <v>1902</v>
      </c>
      <c r="B2" s="1550" t="s">
        <v>2034</v>
      </c>
      <c r="C2" s="715" t="s">
        <v>1907</v>
      </c>
      <c r="D2" s="715" t="s">
        <v>1908</v>
      </c>
      <c r="E2" s="715" t="s">
        <v>1909</v>
      </c>
      <c r="F2" s="715" t="s">
        <v>1910</v>
      </c>
    </row>
    <row r="3" spans="1:6" ht="12" customHeight="1" x14ac:dyDescent="0.2">
      <c r="A3" s="2246"/>
      <c r="B3" s="1547"/>
      <c r="C3" s="1548"/>
      <c r="D3" s="1549" t="s">
        <v>274</v>
      </c>
      <c r="E3" s="1548"/>
      <c r="F3" s="1549" t="s">
        <v>275</v>
      </c>
    </row>
    <row r="4" spans="1:6" ht="13.7" customHeight="1" x14ac:dyDescent="0.2">
      <c r="A4" s="716" t="s">
        <v>1217</v>
      </c>
      <c r="B4" s="1771">
        <v>11322228</v>
      </c>
      <c r="C4" s="1546">
        <v>5999560</v>
      </c>
      <c r="D4" s="1774">
        <f>B4-C4</f>
        <v>5322668</v>
      </c>
      <c r="E4" s="1546">
        <v>11555899</v>
      </c>
      <c r="F4" s="1774">
        <f>E4-C4</f>
        <v>5556339</v>
      </c>
    </row>
    <row r="5" spans="1:6" ht="13.7" customHeight="1" x14ac:dyDescent="0.2">
      <c r="A5" s="716" t="s">
        <v>925</v>
      </c>
      <c r="B5" s="1772">
        <v>2073666</v>
      </c>
      <c r="C5" s="585">
        <v>1098819</v>
      </c>
      <c r="D5" s="1775">
        <f t="shared" ref="D5:D18" si="0">B5-C5</f>
        <v>974847</v>
      </c>
      <c r="E5" s="585">
        <v>2116465</v>
      </c>
      <c r="F5" s="1775">
        <f>E5-C5</f>
        <v>1017646</v>
      </c>
    </row>
    <row r="6" spans="1:6" ht="13.7" customHeight="1" x14ac:dyDescent="0.2">
      <c r="A6" s="716" t="s">
        <v>431</v>
      </c>
      <c r="B6" s="1772">
        <v>2543482</v>
      </c>
      <c r="C6" s="585">
        <v>1241820</v>
      </c>
      <c r="D6" s="1775">
        <f t="shared" si="0"/>
        <v>1301662</v>
      </c>
      <c r="E6" s="585">
        <v>2391902</v>
      </c>
      <c r="F6" s="1775">
        <f t="shared" ref="F6:F18" si="1">E6-C6</f>
        <v>1150082</v>
      </c>
    </row>
    <row r="7" spans="1:6" ht="13.7" customHeight="1" x14ac:dyDescent="0.2">
      <c r="A7" s="716" t="s">
        <v>157</v>
      </c>
      <c r="B7" s="1772">
        <v>829473</v>
      </c>
      <c r="C7" s="585">
        <v>439534</v>
      </c>
      <c r="D7" s="1775">
        <f t="shared" si="0"/>
        <v>389939</v>
      </c>
      <c r="E7" s="585">
        <v>846586</v>
      </c>
      <c r="F7" s="1775">
        <f t="shared" si="1"/>
        <v>407052</v>
      </c>
    </row>
    <row r="8" spans="1:6" ht="13.7" customHeight="1" x14ac:dyDescent="0.2">
      <c r="A8" s="716" t="s">
        <v>1241</v>
      </c>
      <c r="B8" s="1772">
        <v>505711</v>
      </c>
      <c r="C8" s="585">
        <v>52282</v>
      </c>
      <c r="D8" s="1775">
        <f t="shared" si="0"/>
        <v>453429</v>
      </c>
      <c r="E8" s="585">
        <v>100701</v>
      </c>
      <c r="F8" s="1775">
        <f t="shared" si="1"/>
        <v>48419</v>
      </c>
    </row>
    <row r="9" spans="1:6" ht="13.7" customHeight="1" x14ac:dyDescent="0.2">
      <c r="A9" s="716" t="s">
        <v>428</v>
      </c>
      <c r="B9" s="1772">
        <v>0</v>
      </c>
      <c r="C9" s="585">
        <v>0</v>
      </c>
      <c r="D9" s="1775">
        <f t="shared" si="0"/>
        <v>0</v>
      </c>
      <c r="E9" s="585">
        <v>0</v>
      </c>
      <c r="F9" s="1775">
        <f t="shared" si="1"/>
        <v>0</v>
      </c>
    </row>
    <row r="10" spans="1:6" ht="13.7" customHeight="1" x14ac:dyDescent="0.2">
      <c r="A10" s="716" t="s">
        <v>427</v>
      </c>
      <c r="B10" s="1772">
        <v>207375</v>
      </c>
      <c r="C10" s="585">
        <v>109886</v>
      </c>
      <c r="D10" s="1775">
        <f t="shared" si="0"/>
        <v>97489</v>
      </c>
      <c r="E10" s="585">
        <v>211646</v>
      </c>
      <c r="F10" s="1775">
        <f t="shared" si="1"/>
        <v>101760</v>
      </c>
    </row>
    <row r="11" spans="1:6" x14ac:dyDescent="0.2">
      <c r="A11" s="716" t="s">
        <v>429</v>
      </c>
      <c r="B11" s="1772">
        <v>1604240</v>
      </c>
      <c r="C11" s="585">
        <v>1058712</v>
      </c>
      <c r="D11" s="1775">
        <f t="shared" si="0"/>
        <v>545528</v>
      </c>
      <c r="E11" s="585">
        <v>2039214</v>
      </c>
      <c r="F11" s="1775">
        <f t="shared" si="1"/>
        <v>980502</v>
      </c>
    </row>
    <row r="12" spans="1:6" ht="13.7" customHeight="1" x14ac:dyDescent="0.2">
      <c r="A12" s="716" t="s">
        <v>159</v>
      </c>
      <c r="B12" s="1772">
        <v>207375</v>
      </c>
      <c r="C12" s="585">
        <v>109886</v>
      </c>
      <c r="D12" s="1775">
        <f t="shared" si="0"/>
        <v>97489</v>
      </c>
      <c r="E12" s="585">
        <v>211646</v>
      </c>
      <c r="F12" s="1775">
        <f t="shared" si="1"/>
        <v>101760</v>
      </c>
    </row>
    <row r="13" spans="1:6" ht="13.7" customHeight="1" x14ac:dyDescent="0.2">
      <c r="A13" s="716" t="s">
        <v>993</v>
      </c>
      <c r="B13" s="1772">
        <v>207378</v>
      </c>
      <c r="C13" s="585">
        <v>109886</v>
      </c>
      <c r="D13" s="1775">
        <f t="shared" si="0"/>
        <v>97492</v>
      </c>
      <c r="E13" s="585">
        <v>211646</v>
      </c>
      <c r="F13" s="1775">
        <f t="shared" si="1"/>
        <v>101760</v>
      </c>
    </row>
    <row r="14" spans="1:6" ht="13.7" customHeight="1" x14ac:dyDescent="0.2">
      <c r="A14" s="716" t="s">
        <v>430</v>
      </c>
      <c r="B14" s="1772">
        <v>165891</v>
      </c>
      <c r="C14" s="585">
        <v>87905</v>
      </c>
      <c r="D14" s="1775">
        <f t="shared" si="0"/>
        <v>77986</v>
      </c>
      <c r="E14" s="585">
        <v>169317</v>
      </c>
      <c r="F14" s="1775">
        <f t="shared" si="1"/>
        <v>81412</v>
      </c>
    </row>
    <row r="15" spans="1:6" ht="13.7" customHeight="1" x14ac:dyDescent="0.2">
      <c r="A15" s="716" t="s">
        <v>1220</v>
      </c>
      <c r="B15" s="1772">
        <v>0</v>
      </c>
      <c r="C15" s="585">
        <v>0</v>
      </c>
      <c r="D15" s="1775">
        <f t="shared" si="0"/>
        <v>0</v>
      </c>
      <c r="E15" s="585">
        <v>0</v>
      </c>
      <c r="F15" s="1775">
        <f t="shared" si="1"/>
        <v>0</v>
      </c>
    </row>
    <row r="16" spans="1:6" ht="13.7" customHeight="1" x14ac:dyDescent="0.2">
      <c r="A16" s="716" t="s">
        <v>1221</v>
      </c>
      <c r="B16" s="1772">
        <v>623215</v>
      </c>
      <c r="C16" s="585">
        <v>315911</v>
      </c>
      <c r="D16" s="1775">
        <f t="shared" si="0"/>
        <v>307304</v>
      </c>
      <c r="E16" s="585">
        <v>608483</v>
      </c>
      <c r="F16" s="1775">
        <f t="shared" si="1"/>
        <v>292572</v>
      </c>
    </row>
    <row r="17" spans="1:6" ht="13.7" customHeight="1" x14ac:dyDescent="0.2">
      <c r="A17" s="716" t="s">
        <v>1222</v>
      </c>
      <c r="B17" s="1772">
        <v>0</v>
      </c>
      <c r="C17" s="585">
        <v>0</v>
      </c>
      <c r="D17" s="1775">
        <f t="shared" si="0"/>
        <v>0</v>
      </c>
      <c r="E17" s="585">
        <v>0</v>
      </c>
      <c r="F17" s="1775">
        <f t="shared" si="1"/>
        <v>0</v>
      </c>
    </row>
    <row r="18" spans="1:6" ht="13.7" customHeight="1" x14ac:dyDescent="0.2">
      <c r="A18" s="716" t="s">
        <v>786</v>
      </c>
      <c r="B18" s="1772">
        <v>0</v>
      </c>
      <c r="C18" s="585">
        <v>0</v>
      </c>
      <c r="D18" s="1775">
        <f t="shared" si="0"/>
        <v>0</v>
      </c>
      <c r="E18" s="585">
        <v>0</v>
      </c>
      <c r="F18" s="1775">
        <f t="shared" si="1"/>
        <v>0</v>
      </c>
    </row>
    <row r="19" spans="1:6" ht="13.7" customHeight="1" thickBot="1" x14ac:dyDescent="0.25">
      <c r="A19" s="1776" t="s">
        <v>1223</v>
      </c>
      <c r="B19" s="1773">
        <f>SUM(B4:B18)</f>
        <v>20290034</v>
      </c>
      <c r="C19" s="1773">
        <f>SUM(C4:C18)</f>
        <v>10624201</v>
      </c>
      <c r="D19" s="1773">
        <f>SUM(D4:D18)</f>
        <v>9665833</v>
      </c>
      <c r="E19" s="1773">
        <f>SUM(E4:E18)</f>
        <v>20463505</v>
      </c>
      <c r="F19" s="1773">
        <f>SUM(F4:F18)</f>
        <v>9839304</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98" zoomScaleNormal="98" workbookViewId="0">
      <selection activeCell="G43" sqref="G4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1" t="s">
        <v>650</v>
      </c>
      <c r="B1" s="2252"/>
      <c r="C1" s="722"/>
    </row>
    <row r="2" spans="1:7" ht="33.75" x14ac:dyDescent="0.2">
      <c r="A2" s="2260" t="s">
        <v>1902</v>
      </c>
      <c r="B2" s="2261"/>
      <c r="C2" s="1908" t="s">
        <v>2035</v>
      </c>
      <c r="D2" s="724" t="s">
        <v>2042</v>
      </c>
      <c r="E2" s="724" t="s">
        <v>2043</v>
      </c>
      <c r="F2" s="1908" t="s">
        <v>2036</v>
      </c>
    </row>
    <row r="3" spans="1:7" ht="15.75" customHeight="1" x14ac:dyDescent="0.2">
      <c r="A3" s="2264" t="s">
        <v>1176</v>
      </c>
      <c r="B3" s="2265"/>
      <c r="C3" s="2253"/>
      <c r="D3" s="2254"/>
      <c r="E3" s="2254"/>
      <c r="F3" s="2255"/>
    </row>
    <row r="4" spans="1:7" ht="12.75" customHeight="1" thickBot="1" x14ac:dyDescent="0.25">
      <c r="A4" s="2262" t="s">
        <v>651</v>
      </c>
      <c r="B4" s="2263"/>
      <c r="C4" s="581"/>
      <c r="D4" s="581"/>
      <c r="E4" s="581"/>
      <c r="F4" s="1777">
        <f>SUM(C4+D4)-E4</f>
        <v>0</v>
      </c>
    </row>
    <row r="5" spans="1:7" ht="15.75" customHeight="1" thickTop="1" x14ac:dyDescent="0.2">
      <c r="A5" s="2247" t="s">
        <v>1172</v>
      </c>
      <c r="B5" s="2248"/>
      <c r="C5" s="2256"/>
      <c r="D5" s="2257"/>
      <c r="E5" s="2257"/>
      <c r="F5" s="2258"/>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49" t="s">
        <v>652</v>
      </c>
      <c r="B15" s="2250"/>
      <c r="C15" s="1777">
        <f>SUM(C6:C14)</f>
        <v>0</v>
      </c>
      <c r="D15" s="1777">
        <f>SUM(D6:D14)</f>
        <v>0</v>
      </c>
      <c r="E15" s="1777">
        <f>SUM(E6:E14)</f>
        <v>0</v>
      </c>
      <c r="F15" s="1777">
        <f>SUM(F6:F14)</f>
        <v>0</v>
      </c>
      <c r="G15" s="552"/>
    </row>
    <row r="16" spans="1:7" s="202" customFormat="1" ht="15.75" customHeight="1" thickTop="1" x14ac:dyDescent="0.2">
      <c r="A16" s="2259" t="s">
        <v>1173</v>
      </c>
      <c r="B16" s="2248"/>
      <c r="C16" s="2256"/>
      <c r="D16" s="2257"/>
      <c r="E16" s="2257"/>
      <c r="F16" s="2258"/>
    </row>
    <row r="17" spans="1:11" ht="12.75" customHeight="1" thickBot="1" x14ac:dyDescent="0.25">
      <c r="A17" s="2272" t="s">
        <v>66</v>
      </c>
      <c r="B17" s="2273"/>
      <c r="C17" s="727"/>
      <c r="D17" s="585"/>
      <c r="E17" s="727"/>
      <c r="F17" s="1777">
        <f>SUM(C17+D17)-E17</f>
        <v>0</v>
      </c>
    </row>
    <row r="18" spans="1:11" ht="12.75" customHeight="1" thickTop="1" thickBot="1" x14ac:dyDescent="0.25">
      <c r="A18" s="2272" t="s">
        <v>6</v>
      </c>
      <c r="B18" s="2273"/>
      <c r="C18" s="727"/>
      <c r="D18" s="585"/>
      <c r="E18" s="727"/>
      <c r="F18" s="1777">
        <f>SUM(C18+D18)-E18</f>
        <v>0</v>
      </c>
    </row>
    <row r="19" spans="1:11" ht="12.75" customHeight="1" thickTop="1" thickBot="1" x14ac:dyDescent="0.25">
      <c r="A19" s="2272" t="s">
        <v>406</v>
      </c>
      <c r="B19" s="2273"/>
      <c r="C19" s="727"/>
      <c r="D19" s="585"/>
      <c r="E19" s="727"/>
      <c r="F19" s="1777">
        <f>SUM(C19+D19)-E19</f>
        <v>0</v>
      </c>
    </row>
    <row r="20" spans="1:11" ht="12.75" customHeight="1" thickTop="1" thickBot="1" x14ac:dyDescent="0.25">
      <c r="A20" s="2272" t="s">
        <v>468</v>
      </c>
      <c r="B20" s="2273"/>
      <c r="C20" s="727"/>
      <c r="D20" s="585"/>
      <c r="E20" s="727"/>
      <c r="F20" s="1777">
        <f>SUM(C20+D20)-E20</f>
        <v>0</v>
      </c>
    </row>
    <row r="21" spans="1:11" ht="14.25" thickTop="1" thickBot="1" x14ac:dyDescent="0.25">
      <c r="A21" s="2249" t="s">
        <v>653</v>
      </c>
      <c r="B21" s="2250"/>
      <c r="C21" s="1777">
        <f>SUM(C17:C20)</f>
        <v>0</v>
      </c>
      <c r="D21" s="1777">
        <f>SUM(D17:D20)</f>
        <v>0</v>
      </c>
      <c r="E21" s="1777">
        <f>SUM(E17:E20)</f>
        <v>0</v>
      </c>
      <c r="F21" s="1777">
        <f>SUM(F17:F20)</f>
        <v>0</v>
      </c>
      <c r="G21" s="552"/>
    </row>
    <row r="22" spans="1:11" ht="15.75" customHeight="1" thickTop="1" x14ac:dyDescent="0.2">
      <c r="A22" s="2274" t="s">
        <v>1174</v>
      </c>
      <c r="B22" s="2248"/>
      <c r="C22" s="2256"/>
      <c r="D22" s="2257"/>
      <c r="E22" s="2257"/>
      <c r="F22" s="2258"/>
    </row>
    <row r="23" spans="1:11" ht="13.5" thickBot="1" x14ac:dyDescent="0.25">
      <c r="A23" s="2262" t="s">
        <v>654</v>
      </c>
      <c r="B23" s="2263"/>
      <c r="C23" s="581"/>
      <c r="D23" s="581"/>
      <c r="E23" s="581"/>
      <c r="F23" s="1777">
        <f>SUM(C23+D23)-E23</f>
        <v>0</v>
      </c>
      <c r="G23" s="552"/>
    </row>
    <row r="24" spans="1:11" ht="15.75" customHeight="1" thickTop="1" x14ac:dyDescent="0.2">
      <c r="A24" s="2274" t="s">
        <v>1175</v>
      </c>
      <c r="B24" s="2248"/>
      <c r="C24" s="2256"/>
      <c r="D24" s="2257"/>
      <c r="E24" s="2257"/>
      <c r="F24" s="2258"/>
    </row>
    <row r="25" spans="1:11" ht="13.5" thickBot="1" x14ac:dyDescent="0.25">
      <c r="A25" s="2262" t="s">
        <v>655</v>
      </c>
      <c r="B25" s="2263"/>
      <c r="C25" s="581"/>
      <c r="D25" s="581"/>
      <c r="E25" s="581"/>
      <c r="F25" s="1777">
        <f>SUM(C25+D25)-E25</f>
        <v>0</v>
      </c>
      <c r="G25" s="552"/>
    </row>
    <row r="26" spans="1:11" ht="15.75" customHeight="1" thickTop="1" x14ac:dyDescent="0.2">
      <c r="A26" s="2247" t="s">
        <v>678</v>
      </c>
      <c r="B26" s="2248"/>
      <c r="C26" s="728"/>
      <c r="D26" s="728"/>
      <c r="E26" s="728"/>
      <c r="F26" s="729"/>
    </row>
    <row r="27" spans="1:11" ht="13.5" thickBot="1" x14ac:dyDescent="0.25">
      <c r="A27" s="2249" t="s">
        <v>1130</v>
      </c>
      <c r="B27" s="2250"/>
      <c r="C27" s="585"/>
      <c r="D27" s="585"/>
      <c r="E27" s="585"/>
      <c r="F27" s="1777">
        <f>SUM(C27+D27)-E27</f>
        <v>0</v>
      </c>
      <c r="G27" s="552"/>
    </row>
    <row r="28" spans="1:11" ht="7.5" customHeight="1" thickTop="1" x14ac:dyDescent="0.2">
      <c r="A28" s="594"/>
    </row>
    <row r="29" spans="1:11" ht="23.25" customHeight="1" x14ac:dyDescent="0.2">
      <c r="A29" s="2275" t="s">
        <v>603</v>
      </c>
      <c r="B29" s="2252"/>
      <c r="C29" s="730"/>
      <c r="D29" s="730"/>
      <c r="E29" s="730"/>
      <c r="F29" s="730"/>
      <c r="G29" s="730"/>
      <c r="H29" s="730"/>
      <c r="I29" s="730"/>
      <c r="J29" s="730"/>
    </row>
    <row r="30" spans="1:11" ht="33.75" x14ac:dyDescent="0.2">
      <c r="A30" s="1551" t="s">
        <v>1131</v>
      </c>
      <c r="B30" s="731" t="s">
        <v>1186</v>
      </c>
      <c r="C30" s="1909" t="s">
        <v>604</v>
      </c>
      <c r="D30" s="1909" t="s">
        <v>1772</v>
      </c>
      <c r="E30" s="1909" t="s">
        <v>2037</v>
      </c>
      <c r="F30" s="1909" t="s">
        <v>2038</v>
      </c>
      <c r="G30" s="1909" t="s">
        <v>2041</v>
      </c>
      <c r="H30" s="1909" t="s">
        <v>2039</v>
      </c>
      <c r="I30" s="1909" t="s">
        <v>2040</v>
      </c>
      <c r="J30" s="1910" t="s">
        <v>2</v>
      </c>
      <c r="K30" s="732"/>
    </row>
    <row r="31" spans="1:11" ht="12" customHeight="1" x14ac:dyDescent="0.2">
      <c r="A31" s="733" t="s">
        <v>2091</v>
      </c>
      <c r="B31" s="734">
        <v>40648</v>
      </c>
      <c r="C31" s="735">
        <v>10400000</v>
      </c>
      <c r="D31" s="736">
        <v>4</v>
      </c>
      <c r="E31" s="735">
        <v>3820000</v>
      </c>
      <c r="F31" s="735"/>
      <c r="G31" s="735"/>
      <c r="H31" s="735">
        <v>265000</v>
      </c>
      <c r="I31" s="1778">
        <f>((E31+F31)-H31)+G31</f>
        <v>3555000</v>
      </c>
      <c r="J31" s="735">
        <f>I31-285000-305000</f>
        <v>2965000</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t="s">
        <v>2092</v>
      </c>
      <c r="B33" s="734">
        <v>40648</v>
      </c>
      <c r="C33" s="735">
        <v>15370000</v>
      </c>
      <c r="D33" s="736">
        <v>6</v>
      </c>
      <c r="E33" s="735">
        <v>13760000</v>
      </c>
      <c r="F33" s="735"/>
      <c r="G33" s="735"/>
      <c r="H33" s="735">
        <v>450000</v>
      </c>
      <c r="I33" s="1778">
        <f t="shared" ref="I33:I48" si="1">((E33+F33)-H33)+G33</f>
        <v>13310000</v>
      </c>
      <c r="J33" s="735">
        <f>I33-450000-475000</f>
        <v>12385000</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t="s">
        <v>2093</v>
      </c>
      <c r="B35" s="734">
        <v>40745</v>
      </c>
      <c r="C35" s="739">
        <v>5095000</v>
      </c>
      <c r="D35" s="736">
        <v>7</v>
      </c>
      <c r="E35" s="739">
        <v>3590000</v>
      </c>
      <c r="F35" s="739"/>
      <c r="G35" s="739"/>
      <c r="H35" s="739">
        <v>310000</v>
      </c>
      <c r="I35" s="1778">
        <f t="shared" si="1"/>
        <v>3280000</v>
      </c>
      <c r="J35" s="739">
        <f>I35-315000-315000</f>
        <v>2650000</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t="s">
        <v>2094</v>
      </c>
      <c r="B37" s="734">
        <v>41626</v>
      </c>
      <c r="C37" s="467">
        <v>1940000</v>
      </c>
      <c r="D37" s="741">
        <v>7</v>
      </c>
      <c r="E37" s="467">
        <v>1830000</v>
      </c>
      <c r="F37" s="467"/>
      <c r="G37" s="467"/>
      <c r="H37" s="467">
        <v>70000</v>
      </c>
      <c r="I37" s="1778">
        <f t="shared" si="1"/>
        <v>1760000</v>
      </c>
      <c r="J37" s="467">
        <f>I37-80000-90000</f>
        <v>1590000</v>
      </c>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t="s">
        <v>2095</v>
      </c>
      <c r="B39" s="734">
        <v>41802</v>
      </c>
      <c r="C39" s="735">
        <v>8630000</v>
      </c>
      <c r="D39" s="742" t="s">
        <v>2100</v>
      </c>
      <c r="E39" s="743">
        <v>7810000</v>
      </c>
      <c r="F39" s="743"/>
      <c r="G39" s="743"/>
      <c r="H39" s="743">
        <v>545000</v>
      </c>
      <c r="I39" s="1778">
        <f t="shared" si="1"/>
        <v>7265000</v>
      </c>
      <c r="J39" s="744">
        <v>7265000</v>
      </c>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t="s">
        <v>2096</v>
      </c>
      <c r="B41" s="734">
        <v>41802</v>
      </c>
      <c r="C41" s="735">
        <v>11815000</v>
      </c>
      <c r="D41" s="742">
        <v>6</v>
      </c>
      <c r="E41" s="743">
        <v>11680000</v>
      </c>
      <c r="F41" s="743"/>
      <c r="G41" s="743"/>
      <c r="H41" s="743">
        <v>60000</v>
      </c>
      <c r="I41" s="1778">
        <f t="shared" si="1"/>
        <v>11620000</v>
      </c>
      <c r="J41" s="744">
        <f>I41-80000-80000</f>
        <v>11460000</v>
      </c>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t="s">
        <v>2097</v>
      </c>
      <c r="B43" s="734">
        <v>41990</v>
      </c>
      <c r="C43" s="735">
        <v>2810000</v>
      </c>
      <c r="D43" s="742">
        <v>7</v>
      </c>
      <c r="E43" s="743">
        <v>2810000</v>
      </c>
      <c r="F43" s="743"/>
      <c r="G43" s="743"/>
      <c r="H43" s="743"/>
      <c r="I43" s="1778">
        <f t="shared" si="1"/>
        <v>2810000</v>
      </c>
      <c r="J43" s="744">
        <f>I43-135000-140000</f>
        <v>2535000</v>
      </c>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t="s">
        <v>2098</v>
      </c>
      <c r="B45" s="734">
        <v>42276</v>
      </c>
      <c r="C45" s="735">
        <v>4985000</v>
      </c>
      <c r="D45" s="736">
        <v>1</v>
      </c>
      <c r="E45" s="735">
        <v>3650000</v>
      </c>
      <c r="F45" s="735"/>
      <c r="G45" s="735"/>
      <c r="H45" s="735">
        <v>871000</v>
      </c>
      <c r="I45" s="1778">
        <f t="shared" si="1"/>
        <v>2779000</v>
      </c>
      <c r="J45" s="735">
        <f>I45-907000-556983</f>
        <v>1315017</v>
      </c>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t="s">
        <v>2099</v>
      </c>
      <c r="B47" s="734">
        <v>41810</v>
      </c>
      <c r="C47" s="739">
        <v>135150</v>
      </c>
      <c r="D47" s="736">
        <v>8</v>
      </c>
      <c r="E47" s="739">
        <v>56324</v>
      </c>
      <c r="F47" s="739"/>
      <c r="G47" s="739"/>
      <c r="H47" s="739">
        <v>27583</v>
      </c>
      <c r="I47" s="1778">
        <f t="shared" si="1"/>
        <v>28741</v>
      </c>
      <c r="J47" s="739">
        <v>28741</v>
      </c>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61180150</v>
      </c>
      <c r="D49" s="746"/>
      <c r="E49" s="1778">
        <f t="shared" ref="E49:J49" si="2">SUM(E31:E48)</f>
        <v>49006324</v>
      </c>
      <c r="F49" s="1778">
        <f t="shared" si="2"/>
        <v>0</v>
      </c>
      <c r="G49" s="1778">
        <f t="shared" si="2"/>
        <v>0</v>
      </c>
      <c r="H49" s="1778">
        <f t="shared" si="2"/>
        <v>2598583</v>
      </c>
      <c r="I49" s="1778">
        <f t="shared" si="2"/>
        <v>46407741</v>
      </c>
      <c r="J49" s="1778">
        <f t="shared" si="2"/>
        <v>42193758</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66" t="s">
        <v>605</v>
      </c>
      <c r="C52" s="2267"/>
      <c r="D52" s="2267"/>
      <c r="E52" s="750" t="s">
        <v>900</v>
      </c>
      <c r="F52" s="2268" t="s">
        <v>2101</v>
      </c>
      <c r="G52" s="2269"/>
      <c r="H52" s="737"/>
      <c r="I52" s="737"/>
      <c r="J52" s="747"/>
    </row>
    <row r="53" spans="1:11" ht="11.25" customHeight="1" x14ac:dyDescent="0.2">
      <c r="A53" s="751" t="s">
        <v>969</v>
      </c>
      <c r="B53" s="752" t="s">
        <v>1008</v>
      </c>
      <c r="C53" s="747"/>
      <c r="D53" s="738"/>
      <c r="E53" s="750" t="s">
        <v>518</v>
      </c>
      <c r="F53" s="2270" t="s">
        <v>2102</v>
      </c>
      <c r="G53" s="2271"/>
      <c r="H53" s="737"/>
      <c r="I53" s="737"/>
      <c r="J53" s="747"/>
    </row>
    <row r="54" spans="1:11" ht="11.25" customHeight="1" x14ac:dyDescent="0.2">
      <c r="A54" s="753" t="s">
        <v>970</v>
      </c>
      <c r="B54" s="748" t="s">
        <v>1009</v>
      </c>
      <c r="C54" s="747"/>
      <c r="D54" s="738"/>
      <c r="E54" s="750" t="s">
        <v>519</v>
      </c>
      <c r="F54" s="2270"/>
      <c r="G54" s="227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0" colorId="8" zoomScale="110" zoomScaleNormal="110" workbookViewId="0">
      <selection activeCell="J26" sqref="J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00" t="s">
        <v>911</v>
      </c>
      <c r="B1" s="2301"/>
      <c r="C1" s="2301"/>
      <c r="D1" s="2301"/>
      <c r="E1" s="2301"/>
      <c r="F1" s="2301"/>
      <c r="G1" s="2302"/>
      <c r="H1" s="1552"/>
      <c r="I1" s="761"/>
      <c r="J1" s="433"/>
    </row>
    <row r="2" spans="1:11" ht="26.25" x14ac:dyDescent="0.2">
      <c r="A2" s="2279" t="s">
        <v>1776</v>
      </c>
      <c r="B2" s="2280"/>
      <c r="C2" s="2280"/>
      <c r="D2" s="2280"/>
      <c r="E2" s="2281"/>
      <c r="F2" s="762" t="s">
        <v>960</v>
      </c>
      <c r="G2" s="763" t="s">
        <v>1773</v>
      </c>
      <c r="H2" s="763" t="s">
        <v>430</v>
      </c>
      <c r="I2" s="763" t="s">
        <v>1220</v>
      </c>
      <c r="J2" s="763" t="s">
        <v>1916</v>
      </c>
      <c r="K2" s="763" t="s">
        <v>140</v>
      </c>
    </row>
    <row r="3" spans="1:11" x14ac:dyDescent="0.2">
      <c r="A3" s="2282" t="s">
        <v>1698</v>
      </c>
      <c r="B3" s="2283"/>
      <c r="C3" s="2283"/>
      <c r="D3" s="2283"/>
      <c r="E3" s="2284"/>
      <c r="F3" s="764"/>
      <c r="G3" s="765">
        <v>0</v>
      </c>
      <c r="H3" s="765">
        <v>0</v>
      </c>
      <c r="I3" s="765">
        <v>0</v>
      </c>
      <c r="J3" s="766">
        <v>2848505</v>
      </c>
      <c r="K3" s="766">
        <v>0</v>
      </c>
    </row>
    <row r="4" spans="1:11" x14ac:dyDescent="0.2">
      <c r="A4" s="2285" t="s">
        <v>387</v>
      </c>
      <c r="B4" s="2286"/>
      <c r="C4" s="2286"/>
      <c r="D4" s="2286"/>
      <c r="E4" s="2267"/>
      <c r="F4" s="767"/>
      <c r="G4" s="768"/>
      <c r="H4" s="769"/>
      <c r="I4" s="768"/>
      <c r="J4" s="770"/>
      <c r="K4" s="770"/>
    </row>
    <row r="5" spans="1:11" x14ac:dyDescent="0.2">
      <c r="A5" s="2303" t="s">
        <v>1129</v>
      </c>
      <c r="B5" s="2276"/>
      <c r="C5" s="2276"/>
      <c r="D5" s="2276"/>
      <c r="E5" s="2304"/>
      <c r="F5" s="771" t="s">
        <v>903</v>
      </c>
      <c r="G5" s="772"/>
      <c r="H5" s="765">
        <v>169075</v>
      </c>
      <c r="I5" s="773"/>
      <c r="J5" s="774"/>
      <c r="K5" s="774"/>
    </row>
    <row r="6" spans="1:11" x14ac:dyDescent="0.2">
      <c r="A6" s="775" t="s">
        <v>744</v>
      </c>
      <c r="B6" s="776"/>
      <c r="C6" s="776"/>
      <c r="D6" s="776"/>
      <c r="E6" s="777"/>
      <c r="F6" s="778" t="s">
        <v>904</v>
      </c>
      <c r="G6" s="765"/>
      <c r="H6" s="765">
        <v>74</v>
      </c>
      <c r="I6" s="765"/>
      <c r="J6" s="766"/>
      <c r="K6" s="766"/>
    </row>
    <row r="7" spans="1:11" x14ac:dyDescent="0.2">
      <c r="A7" s="779" t="s">
        <v>264</v>
      </c>
      <c r="B7" s="780"/>
      <c r="C7" s="780"/>
      <c r="D7" s="780"/>
      <c r="E7" s="781"/>
      <c r="F7" s="771" t="s">
        <v>905</v>
      </c>
      <c r="G7" s="768"/>
      <c r="H7" s="768"/>
      <c r="I7" s="768"/>
      <c r="J7" s="782"/>
      <c r="K7" s="766">
        <v>49870</v>
      </c>
    </row>
    <row r="8" spans="1:11" x14ac:dyDescent="0.2">
      <c r="A8" s="779" t="s">
        <v>363</v>
      </c>
      <c r="B8" s="780"/>
      <c r="C8" s="780"/>
      <c r="D8" s="780"/>
      <c r="E8" s="781"/>
      <c r="F8" s="771" t="s">
        <v>906</v>
      </c>
      <c r="G8" s="783"/>
      <c r="H8" s="783"/>
      <c r="I8" s="783"/>
      <c r="J8" s="766">
        <v>2641923</v>
      </c>
      <c r="K8" s="770"/>
    </row>
    <row r="9" spans="1:11" x14ac:dyDescent="0.2">
      <c r="A9" s="779" t="s">
        <v>140</v>
      </c>
      <c r="B9" s="780"/>
      <c r="C9" s="780"/>
      <c r="D9" s="780"/>
      <c r="E9" s="781"/>
      <c r="F9" s="778" t="s">
        <v>908</v>
      </c>
      <c r="G9" s="783"/>
      <c r="H9" s="772"/>
      <c r="I9" s="772"/>
      <c r="J9" s="782"/>
      <c r="K9" s="766">
        <v>24410</v>
      </c>
    </row>
    <row r="10" spans="1:11" x14ac:dyDescent="0.2">
      <c r="A10" s="2303" t="s">
        <v>1917</v>
      </c>
      <c r="B10" s="2276"/>
      <c r="C10" s="2276"/>
      <c r="D10" s="2276"/>
      <c r="E10" s="2305"/>
      <c r="F10" s="784" t="s">
        <v>917</v>
      </c>
      <c r="G10" s="783"/>
      <c r="H10" s="785"/>
      <c r="I10" s="765"/>
      <c r="J10" s="766"/>
      <c r="K10" s="766"/>
    </row>
    <row r="11" spans="1:11" x14ac:dyDescent="0.2">
      <c r="A11" s="2303" t="s">
        <v>162</v>
      </c>
      <c r="B11" s="2276"/>
      <c r="C11" s="2276"/>
      <c r="D11" s="2276"/>
      <c r="E11" s="2304"/>
      <c r="F11" s="771" t="s">
        <v>907</v>
      </c>
      <c r="G11" s="772"/>
      <c r="H11" s="765"/>
      <c r="I11" s="765"/>
      <c r="J11" s="766"/>
      <c r="K11" s="774"/>
    </row>
    <row r="12" spans="1:11" ht="13.5" thickBot="1" x14ac:dyDescent="0.25">
      <c r="A12" s="2293" t="s">
        <v>961</v>
      </c>
      <c r="B12" s="2294"/>
      <c r="C12" s="2294"/>
      <c r="D12" s="2294"/>
      <c r="E12" s="2295"/>
      <c r="F12" s="1779"/>
      <c r="G12" s="1780">
        <f>SUM(G5:G11)</f>
        <v>0</v>
      </c>
      <c r="H12" s="1780">
        <f>SUM(H5:H11)</f>
        <v>169149</v>
      </c>
      <c r="I12" s="1780">
        <f>SUM(I5:I11)</f>
        <v>0</v>
      </c>
      <c r="J12" s="1780">
        <f>SUM(J5:J11)</f>
        <v>2641923</v>
      </c>
      <c r="K12" s="1780">
        <f>SUM(K5:K11)</f>
        <v>74280</v>
      </c>
    </row>
    <row r="13" spans="1:11" ht="13.5" thickTop="1" x14ac:dyDescent="0.2">
      <c r="A13" s="2287" t="s">
        <v>388</v>
      </c>
      <c r="B13" s="2288"/>
      <c r="C13" s="2288"/>
      <c r="D13" s="2288"/>
      <c r="E13" s="2289"/>
      <c r="F13" s="786"/>
      <c r="G13" s="787"/>
      <c r="H13" s="788"/>
      <c r="I13" s="789"/>
      <c r="J13" s="789"/>
      <c r="K13" s="789"/>
    </row>
    <row r="14" spans="1:11" x14ac:dyDescent="0.2">
      <c r="A14" s="2309" t="s">
        <v>476</v>
      </c>
      <c r="B14" s="2309"/>
      <c r="C14" s="2309"/>
      <c r="D14" s="2309"/>
      <c r="E14" s="2310"/>
      <c r="F14" s="790" t="s">
        <v>909</v>
      </c>
      <c r="G14" s="783"/>
      <c r="H14" s="765">
        <v>169149</v>
      </c>
      <c r="I14" s="772"/>
      <c r="J14" s="774"/>
      <c r="K14" s="766">
        <v>74280</v>
      </c>
    </row>
    <row r="15" spans="1:11" x14ac:dyDescent="0.2">
      <c r="A15" s="2276" t="s">
        <v>4</v>
      </c>
      <c r="B15" s="2276"/>
      <c r="C15" s="2276"/>
      <c r="D15" s="2276"/>
      <c r="E15" s="2304"/>
      <c r="F15" s="790" t="s">
        <v>910</v>
      </c>
      <c r="G15" s="772"/>
      <c r="H15" s="765"/>
      <c r="I15" s="765"/>
      <c r="J15" s="766">
        <v>662904</v>
      </c>
      <c r="K15" s="766"/>
    </row>
    <row r="16" spans="1:11" x14ac:dyDescent="0.2">
      <c r="A16" s="2276" t="s">
        <v>316</v>
      </c>
      <c r="B16" s="2276"/>
      <c r="C16" s="2276"/>
      <c r="D16" s="2276"/>
      <c r="E16" s="2304"/>
      <c r="F16" s="790" t="s">
        <v>980</v>
      </c>
      <c r="G16" s="773"/>
      <c r="H16" s="768"/>
      <c r="I16" s="768"/>
      <c r="J16" s="770"/>
      <c r="K16" s="770"/>
    </row>
    <row r="17" spans="1:11" x14ac:dyDescent="0.2">
      <c r="A17" s="2298" t="s">
        <v>992</v>
      </c>
      <c r="B17" s="2298"/>
      <c r="C17" s="2298"/>
      <c r="D17" s="2298"/>
      <c r="E17" s="2299"/>
      <c r="F17" s="791"/>
      <c r="G17" s="792"/>
      <c r="H17" s="793"/>
      <c r="I17" s="793"/>
      <c r="J17" s="794"/>
      <c r="K17" s="795"/>
    </row>
    <row r="18" spans="1:11" x14ac:dyDescent="0.2">
      <c r="A18" s="2290" t="s">
        <v>386</v>
      </c>
      <c r="B18" s="2291"/>
      <c r="C18" s="2291"/>
      <c r="D18" s="2291"/>
      <c r="E18" s="2292"/>
      <c r="F18" s="790" t="s">
        <v>989</v>
      </c>
      <c r="G18" s="783"/>
      <c r="H18" s="783"/>
      <c r="I18" s="783"/>
      <c r="J18" s="766">
        <v>1262106</v>
      </c>
      <c r="K18" s="796"/>
    </row>
    <row r="19" spans="1:11" ht="21.75" customHeight="1" x14ac:dyDescent="0.2">
      <c r="A19" s="2311" t="s">
        <v>1913</v>
      </c>
      <c r="B19" s="2311"/>
      <c r="C19" s="2311"/>
      <c r="D19" s="2311"/>
      <c r="E19" s="2312"/>
      <c r="F19" s="790" t="s">
        <v>990</v>
      </c>
      <c r="G19" s="783"/>
      <c r="H19" s="783"/>
      <c r="I19" s="783"/>
      <c r="J19" s="766">
        <v>520050</v>
      </c>
      <c r="K19" s="796"/>
    </row>
    <row r="20" spans="1:11" x14ac:dyDescent="0.2">
      <c r="A20" s="2290" t="s">
        <v>1918</v>
      </c>
      <c r="B20" s="2291"/>
      <c r="C20" s="2291"/>
      <c r="D20" s="2291"/>
      <c r="E20" s="2292"/>
      <c r="F20" s="790" t="s">
        <v>991</v>
      </c>
      <c r="G20" s="783"/>
      <c r="H20" s="783"/>
      <c r="I20" s="783"/>
      <c r="J20" s="766"/>
      <c r="K20" s="796"/>
    </row>
    <row r="21" spans="1:11" ht="13.5" thickBot="1" x14ac:dyDescent="0.25">
      <c r="A21" s="2296" t="s">
        <v>659</v>
      </c>
      <c r="B21" s="2296"/>
      <c r="C21" s="2296"/>
      <c r="D21" s="2296"/>
      <c r="E21" s="2296"/>
      <c r="F21" s="1781"/>
      <c r="G21" s="793"/>
      <c r="H21" s="797"/>
      <c r="I21" s="797"/>
      <c r="J21" s="1782">
        <f>SUM(J18:J20)</f>
        <v>1782156</v>
      </c>
      <c r="K21" s="794"/>
    </row>
    <row r="22" spans="1:11" ht="13.5" thickTop="1" x14ac:dyDescent="0.2">
      <c r="A22" s="2276" t="s">
        <v>1919</v>
      </c>
      <c r="B22" s="2276"/>
      <c r="C22" s="2276"/>
      <c r="D22" s="2276"/>
      <c r="E22" s="2304"/>
      <c r="F22" s="790" t="s">
        <v>917</v>
      </c>
      <c r="G22" s="783"/>
      <c r="H22" s="765"/>
      <c r="I22" s="765"/>
      <c r="J22" s="798"/>
      <c r="K22" s="766"/>
    </row>
    <row r="23" spans="1:11" ht="13.5" thickBot="1" x14ac:dyDescent="0.25">
      <c r="A23" s="2297" t="s">
        <v>962</v>
      </c>
      <c r="B23" s="2296"/>
      <c r="C23" s="2296"/>
      <c r="D23" s="2296"/>
      <c r="E23" s="2296"/>
      <c r="F23" s="1783"/>
      <c r="G23" s="1780">
        <f>SUM(G14:G16,G21,G22)</f>
        <v>0</v>
      </c>
      <c r="H23" s="1780">
        <f>SUM(H14:H16,H21,H22)</f>
        <v>169149</v>
      </c>
      <c r="I23" s="1780">
        <f>SUM(I14:I16,I21,I22)</f>
        <v>0</v>
      </c>
      <c r="J23" s="1780">
        <f>SUM(J14:J16,J21,J22)</f>
        <v>2445060</v>
      </c>
      <c r="K23" s="1780">
        <f>SUM(K14:K16,K21,K22)</f>
        <v>74280</v>
      </c>
    </row>
    <row r="24" spans="1:11" ht="14.25" thickTop="1" thickBot="1" x14ac:dyDescent="0.25">
      <c r="A24" s="2297" t="s">
        <v>2023</v>
      </c>
      <c r="B24" s="2296"/>
      <c r="C24" s="2296"/>
      <c r="D24" s="2296"/>
      <c r="E24" s="2296"/>
      <c r="F24" s="1784"/>
      <c r="G24" s="1785">
        <f>SUM(G3,G12)-G23</f>
        <v>0</v>
      </c>
      <c r="H24" s="1785">
        <f>SUM(H3,H12)-H23</f>
        <v>0</v>
      </c>
      <c r="I24" s="1785">
        <f>SUM(I3,I12)-I23</f>
        <v>0</v>
      </c>
      <c r="J24" s="1785">
        <f>SUM(J3,J12)-J23</f>
        <v>3045368</v>
      </c>
      <c r="K24" s="1785">
        <f>SUM(K3,K12)-K23</f>
        <v>0</v>
      </c>
    </row>
    <row r="25" spans="1:11" ht="13.5" thickTop="1" x14ac:dyDescent="0.2">
      <c r="A25" s="799" t="s">
        <v>440</v>
      </c>
      <c r="B25" s="800"/>
      <c r="C25" s="800"/>
      <c r="D25" s="800"/>
      <c r="E25" s="801"/>
      <c r="F25" s="802">
        <v>714</v>
      </c>
      <c r="G25" s="803"/>
      <c r="H25" s="803"/>
      <c r="I25" s="803"/>
      <c r="J25" s="798">
        <v>1783081</v>
      </c>
      <c r="K25" s="798"/>
    </row>
    <row r="26" spans="1:11" ht="13.5" thickBot="1" x14ac:dyDescent="0.25">
      <c r="A26" s="799" t="s">
        <v>360</v>
      </c>
      <c r="B26" s="800"/>
      <c r="C26" s="800"/>
      <c r="D26" s="800"/>
      <c r="E26" s="801"/>
      <c r="F26" s="802">
        <v>730</v>
      </c>
      <c r="G26" s="1780">
        <f>G24-G25</f>
        <v>0</v>
      </c>
      <c r="H26" s="1780">
        <f>H24-H25</f>
        <v>0</v>
      </c>
      <c r="I26" s="1780">
        <f>I24-I25</f>
        <v>0</v>
      </c>
      <c r="J26" s="1780">
        <f>J24-J25</f>
        <v>1262287</v>
      </c>
      <c r="K26" s="1780">
        <f>K24-K25</f>
        <v>0</v>
      </c>
    </row>
    <row r="27" spans="1:11" ht="5.25" customHeight="1" thickTop="1" x14ac:dyDescent="0.2">
      <c r="I27" s="202"/>
      <c r="J27" s="202"/>
    </row>
    <row r="28" spans="1:11" ht="29.25" customHeight="1" x14ac:dyDescent="0.2">
      <c r="A28" s="1904" t="s">
        <v>2033</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306"/>
      <c r="I31" s="2307"/>
      <c r="J31" s="2307"/>
      <c r="K31" s="2307"/>
    </row>
    <row r="32" spans="1:11" x14ac:dyDescent="0.2">
      <c r="A32" s="810"/>
      <c r="B32" s="237"/>
      <c r="C32" s="237"/>
      <c r="D32" s="237"/>
      <c r="E32" s="806"/>
      <c r="F32" s="812" t="s">
        <v>561</v>
      </c>
      <c r="G32" s="765"/>
      <c r="H32" s="2308"/>
      <c r="I32" s="2307"/>
      <c r="J32" s="2307"/>
      <c r="K32" s="2307"/>
    </row>
    <row r="33" spans="1:11" ht="1.5" customHeight="1" x14ac:dyDescent="0.2">
      <c r="A33" s="813" t="s">
        <v>1231</v>
      </c>
      <c r="B33" s="364"/>
      <c r="C33" s="364"/>
      <c r="D33" s="364"/>
      <c r="E33" s="364"/>
      <c r="F33" s="364"/>
      <c r="G33" s="814"/>
      <c r="H33" s="2308"/>
      <c r="I33" s="2307"/>
      <c r="J33" s="2307"/>
      <c r="K33" s="2307"/>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76" t="s">
        <v>562</v>
      </c>
      <c r="B41" s="2277"/>
      <c r="C41" s="2277"/>
      <c r="D41" s="2277"/>
      <c r="E41" s="2277"/>
      <c r="F41" s="227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15" t="s">
        <v>2032</v>
      </c>
      <c r="B1" s="2316"/>
      <c r="C1" s="2317"/>
      <c r="D1" s="827"/>
      <c r="E1" s="828"/>
      <c r="F1" s="828"/>
      <c r="G1" s="829"/>
      <c r="H1" s="830"/>
      <c r="I1" s="831"/>
      <c r="J1" s="2313"/>
      <c r="K1" s="2314"/>
      <c r="L1" s="2314"/>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881764</v>
      </c>
      <c r="D5" s="842"/>
      <c r="E5" s="842"/>
      <c r="F5" s="1782">
        <f>(C5+D5)-E5</f>
        <v>881764</v>
      </c>
      <c r="G5" s="838"/>
      <c r="H5" s="843"/>
      <c r="I5" s="843"/>
      <c r="J5" s="843"/>
      <c r="K5" s="794"/>
      <c r="L5" s="1791">
        <f>F5-K5</f>
        <v>881764</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74267501</v>
      </c>
      <c r="D8" s="845">
        <f>42787+1351573</f>
        <v>1394360</v>
      </c>
      <c r="E8" s="845">
        <f>838800</f>
        <v>838800</v>
      </c>
      <c r="F8" s="1782">
        <f>(C8+D8)-E8</f>
        <v>74823061</v>
      </c>
      <c r="G8" s="844">
        <v>50</v>
      </c>
      <c r="H8" s="766">
        <v>15956633</v>
      </c>
      <c r="I8" s="766">
        <v>1382120</v>
      </c>
      <c r="J8" s="766">
        <v>512208</v>
      </c>
      <c r="K8" s="1791">
        <f>(H8+I8)-J8</f>
        <v>16826545</v>
      </c>
      <c r="L8" s="1791">
        <f>F8-K8</f>
        <v>57996516</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24172473</v>
      </c>
      <c r="D10" s="847"/>
      <c r="E10" s="847">
        <v>208307</v>
      </c>
      <c r="F10" s="1786">
        <f>(C10+D10)-E10</f>
        <v>23964166</v>
      </c>
      <c r="G10" s="844">
        <v>20</v>
      </c>
      <c r="H10" s="848">
        <v>9168715</v>
      </c>
      <c r="I10" s="848">
        <v>1168055</v>
      </c>
      <c r="J10" s="848">
        <v>81338</v>
      </c>
      <c r="K10" s="1791">
        <f>(H10+I10)-J10</f>
        <v>10255432</v>
      </c>
      <c r="L10" s="1791">
        <f>F10-K10</f>
        <v>13708734</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849480</v>
      </c>
      <c r="D12" s="845">
        <v>237364</v>
      </c>
      <c r="E12" s="845">
        <v>24061</v>
      </c>
      <c r="F12" s="1782">
        <f>(C12+D12)-E12</f>
        <v>1062783</v>
      </c>
      <c r="G12" s="844">
        <v>10</v>
      </c>
      <c r="H12" s="766">
        <v>334545</v>
      </c>
      <c r="I12" s="766">
        <v>83784</v>
      </c>
      <c r="J12" s="766">
        <v>24061</v>
      </c>
      <c r="K12" s="1791">
        <f>(H12+I12)-J12</f>
        <v>394268</v>
      </c>
      <c r="L12" s="1791">
        <f>F12-K12</f>
        <v>668515</v>
      </c>
    </row>
    <row r="13" spans="1:14" ht="14.25" thickTop="1" thickBot="1" x14ac:dyDescent="0.25">
      <c r="A13" s="849" t="s">
        <v>1184</v>
      </c>
      <c r="B13" s="841">
        <v>252</v>
      </c>
      <c r="C13" s="845">
        <v>984798</v>
      </c>
      <c r="D13" s="845">
        <v>42098</v>
      </c>
      <c r="E13" s="845"/>
      <c r="F13" s="1782">
        <f>(C13+D13)-E13</f>
        <v>1026896</v>
      </c>
      <c r="G13" s="844">
        <v>5</v>
      </c>
      <c r="H13" s="766">
        <v>794081</v>
      </c>
      <c r="I13" s="766">
        <v>91297</v>
      </c>
      <c r="J13" s="766"/>
      <c r="K13" s="1791">
        <f>(H13+I13)-J13</f>
        <v>885378</v>
      </c>
      <c r="L13" s="1791">
        <f>F13-K13</f>
        <v>141518</v>
      </c>
    </row>
    <row r="14" spans="1:14" ht="14.25" thickTop="1" thickBot="1" x14ac:dyDescent="0.25">
      <c r="A14" s="849" t="s">
        <v>1185</v>
      </c>
      <c r="B14" s="841">
        <v>253</v>
      </c>
      <c r="C14" s="766">
        <v>2048369</v>
      </c>
      <c r="D14" s="766">
        <v>451604</v>
      </c>
      <c r="E14" s="766"/>
      <c r="F14" s="1782">
        <f>(C14+D14)-E14</f>
        <v>2499973</v>
      </c>
      <c r="G14" s="844">
        <v>3</v>
      </c>
      <c r="H14" s="766">
        <v>1636516</v>
      </c>
      <c r="I14" s="766">
        <v>319436</v>
      </c>
      <c r="J14" s="766"/>
      <c r="K14" s="1791">
        <f>(H14+I14)-J14</f>
        <v>1955952</v>
      </c>
      <c r="L14" s="1791">
        <f>F14-K14</f>
        <v>544021</v>
      </c>
    </row>
    <row r="15" spans="1:14" ht="15" customHeight="1" thickTop="1" thickBot="1" x14ac:dyDescent="0.25">
      <c r="A15" s="1653" t="s">
        <v>549</v>
      </c>
      <c r="B15" s="1652">
        <v>260</v>
      </c>
      <c r="C15" s="845">
        <v>660847</v>
      </c>
      <c r="D15" s="845">
        <v>804483</v>
      </c>
      <c r="E15" s="845">
        <v>1351573</v>
      </c>
      <c r="F15" s="1782">
        <f>(C15+D15)-E15</f>
        <v>113757</v>
      </c>
      <c r="G15" s="850" t="s">
        <v>917</v>
      </c>
      <c r="H15" s="782"/>
      <c r="I15" s="782"/>
      <c r="J15" s="782"/>
      <c r="K15" s="782"/>
      <c r="L15" s="1791">
        <f>F15-K15</f>
        <v>113757</v>
      </c>
    </row>
    <row r="16" spans="1:14" ht="15" customHeight="1" thickTop="1" thickBot="1" x14ac:dyDescent="0.25">
      <c r="A16" s="1787" t="s">
        <v>664</v>
      </c>
      <c r="B16" s="1788">
        <v>200</v>
      </c>
      <c r="C16" s="1782">
        <f>SUM(C3,C5:C6,C8:C10,C12:C15)</f>
        <v>103865232</v>
      </c>
      <c r="D16" s="1782">
        <f>SUM(D3,D5:D6,D8:D10,D12:D15)</f>
        <v>2929909</v>
      </c>
      <c r="E16" s="1782">
        <f>SUM(E3,E5:E6,E8:E10,E12:E15)</f>
        <v>2422741</v>
      </c>
      <c r="F16" s="1782">
        <f>SUM(F3,F5:F6,F8:F10,F12:F15)</f>
        <v>104372400</v>
      </c>
      <c r="G16" s="844"/>
      <c r="H16" s="1782">
        <f>SUM(H3,H6,H8:H10,H12:H14,)</f>
        <v>27890490</v>
      </c>
      <c r="I16" s="1782">
        <f>SUM(I3,I6,I8:I10,I12:I14,)</f>
        <v>3044692</v>
      </c>
      <c r="J16" s="1782">
        <f>SUM(J3,J6,J8:J10,J12:J14,)</f>
        <v>617607</v>
      </c>
      <c r="K16" s="1782">
        <f>(H16+I16)-J16</f>
        <v>30317575</v>
      </c>
      <c r="L16" s="1782">
        <f>F16-K16</f>
        <v>74054825</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101118</v>
      </c>
      <c r="G17" s="838">
        <v>10</v>
      </c>
      <c r="H17" s="770"/>
      <c r="I17" s="1791">
        <f>F17/G17</f>
        <v>10111.799999999999</v>
      </c>
      <c r="J17" s="770"/>
      <c r="K17" s="796"/>
      <c r="L17" s="796"/>
    </row>
    <row r="18" spans="1:12" ht="14.25" thickTop="1" thickBot="1" x14ac:dyDescent="0.25">
      <c r="A18" s="1789" t="s">
        <v>706</v>
      </c>
      <c r="B18" s="1790"/>
      <c r="C18" s="772"/>
      <c r="D18" s="772"/>
      <c r="E18" s="772"/>
      <c r="F18" s="851"/>
      <c r="G18" s="852"/>
      <c r="H18" s="774"/>
      <c r="I18" s="1782">
        <f>SUM(I16,I17)</f>
        <v>3054803.8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29" sqref="A29:X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21" t="s">
        <v>1699</v>
      </c>
      <c r="B1" s="2322"/>
      <c r="C1" s="2322"/>
      <c r="D1" s="2322"/>
      <c r="E1" s="2322"/>
      <c r="F1" s="2323"/>
      <c r="G1" s="856"/>
    </row>
    <row r="2" spans="1:7" ht="15" customHeight="1" thickBot="1" x14ac:dyDescent="0.25">
      <c r="A2" s="2324" t="s">
        <v>498</v>
      </c>
      <c r="B2" s="2325"/>
      <c r="C2" s="2325"/>
      <c r="D2" s="2325"/>
      <c r="E2" s="2325"/>
      <c r="F2" s="232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27"/>
      <c r="B5" s="2328"/>
      <c r="C5" s="2328"/>
      <c r="D5" s="2328"/>
      <c r="E5" s="2328"/>
      <c r="F5" s="2328"/>
    </row>
    <row r="6" spans="1:7" ht="13.5" customHeight="1" thickBot="1" x14ac:dyDescent="0.25">
      <c r="A6" s="2318" t="s">
        <v>1166</v>
      </c>
      <c r="B6" s="2319"/>
      <c r="C6" s="2319"/>
      <c r="D6" s="2319"/>
      <c r="E6" s="2319"/>
      <c r="F6" s="232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35088043</v>
      </c>
      <c r="G8" s="866"/>
    </row>
    <row r="9" spans="1:7" x14ac:dyDescent="0.2">
      <c r="A9" s="870" t="s">
        <v>480</v>
      </c>
      <c r="B9" s="871" t="s">
        <v>1986</v>
      </c>
      <c r="C9" s="872"/>
      <c r="D9" s="870" t="s">
        <v>522</v>
      </c>
      <c r="E9" s="869"/>
      <c r="F9" s="1934">
        <f>'Expenditures 15-22'!K151</f>
        <v>1882440</v>
      </c>
      <c r="G9" s="873"/>
    </row>
    <row r="10" spans="1:7" x14ac:dyDescent="0.2">
      <c r="A10" s="870" t="s">
        <v>520</v>
      </c>
      <c r="B10" s="871" t="s">
        <v>1987</v>
      </c>
      <c r="C10" s="872"/>
      <c r="D10" s="870" t="s">
        <v>522</v>
      </c>
      <c r="E10" s="869"/>
      <c r="F10" s="1934">
        <f>'Expenditures 15-22'!K174</f>
        <v>4559581</v>
      </c>
      <c r="G10" s="873"/>
    </row>
    <row r="11" spans="1:7" x14ac:dyDescent="0.2">
      <c r="A11" s="870" t="s">
        <v>481</v>
      </c>
      <c r="B11" s="871" t="s">
        <v>1988</v>
      </c>
      <c r="C11" s="872"/>
      <c r="D11" s="870" t="s">
        <v>522</v>
      </c>
      <c r="E11" s="869"/>
      <c r="F11" s="1934">
        <f>'Expenditures 15-22'!K210</f>
        <v>1936174</v>
      </c>
      <c r="G11" s="873"/>
    </row>
    <row r="12" spans="1:7" x14ac:dyDescent="0.2">
      <c r="A12" s="870" t="s">
        <v>482</v>
      </c>
      <c r="B12" s="871" t="s">
        <v>1989</v>
      </c>
      <c r="C12" s="872"/>
      <c r="D12" s="870" t="s">
        <v>522</v>
      </c>
      <c r="E12" s="869"/>
      <c r="F12" s="1934">
        <f>'Expenditures 15-22'!K295</f>
        <v>1101010</v>
      </c>
      <c r="G12" s="873"/>
    </row>
    <row r="13" spans="1:7" x14ac:dyDescent="0.2">
      <c r="A13" s="870" t="s">
        <v>108</v>
      </c>
      <c r="B13" s="871" t="s">
        <v>1990</v>
      </c>
      <c r="C13" s="872"/>
      <c r="D13" s="870" t="s">
        <v>522</v>
      </c>
      <c r="E13" s="869"/>
      <c r="F13" s="1934">
        <f>'Expenditures 15-22'!K342</f>
        <v>1057584</v>
      </c>
      <c r="G13" s="874"/>
    </row>
    <row r="14" spans="1:7" ht="12" customHeight="1" thickBot="1" x14ac:dyDescent="0.25">
      <c r="A14" s="1792"/>
      <c r="B14" s="1793"/>
      <c r="C14" s="1794"/>
      <c r="D14" s="1795" t="s">
        <v>522</v>
      </c>
      <c r="E14" s="1796" t="s">
        <v>1015</v>
      </c>
      <c r="F14" s="1797">
        <f>SUM(F8:F13)</f>
        <v>45624832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59325</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1015548</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8993</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569268</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212984</v>
      </c>
      <c r="G52" s="866"/>
    </row>
    <row r="53" spans="1:7" x14ac:dyDescent="0.2">
      <c r="A53" s="870" t="s">
        <v>479</v>
      </c>
      <c r="B53" s="870" t="s">
        <v>1551</v>
      </c>
      <c r="C53" s="890">
        <f>'Expenditures 15-22'!B102</f>
        <v>4000</v>
      </c>
      <c r="D53" s="889" t="str">
        <f>'Expenditures 15-22'!A102</f>
        <v>Total Payments to Other Govt Units</v>
      </c>
      <c r="E53" s="869"/>
      <c r="F53" s="1938">
        <f>'Expenditures 15-22'!K102</f>
        <v>448039</v>
      </c>
      <c r="G53" s="866"/>
    </row>
    <row r="54" spans="1:7" x14ac:dyDescent="0.2">
      <c r="A54" s="870" t="s">
        <v>479</v>
      </c>
      <c r="B54" s="870" t="s">
        <v>1552</v>
      </c>
      <c r="C54" s="890" t="s">
        <v>1039</v>
      </c>
      <c r="D54" s="886" t="s">
        <v>1157</v>
      </c>
      <c r="E54" s="869"/>
      <c r="F54" s="1938">
        <f>'Expenditures 15-22'!G114</f>
        <v>780983</v>
      </c>
      <c r="G54" s="866"/>
    </row>
    <row r="55" spans="1:7" x14ac:dyDescent="0.2">
      <c r="A55" s="870" t="s">
        <v>479</v>
      </c>
      <c r="B55" s="870" t="s">
        <v>1553</v>
      </c>
      <c r="C55" s="890" t="s">
        <v>1039</v>
      </c>
      <c r="D55" s="886" t="s">
        <v>309</v>
      </c>
      <c r="E55" s="869"/>
      <c r="F55" s="1938">
        <f>'Expenditures 15-22'!I114</f>
        <v>94147</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8">
        <f>'Expenditures 15-22'!K139</f>
        <v>0</v>
      </c>
      <c r="G57" s="866"/>
    </row>
    <row r="58" spans="1:7" x14ac:dyDescent="0.2">
      <c r="A58" s="870" t="s">
        <v>480</v>
      </c>
      <c r="B58" s="870" t="s">
        <v>1992</v>
      </c>
      <c r="C58" s="887" t="s">
        <v>1039</v>
      </c>
      <c r="D58" s="886" t="s">
        <v>1157</v>
      </c>
      <c r="E58" s="869"/>
      <c r="F58" s="1940">
        <f>'Expenditures 15-22'!G151</f>
        <v>30047</v>
      </c>
      <c r="G58" s="866"/>
    </row>
    <row r="59" spans="1:7" x14ac:dyDescent="0.2">
      <c r="A59" s="894" t="s">
        <v>480</v>
      </c>
      <c r="B59" s="857" t="s">
        <v>1993</v>
      </c>
      <c r="C59" s="895" t="s">
        <v>1039</v>
      </c>
      <c r="D59" s="857" t="s">
        <v>309</v>
      </c>
      <c r="F59" s="1941">
        <f>'Expenditures 15-22'!I151</f>
        <v>6971</v>
      </c>
      <c r="G59" s="866"/>
    </row>
    <row r="60" spans="1:7" x14ac:dyDescent="0.2">
      <c r="A60" s="894" t="s">
        <v>520</v>
      </c>
      <c r="B60" s="857" t="s">
        <v>1994</v>
      </c>
      <c r="C60" s="895">
        <v>4000</v>
      </c>
      <c r="D60" s="857" t="s">
        <v>330</v>
      </c>
      <c r="F60" s="1939">
        <f>'Expenditures 15-22'!K160</f>
        <v>0</v>
      </c>
      <c r="G60" s="866"/>
    </row>
    <row r="61" spans="1:7" x14ac:dyDescent="0.2">
      <c r="A61" s="896" t="s">
        <v>520</v>
      </c>
      <c r="B61" s="896" t="s">
        <v>1995</v>
      </c>
      <c r="C61" s="897" t="str">
        <f>'Expenditures 15-22'!B170</f>
        <v>5300</v>
      </c>
      <c r="D61" s="898" t="s">
        <v>329</v>
      </c>
      <c r="E61" s="880"/>
      <c r="F61" s="1938">
        <f>'Expenditures 15-22'!K170</f>
        <v>2571000</v>
      </c>
      <c r="G61" s="866"/>
    </row>
    <row r="62" spans="1:7" x14ac:dyDescent="0.2">
      <c r="A62" s="870" t="s">
        <v>481</v>
      </c>
      <c r="B62" s="870" t="s">
        <v>1996</v>
      </c>
      <c r="C62" s="887">
        <f>'Expenditures 15-22'!B185</f>
        <v>3000</v>
      </c>
      <c r="D62" s="877" t="s">
        <v>469</v>
      </c>
      <c r="E62" s="869"/>
      <c r="F62" s="1938">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8">
        <f>'Expenditures 15-22'!K196</f>
        <v>0</v>
      </c>
      <c r="G63" s="866"/>
    </row>
    <row r="64" spans="1:7" x14ac:dyDescent="0.2">
      <c r="A64" s="896" t="s">
        <v>481</v>
      </c>
      <c r="B64" s="896" t="s">
        <v>1998</v>
      </c>
      <c r="C64" s="897" t="str">
        <f>'Expenditures 15-22'!B206</f>
        <v>5300</v>
      </c>
      <c r="D64" s="893" t="s">
        <v>329</v>
      </c>
      <c r="E64" s="869"/>
      <c r="F64" s="1938">
        <f>'Expenditures 15-22'!K206</f>
        <v>0</v>
      </c>
      <c r="G64" s="866"/>
    </row>
    <row r="65" spans="1:8" x14ac:dyDescent="0.2">
      <c r="A65" s="870" t="s">
        <v>481</v>
      </c>
      <c r="B65" s="870" t="s">
        <v>1999</v>
      </c>
      <c r="C65" s="887" t="s">
        <v>1039</v>
      </c>
      <c r="D65" s="886" t="s">
        <v>1157</v>
      </c>
      <c r="E65" s="869"/>
      <c r="F65" s="1938">
        <f>'Expenditures 15-22'!G210</f>
        <v>0</v>
      </c>
      <c r="G65" s="866"/>
    </row>
    <row r="66" spans="1:8" x14ac:dyDescent="0.2">
      <c r="A66" s="870" t="s">
        <v>481</v>
      </c>
      <c r="B66" s="870" t="s">
        <v>2000</v>
      </c>
      <c r="C66" s="887" t="s">
        <v>1039</v>
      </c>
      <c r="D66" s="886" t="s">
        <v>309</v>
      </c>
      <c r="E66" s="869"/>
      <c r="F66" s="1938">
        <f>'Expenditures 15-22'!I210</f>
        <v>0</v>
      </c>
      <c r="G66" s="866"/>
    </row>
    <row r="67" spans="1:8" x14ac:dyDescent="0.2">
      <c r="A67" s="870" t="s">
        <v>482</v>
      </c>
      <c r="B67" s="870" t="s">
        <v>2001</v>
      </c>
      <c r="C67" s="887" t="str">
        <f>'Expenditures 15-22'!B216</f>
        <v>1125</v>
      </c>
      <c r="D67" s="893" t="str">
        <f>'Expenditures 15-22'!A216</f>
        <v>Pre-K Programs</v>
      </c>
      <c r="E67" s="869"/>
      <c r="F67" s="1938">
        <f>'Expenditures 15-22'!K216</f>
        <v>5111</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2003</v>
      </c>
      <c r="C70" s="887">
        <f>'Expenditures 15-22'!B221</f>
        <v>1300</v>
      </c>
      <c r="D70" s="888" t="str">
        <f>'Expenditures 15-22'!A221</f>
        <v>Adult/Continuing Education Programs</v>
      </c>
      <c r="E70" s="869"/>
      <c r="F70" s="1938">
        <f>'Expenditures 15-22'!K221</f>
        <v>0</v>
      </c>
      <c r="G70" s="866"/>
    </row>
    <row r="71" spans="1:8" x14ac:dyDescent="0.2">
      <c r="A71" s="870" t="s">
        <v>482</v>
      </c>
      <c r="B71" s="870" t="s">
        <v>2004</v>
      </c>
      <c r="C71" s="887">
        <f>'Expenditures 15-22'!B224</f>
        <v>1600</v>
      </c>
      <c r="D71" s="888" t="str">
        <f>'Expenditures 15-22'!A224</f>
        <v>Summer School Programs</v>
      </c>
      <c r="E71" s="869"/>
      <c r="F71" s="1938">
        <f>'Expenditures 15-22'!K224</f>
        <v>214</v>
      </c>
      <c r="G71" s="866"/>
    </row>
    <row r="72" spans="1:8" x14ac:dyDescent="0.2">
      <c r="A72" s="870" t="s">
        <v>482</v>
      </c>
      <c r="B72" s="870" t="s">
        <v>2005</v>
      </c>
      <c r="C72" s="887">
        <f>'Expenditures 15-22'!B280</f>
        <v>3000</v>
      </c>
      <c r="D72" s="877" t="s">
        <v>469</v>
      </c>
      <c r="E72" s="869"/>
      <c r="F72" s="1938">
        <f>'Expenditures 15-22'!K280</f>
        <v>887</v>
      </c>
      <c r="G72" s="866"/>
    </row>
    <row r="73" spans="1:8" x14ac:dyDescent="0.2">
      <c r="A73" s="870" t="s">
        <v>482</v>
      </c>
      <c r="B73" s="870" t="s">
        <v>2006</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2007</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5803517</v>
      </c>
      <c r="G76" s="866"/>
    </row>
    <row r="77" spans="1:8" s="894" customFormat="1" ht="12" customHeight="1" thickTop="1" thickBot="1" x14ac:dyDescent="0.25">
      <c r="A77" s="1801"/>
      <c r="B77" s="1798"/>
      <c r="C77" s="1794"/>
      <c r="D77" s="1799" t="s">
        <v>2009</v>
      </c>
      <c r="E77" s="1796"/>
      <c r="F77" s="1802">
        <f>(F14-F76)</f>
        <v>39821315</v>
      </c>
      <c r="G77" s="870"/>
    </row>
    <row r="78" spans="1:8" s="894" customFormat="1" ht="12" customHeight="1" thickTop="1" x14ac:dyDescent="0.2">
      <c r="A78" s="1803"/>
      <c r="B78" s="1798"/>
      <c r="C78" s="1794"/>
      <c r="D78" s="1799" t="s">
        <v>2056</v>
      </c>
      <c r="E78" s="1796"/>
      <c r="F78" s="899">
        <v>3821.43</v>
      </c>
      <c r="G78" s="900"/>
      <c r="H78" s="870"/>
    </row>
    <row r="79" spans="1:8" s="894" customFormat="1" ht="12" customHeight="1" thickBot="1" x14ac:dyDescent="0.25">
      <c r="A79" s="1804"/>
      <c r="B79" s="1798"/>
      <c r="C79" s="1794"/>
      <c r="D79" s="1799" t="s">
        <v>2010</v>
      </c>
      <c r="E79" s="1796" t="s">
        <v>1015</v>
      </c>
      <c r="F79" s="1805">
        <f>IF(F78&gt;0,F77/F78," Complete Line 78")</f>
        <v>10420.527132513222</v>
      </c>
      <c r="G79" s="870"/>
    </row>
    <row r="80" spans="1:8" s="894" customFormat="1" ht="8.25" customHeight="1" thickTop="1" x14ac:dyDescent="0.2">
      <c r="A80" s="901"/>
      <c r="B80" s="870"/>
      <c r="C80" s="872"/>
      <c r="D80" s="902"/>
      <c r="E80" s="869"/>
      <c r="F80" s="903"/>
      <c r="G80" s="870"/>
    </row>
    <row r="81" spans="1:7" s="894" customFormat="1" ht="12" thickBot="1" x14ac:dyDescent="0.25">
      <c r="A81" s="2318" t="s">
        <v>1167</v>
      </c>
      <c r="B81" s="2319"/>
      <c r="C81" s="2319"/>
      <c r="D81" s="2319"/>
      <c r="E81" s="2319"/>
      <c r="F81" s="232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36692</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363318</v>
      </c>
      <c r="G94" s="913"/>
    </row>
    <row r="95" spans="1:7" x14ac:dyDescent="0.2">
      <c r="A95" s="909" t="s">
        <v>142</v>
      </c>
      <c r="B95" s="909" t="s">
        <v>177</v>
      </c>
      <c r="C95" s="911">
        <v>1700</v>
      </c>
      <c r="D95" s="919" t="str">
        <f>'Revenues 9-14'!A82</f>
        <v>Total District/School Activity Income</v>
      </c>
      <c r="E95" s="907"/>
      <c r="F95" s="1811">
        <f>SUM('Revenues 9-14'!C82,'Revenues 9-14'!D82)</f>
        <v>146187</v>
      </c>
      <c r="G95" s="913"/>
    </row>
    <row r="96" spans="1:7" x14ac:dyDescent="0.2">
      <c r="A96" s="909" t="s">
        <v>479</v>
      </c>
      <c r="B96" s="909" t="s">
        <v>178</v>
      </c>
      <c r="C96" s="911">
        <f>'Revenues 9-14'!B84</f>
        <v>1811</v>
      </c>
      <c r="D96" s="912" t="str">
        <f>'Revenues 9-14'!A84</f>
        <v>Rentals - Regular Textbooks</v>
      </c>
      <c r="E96" s="907"/>
      <c r="F96" s="1811">
        <f>'Revenues 9-14'!C84</f>
        <v>134398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49515</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155</v>
      </c>
      <c r="G104" s="913"/>
    </row>
    <row r="105" spans="1:7" x14ac:dyDescent="0.2">
      <c r="A105" s="909" t="s">
        <v>524</v>
      </c>
      <c r="B105" s="909" t="s">
        <v>842</v>
      </c>
      <c r="C105" s="914">
        <v>3100</v>
      </c>
      <c r="D105" s="920" t="str">
        <f>'Revenues 9-14'!A131</f>
        <v>Total Special Education</v>
      </c>
      <c r="E105" s="907"/>
      <c r="F105" s="1811">
        <f>SUM('Revenues 9-14'!C131:D131,'Revenues 9-14'!F131)</f>
        <v>395492</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4282</v>
      </c>
      <c r="G106" s="913"/>
    </row>
    <row r="107" spans="1:7" x14ac:dyDescent="0.2">
      <c r="A107" s="922" t="s">
        <v>685</v>
      </c>
      <c r="B107" s="909" t="s">
        <v>843</v>
      </c>
      <c r="C107" s="921">
        <v>3300</v>
      </c>
      <c r="D107" s="912" t="str">
        <f>'Revenues 9-14'!A144</f>
        <v>Total Bilingual Ed</v>
      </c>
      <c r="E107" s="907"/>
      <c r="F107" s="1811">
        <f>SUM('Revenues 9-14'!C144,'Revenues 9-14'!G144)</f>
        <v>60113</v>
      </c>
      <c r="G107" s="913"/>
    </row>
    <row r="108" spans="1:7" x14ac:dyDescent="0.2">
      <c r="A108" s="909" t="s">
        <v>479</v>
      </c>
      <c r="B108" s="909" t="s">
        <v>844</v>
      </c>
      <c r="C108" s="921">
        <f>'Revenues 9-14'!B145</f>
        <v>3360</v>
      </c>
      <c r="D108" s="912" t="str">
        <f>'Revenues 9-14'!A145</f>
        <v>State Free Lunch &amp; Breakfast</v>
      </c>
      <c r="E108" s="907"/>
      <c r="F108" s="1811">
        <f>'Revenues 9-14'!C145</f>
        <v>26792</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24410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914482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118072</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178588</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58049</v>
      </c>
      <c r="G128" s="931"/>
    </row>
    <row r="129" spans="1:7" x14ac:dyDescent="0.2">
      <c r="A129" s="928" t="s">
        <v>685</v>
      </c>
      <c r="B129" s="928" t="s">
        <v>803</v>
      </c>
      <c r="C129" s="933">
        <v>4200</v>
      </c>
      <c r="D129" s="930" t="str">
        <f>'Revenues 9-14'!A201</f>
        <v>Total Food Service</v>
      </c>
      <c r="E129" s="907"/>
      <c r="F129" s="1811">
        <f>SUM('Revenues 9-14'!C201,'Revenues 9-14'!G201)</f>
        <v>1446188</v>
      </c>
      <c r="G129" s="931"/>
    </row>
    <row r="130" spans="1:7" x14ac:dyDescent="0.2">
      <c r="A130" s="928" t="s">
        <v>689</v>
      </c>
      <c r="B130" s="928" t="s">
        <v>804</v>
      </c>
      <c r="C130" s="933">
        <v>4300</v>
      </c>
      <c r="D130" s="934" t="str">
        <f>'Revenues 9-14'!A211</f>
        <v>Total Title I</v>
      </c>
      <c r="E130" s="907"/>
      <c r="F130" s="1811">
        <f>SUM('Revenues 9-14'!C211,'Revenues 9-14'!D211,'Revenues 9-14'!F211,'Revenues 9-14'!G211)</f>
        <v>2094657</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1022867</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87334</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296459</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34564</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200228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2055</v>
      </c>
      <c r="C175" s="1945">
        <v>3100</v>
      </c>
      <c r="D175" s="1946" t="s">
        <v>2058</v>
      </c>
      <c r="E175" s="907"/>
      <c r="F175" s="1930">
        <v>1645980</v>
      </c>
      <c r="G175" s="928"/>
    </row>
    <row r="176" spans="1:7" x14ac:dyDescent="0.2">
      <c r="A176" s="1943" t="s">
        <v>685</v>
      </c>
      <c r="B176" s="1944" t="s">
        <v>2055</v>
      </c>
      <c r="C176" s="1945">
        <v>3300</v>
      </c>
      <c r="D176" s="1946" t="s">
        <v>2059</v>
      </c>
      <c r="E176" s="907"/>
      <c r="F176" s="1930">
        <v>74445</v>
      </c>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9413267</v>
      </c>
    </row>
    <row r="179" spans="1:7" ht="12" customHeight="1" x14ac:dyDescent="0.2">
      <c r="A179" s="1792"/>
      <c r="B179" s="1806"/>
      <c r="C179" s="1807"/>
      <c r="D179" s="1808" t="s">
        <v>2012</v>
      </c>
      <c r="E179" s="1809"/>
      <c r="F179" s="1811">
        <f>'PCTC-OEPP 27-28'!F77-F178</f>
        <v>30408048</v>
      </c>
    </row>
    <row r="180" spans="1:7" ht="12" customHeight="1" x14ac:dyDescent="0.2">
      <c r="A180" s="1792"/>
      <c r="B180" s="1806"/>
      <c r="C180" s="1807"/>
      <c r="D180" s="1808" t="s">
        <v>1921</v>
      </c>
      <c r="E180" s="1809"/>
      <c r="F180" s="1811">
        <f>'Cap Outlay Deprec 26'!I18</f>
        <v>3054803.8</v>
      </c>
    </row>
    <row r="181" spans="1:7" ht="12" customHeight="1" x14ac:dyDescent="0.2">
      <c r="A181" s="1792"/>
      <c r="B181" s="1806"/>
      <c r="C181" s="1807"/>
      <c r="D181" s="1808" t="s">
        <v>2013</v>
      </c>
      <c r="E181" s="1809"/>
      <c r="F181" s="1811">
        <f>F179+F180</f>
        <v>33462851.800000001</v>
      </c>
    </row>
    <row r="182" spans="1:7" ht="12" customHeight="1" x14ac:dyDescent="0.2">
      <c r="A182" s="1792"/>
      <c r="B182" s="1812"/>
      <c r="C182" s="1807"/>
      <c r="D182" s="1808" t="str">
        <f>D78</f>
        <v>9 Month ADA from District Average Daily Attendance/Prior General State Aid Inquiry 2017-2018</v>
      </c>
      <c r="E182" s="1809"/>
      <c r="F182" s="1813">
        <f>'PCTC-OEPP 27-28'!F78</f>
        <v>3821.43</v>
      </c>
      <c r="G182" s="931"/>
    </row>
    <row r="183" spans="1:7" ht="12" customHeight="1" thickBot="1" x14ac:dyDescent="0.25">
      <c r="A183" s="1792"/>
      <c r="B183" s="1812"/>
      <c r="C183" s="1807"/>
      <c r="D183" s="1808" t="s">
        <v>2014</v>
      </c>
      <c r="E183" s="1809" t="s">
        <v>1626</v>
      </c>
      <c r="F183" s="1814">
        <f>F181/F182</f>
        <v>8756.6308423809933</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7" customFormat="1" ht="12.2" customHeight="1" x14ac:dyDescent="0.2">
      <c r="A186" s="1947" t="s">
        <v>2062</v>
      </c>
      <c r="B186" s="1948"/>
      <c r="C186" s="1949"/>
      <c r="D186" s="1948"/>
      <c r="E186" s="1949"/>
      <c r="F186" s="1948"/>
      <c r="G186" s="1948"/>
    </row>
    <row r="187" spans="1:7" s="1947" customFormat="1" ht="12.2" customHeight="1" x14ac:dyDescent="0.2">
      <c r="A187" s="1950" t="s">
        <v>2063</v>
      </c>
      <c r="C187" s="1949"/>
      <c r="D187" s="1948"/>
      <c r="E187" s="1949"/>
      <c r="F187" s="1948"/>
      <c r="G187" s="1948"/>
    </row>
    <row r="188" spans="1:7" ht="12" customHeight="1" x14ac:dyDescent="0.2">
      <c r="C188" s="950"/>
      <c r="D188" s="931"/>
      <c r="E188" s="950"/>
      <c r="F188" s="931"/>
      <c r="G188" s="931"/>
    </row>
    <row r="189" spans="1:7" x14ac:dyDescent="0.2">
      <c r="A189" s="1951" t="s">
        <v>2061</v>
      </c>
      <c r="B189" s="1952"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332" t="s">
        <v>1922</v>
      </c>
      <c r="B4" s="2333"/>
      <c r="C4" s="2333"/>
      <c r="D4" s="2333"/>
      <c r="E4" s="2333"/>
      <c r="F4" s="2333"/>
      <c r="G4" s="2334"/>
    </row>
    <row r="5" spans="1:7" x14ac:dyDescent="0.25">
      <c r="A5" s="2335"/>
      <c r="B5" s="2336"/>
      <c r="C5" s="2336"/>
      <c r="D5" s="2336"/>
      <c r="E5" s="2336"/>
      <c r="F5" s="2336"/>
      <c r="G5" s="2337"/>
    </row>
    <row r="6" spans="1:7" ht="18.75" x14ac:dyDescent="0.25">
      <c r="A6" s="1556" t="s">
        <v>1923</v>
      </c>
      <c r="B6" s="1557"/>
      <c r="C6" s="1557"/>
      <c r="D6" s="1557"/>
      <c r="E6" s="1557"/>
      <c r="F6" s="1557"/>
      <c r="G6" s="1558"/>
    </row>
    <row r="7" spans="1:7" ht="30.75" customHeight="1" x14ac:dyDescent="0.25">
      <c r="A7" s="2338" t="s">
        <v>2072</v>
      </c>
      <c r="B7" s="2339"/>
      <c r="C7" s="2339"/>
      <c r="D7" s="2339"/>
      <c r="E7" s="2339"/>
      <c r="F7" s="2339"/>
      <c r="G7" s="2340"/>
    </row>
    <row r="8" spans="1:7" ht="15.75" customHeight="1" x14ac:dyDescent="0.25">
      <c r="A8" s="2341" t="s">
        <v>2021</v>
      </c>
      <c r="B8" s="2342"/>
      <c r="C8" s="2342"/>
      <c r="D8" s="2342"/>
      <c r="E8" s="2342"/>
      <c r="F8" s="2342"/>
      <c r="G8" s="2343"/>
    </row>
    <row r="9" spans="1:7" ht="35.25" customHeight="1" x14ac:dyDescent="0.25">
      <c r="A9" s="2338" t="s">
        <v>2020</v>
      </c>
      <c r="B9" s="2339"/>
      <c r="C9" s="2339"/>
      <c r="D9" s="2339"/>
      <c r="E9" s="2339"/>
      <c r="F9" s="2339"/>
      <c r="G9" s="2340"/>
    </row>
    <row r="10" spans="1:7" ht="15" customHeight="1" x14ac:dyDescent="0.25">
      <c r="A10" s="1559" t="s">
        <v>1924</v>
      </c>
      <c r="B10" s="1560"/>
      <c r="C10" s="1560"/>
      <c r="D10" s="1560"/>
      <c r="E10" s="1560"/>
      <c r="F10" s="1560"/>
      <c r="G10" s="1561"/>
    </row>
    <row r="11" spans="1:7" ht="17.25" customHeight="1" x14ac:dyDescent="0.25">
      <c r="A11" s="2338" t="s">
        <v>1938</v>
      </c>
      <c r="B11" s="2339"/>
      <c r="C11" s="2339"/>
      <c r="D11" s="2339"/>
      <c r="E11" s="2339"/>
      <c r="F11" s="2339"/>
      <c r="G11" s="2340"/>
    </row>
    <row r="12" spans="1:7" ht="15" customHeight="1" x14ac:dyDescent="0.25">
      <c r="A12" s="1559" t="s">
        <v>1929</v>
      </c>
      <c r="B12" s="1560"/>
      <c r="C12" s="1560"/>
      <c r="D12" s="1560"/>
      <c r="E12" s="1560"/>
      <c r="F12" s="1560"/>
      <c r="G12" s="1561"/>
    </row>
    <row r="13" spans="1:7" ht="32.25" customHeight="1" x14ac:dyDescent="0.25">
      <c r="A13" s="2329" t="s">
        <v>1930</v>
      </c>
      <c r="B13" s="2330"/>
      <c r="C13" s="2330"/>
      <c r="D13" s="2330"/>
      <c r="E13" s="2330"/>
      <c r="F13" s="2330"/>
      <c r="G13" s="2331"/>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t="30" x14ac:dyDescent="0.25">
      <c r="A17" s="1955" t="s">
        <v>2130</v>
      </c>
      <c r="B17" s="1956" t="s">
        <v>2131</v>
      </c>
      <c r="C17" s="2002" t="s">
        <v>2195</v>
      </c>
      <c r="D17" s="1867">
        <v>99010</v>
      </c>
      <c r="E17" s="1562">
        <f t="shared" ref="E17:E141" si="1">IF(D17&lt;=25000,D17,IF(D17&gt;25000,25000,0))</f>
        <v>25000</v>
      </c>
      <c r="F17" s="1815">
        <f t="shared" si="0"/>
        <v>25000</v>
      </c>
      <c r="G17" s="1816">
        <f>IF(F17=0,0,D17-F17)</f>
        <v>74010</v>
      </c>
      <c r="H17" s="1669"/>
    </row>
    <row r="18" spans="1:8" ht="30" x14ac:dyDescent="0.25">
      <c r="A18" s="1955" t="s">
        <v>2130</v>
      </c>
      <c r="B18" s="1956" t="s">
        <v>2131</v>
      </c>
      <c r="C18" s="1957" t="s">
        <v>2132</v>
      </c>
      <c r="D18" s="1867">
        <v>38547</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13547</v>
      </c>
    </row>
    <row r="19" spans="1:8" ht="30" x14ac:dyDescent="0.25">
      <c r="A19" s="1955" t="s">
        <v>2133</v>
      </c>
      <c r="B19" s="1956" t="s">
        <v>2134</v>
      </c>
      <c r="C19" s="1957" t="s">
        <v>2135</v>
      </c>
      <c r="D19" s="1867">
        <v>98194</v>
      </c>
      <c r="E19" s="1562">
        <f t="shared" si="2"/>
        <v>25000</v>
      </c>
      <c r="F19" s="1815">
        <f t="shared" si="3"/>
        <v>25000</v>
      </c>
      <c r="G19" s="1816">
        <f t="shared" si="4"/>
        <v>73194</v>
      </c>
    </row>
    <row r="20" spans="1:8" x14ac:dyDescent="0.25">
      <c r="A20" s="1955"/>
      <c r="B20" s="1956"/>
      <c r="C20" s="1957"/>
      <c r="D20" s="1867"/>
      <c r="E20" s="1562">
        <f t="shared" si="2"/>
        <v>0</v>
      </c>
      <c r="F20" s="1815">
        <f t="shared" si="3"/>
        <v>0</v>
      </c>
      <c r="G20" s="1816">
        <f t="shared" si="4"/>
        <v>0</v>
      </c>
    </row>
    <row r="21" spans="1:8" x14ac:dyDescent="0.25">
      <c r="A21" s="1955" t="s">
        <v>2136</v>
      </c>
      <c r="B21" s="1956" t="s">
        <v>2137</v>
      </c>
      <c r="C21" s="1957" t="s">
        <v>2138</v>
      </c>
      <c r="D21" s="1867">
        <v>29172</v>
      </c>
      <c r="E21" s="1562">
        <f t="shared" si="2"/>
        <v>25000</v>
      </c>
      <c r="F21" s="1815">
        <f t="shared" si="3"/>
        <v>25000</v>
      </c>
      <c r="G21" s="1816">
        <f t="shared" si="4"/>
        <v>4172</v>
      </c>
    </row>
    <row r="22" spans="1:8" ht="30" x14ac:dyDescent="0.25">
      <c r="A22" s="1955" t="s">
        <v>2139</v>
      </c>
      <c r="B22" s="1956" t="s">
        <v>2140</v>
      </c>
      <c r="C22" s="1957" t="s">
        <v>2141</v>
      </c>
      <c r="D22" s="1867">
        <v>74522</v>
      </c>
      <c r="E22" s="1562">
        <f t="shared" si="2"/>
        <v>25000</v>
      </c>
      <c r="F22" s="1815">
        <f t="shared" si="3"/>
        <v>25000</v>
      </c>
      <c r="G22" s="1816">
        <f t="shared" si="4"/>
        <v>49522</v>
      </c>
    </row>
    <row r="23" spans="1:8" x14ac:dyDescent="0.25">
      <c r="A23" s="1955" t="s">
        <v>2142</v>
      </c>
      <c r="B23" s="1956" t="s">
        <v>2143</v>
      </c>
      <c r="C23" s="1957" t="s">
        <v>2144</v>
      </c>
      <c r="D23" s="1867">
        <v>1798261</v>
      </c>
      <c r="E23" s="1562">
        <f t="shared" si="2"/>
        <v>25000</v>
      </c>
      <c r="F23" s="1815">
        <f t="shared" si="3"/>
        <v>25000</v>
      </c>
      <c r="G23" s="1816">
        <f t="shared" si="4"/>
        <v>1773261</v>
      </c>
    </row>
    <row r="24" spans="1:8" x14ac:dyDescent="0.25">
      <c r="A24" s="1955"/>
      <c r="B24" s="1956"/>
      <c r="C24" s="1957"/>
      <c r="D24" s="1867"/>
      <c r="E24" s="1562">
        <f t="shared" si="2"/>
        <v>0</v>
      </c>
      <c r="F24" s="1815">
        <f t="shared" si="3"/>
        <v>0</v>
      </c>
      <c r="G24" s="1816">
        <f t="shared" si="4"/>
        <v>0</v>
      </c>
    </row>
    <row r="25" spans="1:8" x14ac:dyDescent="0.25">
      <c r="A25" s="1955" t="s">
        <v>2145</v>
      </c>
      <c r="B25" s="1956" t="s">
        <v>2146</v>
      </c>
      <c r="C25" s="1957" t="s">
        <v>2147</v>
      </c>
      <c r="D25" s="1867">
        <v>46274</v>
      </c>
      <c r="E25" s="1562">
        <f t="shared" si="2"/>
        <v>25000</v>
      </c>
      <c r="F25" s="1815">
        <f t="shared" si="3"/>
        <v>25000</v>
      </c>
      <c r="G25" s="1816">
        <f t="shared" si="4"/>
        <v>21274</v>
      </c>
    </row>
    <row r="26" spans="1:8" x14ac:dyDescent="0.25">
      <c r="A26" s="1675"/>
      <c r="B26" s="1868"/>
      <c r="C26" s="1676"/>
      <c r="D26" s="1867"/>
      <c r="E26" s="1562">
        <f t="shared" si="2"/>
        <v>0</v>
      </c>
      <c r="F26" s="1815">
        <f t="shared" si="3"/>
        <v>0</v>
      </c>
      <c r="G26" s="1816">
        <f t="shared" si="4"/>
        <v>0</v>
      </c>
    </row>
    <row r="27" spans="1:8" x14ac:dyDescent="0.25">
      <c r="A27" s="1675"/>
      <c r="B27" s="1868"/>
      <c r="C27" s="1676"/>
      <c r="D27" s="1867"/>
      <c r="E27" s="1562">
        <f t="shared" si="2"/>
        <v>0</v>
      </c>
      <c r="F27" s="1815">
        <f t="shared" si="3"/>
        <v>0</v>
      </c>
      <c r="G27" s="1816">
        <f t="shared" si="4"/>
        <v>0</v>
      </c>
    </row>
    <row r="28" spans="1:8" x14ac:dyDescent="0.25">
      <c r="A28" s="1675"/>
      <c r="B28" s="1868"/>
      <c r="C28" s="1676"/>
      <c r="D28" s="1867"/>
      <c r="E28" s="1562">
        <f t="shared" si="2"/>
        <v>0</v>
      </c>
      <c r="F28" s="1815">
        <f t="shared" si="3"/>
        <v>0</v>
      </c>
      <c r="G28" s="1816">
        <f t="shared" si="4"/>
        <v>0</v>
      </c>
    </row>
    <row r="29" spans="1:8" x14ac:dyDescent="0.25">
      <c r="A29" s="1675"/>
      <c r="B29" s="1868"/>
      <c r="C29" s="1676"/>
      <c r="D29" s="1867"/>
      <c r="E29" s="1562">
        <f t="shared" si="2"/>
        <v>0</v>
      </c>
      <c r="F29" s="1815">
        <f t="shared" si="3"/>
        <v>0</v>
      </c>
      <c r="G29" s="1816">
        <f t="shared" si="4"/>
        <v>0</v>
      </c>
    </row>
    <row r="30" spans="1:8" x14ac:dyDescent="0.25">
      <c r="A30" s="1675"/>
      <c r="B30" s="1868"/>
      <c r="C30" s="1676"/>
      <c r="D30" s="1867"/>
      <c r="E30" s="1562">
        <f t="shared" si="2"/>
        <v>0</v>
      </c>
      <c r="F30" s="1815">
        <f t="shared" si="3"/>
        <v>0</v>
      </c>
      <c r="G30" s="1816">
        <f t="shared" si="4"/>
        <v>0</v>
      </c>
    </row>
    <row r="31" spans="1:8" x14ac:dyDescent="0.25">
      <c r="A31" s="1675"/>
      <c r="B31" s="1868"/>
      <c r="C31" s="1676"/>
      <c r="D31" s="1867"/>
      <c r="E31" s="1562">
        <f t="shared" si="2"/>
        <v>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2183980</v>
      </c>
      <c r="E141" s="1563">
        <f t="shared" si="1"/>
        <v>25000</v>
      </c>
      <c r="F141" s="1817">
        <f>SUM(F17:F140)</f>
        <v>175000</v>
      </c>
      <c r="G141" s="1818">
        <f>SUM(G17:G140)</f>
        <v>2008980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&amp;L&amp;8Page 29&amp;R&amp;8Page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2" colorId="8" zoomScale="110" zoomScaleNormal="110" workbookViewId="0">
      <selection activeCell="E15" sqref="E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44" t="s">
        <v>1778</v>
      </c>
      <c r="B5" s="2345"/>
      <c r="C5" s="2345"/>
      <c r="D5" s="2345"/>
      <c r="E5" s="2345"/>
      <c r="F5" s="2345"/>
      <c r="G5" s="2346"/>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f>69992</f>
        <v>69992</v>
      </c>
      <c r="F9" s="975"/>
      <c r="G9" s="976"/>
      <c r="H9" s="162"/>
      <c r="I9" s="162"/>
    </row>
    <row r="10" spans="1:9" s="669" customFormat="1" ht="12" customHeight="1" x14ac:dyDescent="0.2">
      <c r="A10" s="971" t="s">
        <v>2073</v>
      </c>
      <c r="B10" s="972"/>
      <c r="C10" s="977"/>
      <c r="D10" s="973"/>
      <c r="E10" s="974">
        <v>0</v>
      </c>
      <c r="F10" s="975"/>
      <c r="G10" s="976"/>
      <c r="H10" s="162"/>
      <c r="I10" s="162"/>
    </row>
    <row r="11" spans="1:9" s="669" customFormat="1" ht="22.5" customHeight="1" x14ac:dyDescent="0.2">
      <c r="A11" s="2349" t="s">
        <v>1942</v>
      </c>
      <c r="B11" s="2350"/>
      <c r="C11" s="2350"/>
      <c r="D11" s="2351"/>
      <c r="E11" s="978">
        <v>162007</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1939</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23793813</v>
      </c>
      <c r="F19" s="1822"/>
      <c r="G19" s="1824">
        <f>'Expenditures 15-22'!K33-SUM('Expenditures 15-22'!G33,'Expenditures 15-22'!I33)+'Expenditures 15-22'!D229</f>
        <v>23793813</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1683414</v>
      </c>
      <c r="F21" s="1825"/>
      <c r="G21" s="1828">
        <f>'Expenditures 15-22'!K42-SUM('Expenditures 15-22'!G42,'Expenditures 15-22'!I42)+'Expenditures 15-22'!K120-SUM('Expenditures 15-22'!G120,'Expenditures 15-22'!I120)+'Expenditures 15-22'!K180-SUM('Expenditures 15-22'!G180,'Expenditures 15-22'!I180)+'Expenditures 15-22'!D238</f>
        <v>1683414</v>
      </c>
      <c r="H21" s="988"/>
      <c r="I21" s="162"/>
    </row>
    <row r="22" spans="1:9" s="669" customFormat="1" ht="12" customHeight="1" x14ac:dyDescent="0.2">
      <c r="A22" s="995" t="s">
        <v>585</v>
      </c>
      <c r="B22" s="996"/>
      <c r="C22" s="994">
        <v>2200</v>
      </c>
      <c r="D22" s="1825"/>
      <c r="E22" s="1827">
        <f>'Expenditures 15-22'!K47-SUM('Expenditures 15-22'!G47,'Expenditures 15-22'!I47)+'Expenditures 15-22'!D243</f>
        <v>1341749</v>
      </c>
      <c r="F22" s="1825"/>
      <c r="G22" s="1828">
        <f>'Expenditures 15-22'!K47-SUM('Expenditures 15-22'!G47,'Expenditures 15-22'!I47)+'Expenditures 15-22'!D243</f>
        <v>1341749</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2326184</v>
      </c>
      <c r="F23" s="1825"/>
      <c r="G23" s="1827">
        <f>'Expenditures 15-22'!K53-SUM('Expenditures 15-22'!G53,'Expenditures 15-22'!I53)+'Expenditures 15-22'!D257+'Expenditures 15-22'!K330-SUM('Expenditures 15-22'!G330,'Expenditures 15-22'!I330)</f>
        <v>2326184</v>
      </c>
      <c r="H23" s="988"/>
      <c r="I23" s="162"/>
    </row>
    <row r="24" spans="1:9" s="669" customFormat="1" ht="12" customHeight="1" x14ac:dyDescent="0.2">
      <c r="A24" s="995" t="s">
        <v>587</v>
      </c>
      <c r="B24" s="996"/>
      <c r="C24" s="994">
        <v>2400</v>
      </c>
      <c r="D24" s="1825"/>
      <c r="E24" s="1827">
        <f>'Expenditures 15-22'!K57-SUM('Expenditures 15-22'!G57,'Expenditures 15-22'!I57)+'Expenditures 15-22'!D261</f>
        <v>2314646</v>
      </c>
      <c r="F24" s="1825"/>
      <c r="G24" s="1828">
        <f>'Expenditures 15-22'!K57-SUM('Expenditures 15-22'!G57,'Expenditures 15-22'!I57)+'Expenditures 15-22'!D261</f>
        <v>2314646</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39550</v>
      </c>
      <c r="E26" s="1827">
        <f>'Expenditures 15-22'!K122-SUM('Expenditures 15-22'!G122,'Expenditures 15-22'!I122)+E7</f>
        <v>36205</v>
      </c>
      <c r="F26" s="1827">
        <f>'Expenditures 15-22'!K59-SUM('Expenditures 15-22'!G59,'Expenditures 15-22'!I59)+'Expenditures 15-22'!D263-E7</f>
        <v>39550</v>
      </c>
      <c r="G26" s="1828">
        <f>'Expenditures 15-22'!K122-SUM('Expenditures 15-22'!G122,'Expenditures 15-22'!I122)+E7</f>
        <v>36205</v>
      </c>
      <c r="H26" s="988"/>
      <c r="I26" s="162"/>
    </row>
    <row r="27" spans="1:9" s="669" customFormat="1" ht="12" customHeight="1" x14ac:dyDescent="0.2">
      <c r="A27" s="995" t="s">
        <v>483</v>
      </c>
      <c r="B27" s="998"/>
      <c r="C27" s="994">
        <v>2520</v>
      </c>
      <c r="D27" s="1827">
        <f>'Expenditures 15-22'!K60-SUM('Expenditures 15-22'!G60,'Expenditures 15-22'!I60)+'Expenditures 15-22'!D264-E8</f>
        <v>514779</v>
      </c>
      <c r="E27" s="1827">
        <f>E8</f>
        <v>0</v>
      </c>
      <c r="F27" s="1827">
        <f>'Expenditures 15-22'!K60-SUM('Expenditures 15-22'!G60,'Expenditures 15-22'!I60)+'Expenditures 15-22'!D264-E8</f>
        <v>514779</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3178455</v>
      </c>
      <c r="F28" s="1829">
        <f>'Expenditures 15-22'!K61-SUM('Expenditures 15-22'!G61,'Expenditures 15-22'!I61)+'Expenditures 15-22'!K124-SUM('Expenditures 15-22'!G124,'Expenditures 15-22'!I124)+'Expenditures 15-22'!D266-E9</f>
        <v>3108463</v>
      </c>
      <c r="G28" s="1828">
        <f>E9</f>
        <v>69992</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2128047</v>
      </c>
      <c r="F29" s="1825"/>
      <c r="G29" s="1828">
        <f>'Expenditures 15-22'!K62-SUM('Expenditures 15-22'!G62,'Expenditures 15-22'!I62)+'Expenditures 15-22'!K125-SUM('Expenditures 15-22'!G125,'Expenditures 15-22'!I125)+'Expenditures 15-22'!K182-SUM('Expenditures 15-22'!G182,'Expenditures 15-22'!I182)+'Expenditures 15-22'!D267</f>
        <v>2128047</v>
      </c>
      <c r="H29" s="986"/>
    </row>
    <row r="30" spans="1:9" ht="12" customHeight="1" x14ac:dyDescent="0.2">
      <c r="A30" s="995" t="s">
        <v>102</v>
      </c>
      <c r="B30" s="998"/>
      <c r="C30" s="994">
        <v>2560</v>
      </c>
      <c r="D30" s="1825"/>
      <c r="E30" s="1827">
        <f>'Expenditures 15-22'!K63-SUM('Expenditures 15-22'!G63,'Expenditures 15-22'!I63)+'Expenditures 15-22'!D268-E10</f>
        <v>1765316</v>
      </c>
      <c r="F30" s="1825"/>
      <c r="G30" s="1827">
        <f>'Expenditures 15-22'!K63-SUM('Expenditures 15-22'!G63,'Expenditures 15-22'!I63)+'Expenditures 15-22'!D268-E10</f>
        <v>1765316</v>
      </c>
    </row>
    <row r="31" spans="1:9" ht="12" customHeight="1" x14ac:dyDescent="0.2">
      <c r="A31" s="995" t="s">
        <v>103</v>
      </c>
      <c r="B31" s="998"/>
      <c r="C31" s="994">
        <v>2570</v>
      </c>
      <c r="D31" s="1827">
        <f>'Expenditures 15-22'!K64-SUM('Expenditures 15-22'!G64,'Expenditures 15-22'!I64)+'Expenditures 15-22'!D269-E12</f>
        <v>103227</v>
      </c>
      <c r="E31" s="1827">
        <f>E12</f>
        <v>0</v>
      </c>
      <c r="F31" s="1827">
        <f>'Expenditures 15-22'!K64-SUM('Expenditures 15-22'!G64,'Expenditures 15-22'!I64)+'Expenditures 15-22'!D269-E12</f>
        <v>103227</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-582</v>
      </c>
      <c r="E36" s="1827">
        <f>E13</f>
        <v>1939</v>
      </c>
      <c r="F36" s="1827">
        <f>'Expenditures 15-22'!K70-SUM('Expenditures 15-22'!G70,'Expenditures 15-22'!I70)+'Expenditures 15-22'!D275-E13</f>
        <v>-582</v>
      </c>
      <c r="G36" s="1827">
        <f>E13</f>
        <v>1939</v>
      </c>
    </row>
    <row r="37" spans="1:7" ht="12" customHeight="1" x14ac:dyDescent="0.2">
      <c r="A37" s="995" t="s">
        <v>424</v>
      </c>
      <c r="B37" s="998"/>
      <c r="C37" s="994">
        <v>2660</v>
      </c>
      <c r="D37" s="1827">
        <f>'Expenditures 15-22'!K71-SUM('Expenditures 15-22'!G71,'Expenditures 15-22'!I71)+'Expenditures 15-22'!D276-E14</f>
        <v>795</v>
      </c>
      <c r="E37" s="1827">
        <f>E14</f>
        <v>0</v>
      </c>
      <c r="F37" s="1827">
        <f>'Expenditures 15-22'!K71-SUM('Expenditures 15-22'!G71,'Expenditures 15-22'!I71)+'Expenditures 15-22'!D276-E14</f>
        <v>795</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230641</v>
      </c>
      <c r="F38" s="1825"/>
      <c r="G38" s="1827">
        <f>'Expenditures 15-22'!K73-SUM('Expenditures 15-22'!G73,'Expenditures 15-22'!I73)+'Expenditures 15-22'!K128-SUM('Expenditures 15-22'!G128,'Expenditures 15-22'!I128)+'Expenditures 15-22'!K183-SUM('Expenditures 15-22'!G183,'Expenditures 15-22'!I183)+'Expenditures 15-22'!D278</f>
        <v>230641</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213871</v>
      </c>
      <c r="F39" s="1825"/>
      <c r="G39" s="1827">
        <f>'Expenditures 15-22'!K75-SUM('Expenditures 15-22'!G75,'Expenditures 15-22'!I75)+'Expenditures 15-22'!K130-SUM('Expenditures 15-22'!G130,'Expenditures 15-22'!I130)+'Expenditures 15-22'!K185-SUM('Expenditures 15-22'!G185,'Expenditures 15-22'!I185)+'Expenditures 15-22'!D280</f>
        <v>213871</v>
      </c>
    </row>
    <row r="40" spans="1:7" ht="12" customHeight="1" x14ac:dyDescent="0.2">
      <c r="A40" s="991" t="s">
        <v>1927</v>
      </c>
      <c r="B40" s="992"/>
      <c r="C40" s="994"/>
      <c r="D40" s="1825"/>
      <c r="E40" s="1829">
        <f>-'Contracts Paid in CY 29'!G141</f>
        <v>-2008980</v>
      </c>
      <c r="F40" s="1825"/>
      <c r="G40" s="1829">
        <f>-'Contracts Paid in CY 29'!G141</f>
        <v>-2008980</v>
      </c>
    </row>
    <row r="41" spans="1:7" ht="12" customHeight="1" x14ac:dyDescent="0.2">
      <c r="A41" s="999" t="s">
        <v>158</v>
      </c>
      <c r="B41" s="1000"/>
      <c r="C41" s="1001"/>
      <c r="D41" s="1829">
        <f>SUM(D19:D39)</f>
        <v>657769</v>
      </c>
      <c r="E41" s="1829">
        <f>SUM(E19:E40)</f>
        <v>37005300</v>
      </c>
      <c r="F41" s="1829">
        <f>SUM(F19:F39)</f>
        <v>3766232</v>
      </c>
      <c r="G41" s="1829">
        <f>SUM(G19:G40)</f>
        <v>33896837</v>
      </c>
    </row>
    <row r="42" spans="1:7" x14ac:dyDescent="0.2">
      <c r="A42" s="988"/>
      <c r="B42" s="162"/>
      <c r="C42" s="1002"/>
      <c r="D42" s="2347" t="s">
        <v>543</v>
      </c>
      <c r="E42" s="2348"/>
      <c r="F42" s="1003" t="s">
        <v>544</v>
      </c>
      <c r="G42" s="1004"/>
    </row>
    <row r="43" spans="1:7" ht="12" customHeight="1" x14ac:dyDescent="0.2">
      <c r="A43" s="988"/>
      <c r="B43" s="162"/>
      <c r="C43" s="1002"/>
      <c r="D43" s="1830" t="s">
        <v>493</v>
      </c>
      <c r="E43" s="1831">
        <f>D41</f>
        <v>657769</v>
      </c>
      <c r="F43" s="1830" t="s">
        <v>495</v>
      </c>
      <c r="G43" s="1831">
        <f>F41</f>
        <v>3766232</v>
      </c>
    </row>
    <row r="44" spans="1:7" ht="12" customHeight="1" x14ac:dyDescent="0.2">
      <c r="A44" s="988"/>
      <c r="B44" s="162"/>
      <c r="C44" s="1002"/>
      <c r="D44" s="1830" t="s">
        <v>494</v>
      </c>
      <c r="E44" s="1831">
        <f>E41</f>
        <v>37005300</v>
      </c>
      <c r="F44" s="1830" t="s">
        <v>494</v>
      </c>
      <c r="G44" s="1831">
        <f>G41</f>
        <v>33896837</v>
      </c>
    </row>
    <row r="45" spans="1:7" ht="12" customHeight="1" x14ac:dyDescent="0.2">
      <c r="A45" s="988"/>
      <c r="B45" s="162"/>
      <c r="C45" s="162"/>
      <c r="D45" s="1832" t="s">
        <v>1063</v>
      </c>
      <c r="E45" s="1833">
        <f>(E43/E44)</f>
        <v>1.7774994392695101E-2</v>
      </c>
      <c r="F45" s="1832" t="s">
        <v>1063</v>
      </c>
      <c r="G45" s="1833">
        <f>(G43/G44)</f>
        <v>0.11110865594922617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55" t="s">
        <v>1446</v>
      </c>
      <c r="B1" s="2355"/>
      <c r="C1" s="2355"/>
      <c r="D1" s="2355"/>
      <c r="E1" s="2355"/>
      <c r="F1" s="2355"/>
    </row>
    <row r="2" spans="1:10" x14ac:dyDescent="0.2">
      <c r="A2" s="1911" t="s">
        <v>2045</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56" t="s">
        <v>1627</v>
      </c>
      <c r="B5" s="2357"/>
      <c r="C5" s="2358"/>
      <c r="D5" s="2358"/>
      <c r="E5" s="2358"/>
      <c r="F5" s="2358"/>
    </row>
    <row r="6" spans="1:10" ht="12" customHeight="1" x14ac:dyDescent="0.25">
      <c r="A6" s="1874"/>
      <c r="B6" s="1875"/>
      <c r="C6" s="2359" t="str">
        <f>COVER!A17</f>
        <v>Galesburg CUSD 205</v>
      </c>
      <c r="D6" s="2359"/>
      <c r="E6" s="2359"/>
      <c r="F6" s="1876"/>
    </row>
    <row r="7" spans="1:10" ht="11.25" customHeight="1" thickBot="1" x14ac:dyDescent="0.3">
      <c r="A7" s="1874"/>
      <c r="B7" s="1875"/>
      <c r="C7" s="2360">
        <f>COVER!A13</f>
        <v>33048205026</v>
      </c>
      <c r="D7" s="2360"/>
      <c r="E7" s="2360"/>
      <c r="F7" s="1876"/>
    </row>
    <row r="8" spans="1:10" ht="25.5" customHeight="1" thickBot="1" x14ac:dyDescent="0.25">
      <c r="A8" s="1917" t="s">
        <v>2022</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t="s">
        <v>2082</v>
      </c>
      <c r="D13" s="1889" t="s">
        <v>2082</v>
      </c>
      <c r="E13" s="1892"/>
      <c r="F13" s="1891" t="s">
        <v>2105</v>
      </c>
      <c r="H13" s="1902">
        <f t="shared" si="0"/>
        <v>5</v>
      </c>
      <c r="I13" s="1902">
        <f t="shared" si="1"/>
        <v>5</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t="s">
        <v>2082</v>
      </c>
      <c r="D15" s="1889" t="s">
        <v>2082</v>
      </c>
      <c r="E15" s="1892"/>
      <c r="F15" s="1891" t="s">
        <v>2104</v>
      </c>
      <c r="H15" s="1902">
        <f t="shared" si="0"/>
        <v>5</v>
      </c>
      <c r="I15" s="1902">
        <f t="shared" si="1"/>
        <v>5</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2082</v>
      </c>
      <c r="D19" s="1889" t="s">
        <v>2082</v>
      </c>
      <c r="E19" s="1892"/>
      <c r="F19" s="1891" t="s">
        <v>2106</v>
      </c>
      <c r="H19" s="1902">
        <f t="shared" si="0"/>
        <v>5</v>
      </c>
      <c r="I19" s="1902">
        <f t="shared" si="1"/>
        <v>5</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2082</v>
      </c>
      <c r="D26" s="1889"/>
      <c r="E26" s="1892" t="s">
        <v>2103</v>
      </c>
      <c r="F26" s="1891" t="s">
        <v>2107</v>
      </c>
      <c r="H26" s="1902">
        <f t="shared" si="0"/>
        <v>5</v>
      </c>
      <c r="I26" s="1902">
        <f t="shared" si="1"/>
        <v>0</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t="s">
        <v>2082</v>
      </c>
      <c r="D31" s="1889" t="s">
        <v>2082</v>
      </c>
      <c r="E31" s="1892"/>
      <c r="F31" s="1891" t="s">
        <v>2108</v>
      </c>
      <c r="H31" s="1902">
        <f t="shared" si="0"/>
        <v>5</v>
      </c>
      <c r="I31" s="1902">
        <f t="shared" si="1"/>
        <v>5</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25</v>
      </c>
      <c r="I34" s="1902">
        <f>SUM(I11:I32)</f>
        <v>20</v>
      </c>
      <c r="J34" s="1902">
        <f>SUM(J11:J32)</f>
        <v>0</v>
      </c>
      <c r="K34" s="1902">
        <f>SUM(H34:J34)</f>
        <v>45</v>
      </c>
    </row>
    <row r="35" spans="1:11" ht="12" customHeight="1" x14ac:dyDescent="0.2">
      <c r="A35" s="1895" t="s">
        <v>1459</v>
      </c>
      <c r="B35" s="1896"/>
      <c r="C35" s="2361"/>
      <c r="D35" s="2361"/>
      <c r="E35" s="2361"/>
      <c r="F35" s="2362"/>
    </row>
    <row r="36" spans="1:11" ht="12" customHeight="1" x14ac:dyDescent="0.2">
      <c r="A36" s="2352" t="s">
        <v>2109</v>
      </c>
      <c r="B36" s="2353"/>
      <c r="C36" s="2353"/>
      <c r="D36" s="2353"/>
      <c r="E36" s="2353"/>
      <c r="F36" s="2354"/>
    </row>
    <row r="37" spans="1:11" ht="12" customHeight="1" x14ac:dyDescent="0.2">
      <c r="A37" s="2366"/>
      <c r="B37" s="2353"/>
      <c r="C37" s="2353"/>
      <c r="D37" s="2353"/>
      <c r="E37" s="2353"/>
      <c r="F37" s="2354"/>
    </row>
    <row r="38" spans="1:11" ht="12" customHeight="1" x14ac:dyDescent="0.2">
      <c r="A38" s="2367"/>
      <c r="B38" s="2368"/>
      <c r="C38" s="2368"/>
      <c r="D38" s="2368"/>
      <c r="E38" s="2368"/>
      <c r="F38" s="2369"/>
    </row>
    <row r="39" spans="1:11" ht="4.5" hidden="1" customHeight="1" x14ac:dyDescent="0.2">
      <c r="A39" s="1897"/>
      <c r="B39" s="1897"/>
      <c r="C39" s="1897"/>
      <c r="D39" s="1897"/>
      <c r="E39" s="1897"/>
      <c r="F39" s="1897"/>
    </row>
    <row r="40" spans="1:11" s="1894" customFormat="1" ht="12" customHeight="1" x14ac:dyDescent="0.25">
      <c r="A40" s="1898" t="s">
        <v>1458</v>
      </c>
      <c r="B40" s="1899"/>
      <c r="C40" s="2370"/>
      <c r="D40" s="2370"/>
      <c r="E40" s="2370"/>
      <c r="F40" s="2371"/>
      <c r="H40" s="1903"/>
      <c r="I40" s="1903"/>
      <c r="J40" s="1903"/>
      <c r="K40" s="1903"/>
    </row>
    <row r="41" spans="1:11" s="1894" customFormat="1" ht="12" customHeight="1" x14ac:dyDescent="0.25">
      <c r="A41" s="2372"/>
      <c r="B41" s="2373"/>
      <c r="C41" s="2373"/>
      <c r="D41" s="2373"/>
      <c r="E41" s="2373"/>
      <c r="F41" s="2374"/>
      <c r="H41" s="1903"/>
      <c r="I41" s="1903"/>
      <c r="J41" s="1903"/>
      <c r="K41" s="1903"/>
    </row>
    <row r="42" spans="1:11" s="1894" customFormat="1" ht="12" customHeight="1" x14ac:dyDescent="0.25">
      <c r="A42" s="2372"/>
      <c r="B42" s="2373"/>
      <c r="C42" s="2373"/>
      <c r="D42" s="2373"/>
      <c r="E42" s="2373"/>
      <c r="F42" s="2374"/>
      <c r="H42" s="1903"/>
      <c r="I42" s="1903"/>
      <c r="J42" s="1903"/>
      <c r="K42" s="1903"/>
    </row>
    <row r="43" spans="1:11" s="1894" customFormat="1" ht="15" x14ac:dyDescent="0.25">
      <c r="A43" s="2363"/>
      <c r="B43" s="2364"/>
      <c r="C43" s="2364"/>
      <c r="D43" s="2364"/>
      <c r="E43" s="2364"/>
      <c r="F43" s="2365"/>
      <c r="H43" s="1903"/>
      <c r="I43" s="1903"/>
      <c r="J43" s="1903"/>
      <c r="K43" s="1903"/>
    </row>
    <row r="44" spans="1:11" s="1894" customFormat="1" ht="12" hidden="1" customHeight="1" x14ac:dyDescent="0.25">
      <c r="A44" s="2363"/>
      <c r="B44" s="2364"/>
      <c r="C44" s="2364"/>
      <c r="D44" s="2364"/>
      <c r="E44" s="2364"/>
      <c r="F44" s="2365"/>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Header>&amp;L&amp;8Page 31&amp;R&amp;8Page 31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80" t="str">
        <f>COVER!A17</f>
        <v>Galesburg CUSD 205</v>
      </c>
      <c r="J6" s="2381"/>
      <c r="Q6" s="1686"/>
    </row>
    <row r="7" spans="1:17" x14ac:dyDescent="0.2">
      <c r="A7" s="2382" t="s">
        <v>924</v>
      </c>
      <c r="B7" s="2383"/>
      <c r="C7" s="2383"/>
      <c r="D7" s="2383"/>
      <c r="E7" s="2384"/>
      <c r="F7" s="1018"/>
      <c r="G7" s="1010"/>
      <c r="H7" s="1017" t="s">
        <v>390</v>
      </c>
      <c r="I7" s="2385">
        <f>COVER!A13</f>
        <v>33048205026</v>
      </c>
      <c r="J7" s="2385"/>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86" t="s">
        <v>502</v>
      </c>
      <c r="B11" s="2387"/>
      <c r="C11" s="238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461845</v>
      </c>
      <c r="F12" s="1040"/>
      <c r="G12" s="1834">
        <f t="shared" ref="G12:G18" si="0">SUM(E12:F12)</f>
        <v>461845</v>
      </c>
      <c r="H12" s="1041">
        <f>969624-500000</f>
        <v>469624</v>
      </c>
      <c r="I12" s="1040"/>
      <c r="J12" s="1834">
        <f t="shared" ref="J12:J18" si="1">SUM(H12:I12)</f>
        <v>469624</v>
      </c>
    </row>
    <row r="13" spans="1:17" ht="15" customHeight="1" x14ac:dyDescent="0.2">
      <c r="A13" s="1036">
        <v>2</v>
      </c>
      <c r="B13" s="1037" t="s">
        <v>44</v>
      </c>
      <c r="C13" s="1038"/>
      <c r="D13" s="1039">
        <v>2330</v>
      </c>
      <c r="E13" s="1834">
        <f>'Expenditures 15-22'!K51</f>
        <v>469272</v>
      </c>
      <c r="F13" s="1040"/>
      <c r="G13" s="1834">
        <f t="shared" si="0"/>
        <v>469272</v>
      </c>
      <c r="H13" s="1041">
        <v>493195</v>
      </c>
      <c r="I13" s="1040"/>
      <c r="J13" s="1834">
        <f t="shared" si="1"/>
        <v>493195</v>
      </c>
    </row>
    <row r="14" spans="1:17" ht="15" customHeight="1" x14ac:dyDescent="0.2">
      <c r="A14" s="1036">
        <v>3</v>
      </c>
      <c r="B14" s="1037" t="s">
        <v>45</v>
      </c>
      <c r="C14" s="1038"/>
      <c r="D14" s="1042">
        <v>2490</v>
      </c>
      <c r="E14" s="1834">
        <f>'Expenditures 15-22'!K56</f>
        <v>284853</v>
      </c>
      <c r="F14" s="1040"/>
      <c r="G14" s="1834">
        <f t="shared" si="0"/>
        <v>284853</v>
      </c>
      <c r="H14" s="1041">
        <v>301779</v>
      </c>
      <c r="I14" s="1040"/>
      <c r="J14" s="1834">
        <f t="shared" si="1"/>
        <v>301779</v>
      </c>
    </row>
    <row r="15" spans="1:17" ht="15" customHeight="1" x14ac:dyDescent="0.2">
      <c r="A15" s="1036">
        <v>4</v>
      </c>
      <c r="B15" s="1037" t="s">
        <v>1128</v>
      </c>
      <c r="C15" s="1038"/>
      <c r="D15" s="1039">
        <v>2510</v>
      </c>
      <c r="E15" s="1834">
        <f>'Expenditures 15-22'!K59</f>
        <v>38493</v>
      </c>
      <c r="F15" s="1834">
        <f>'Expenditures 15-22'!K122</f>
        <v>36205</v>
      </c>
      <c r="G15" s="1834">
        <f t="shared" si="0"/>
        <v>74698</v>
      </c>
      <c r="H15" s="1041">
        <v>36799</v>
      </c>
      <c r="I15" s="1041">
        <v>36799</v>
      </c>
      <c r="J15" s="1834">
        <f t="shared" si="1"/>
        <v>73598</v>
      </c>
    </row>
    <row r="16" spans="1:17" ht="15" customHeight="1" x14ac:dyDescent="0.2">
      <c r="A16" s="1036">
        <v>5</v>
      </c>
      <c r="B16" s="1037" t="s">
        <v>103</v>
      </c>
      <c r="C16" s="1038"/>
      <c r="D16" s="1039">
        <v>2570</v>
      </c>
      <c r="E16" s="1834">
        <f>'Expenditures 15-22'!K64</f>
        <v>103227</v>
      </c>
      <c r="F16" s="1040"/>
      <c r="G16" s="1834">
        <f t="shared" si="0"/>
        <v>103227</v>
      </c>
      <c r="H16" s="1041">
        <v>92000</v>
      </c>
      <c r="I16" s="1040"/>
      <c r="J16" s="1834">
        <f t="shared" si="1"/>
        <v>92000</v>
      </c>
    </row>
    <row r="17" spans="1:10" ht="15" customHeight="1" x14ac:dyDescent="0.2">
      <c r="A17" s="1036">
        <v>6</v>
      </c>
      <c r="B17" s="1037" t="s">
        <v>1120</v>
      </c>
      <c r="C17" s="1038"/>
      <c r="D17" s="1039">
        <v>2610</v>
      </c>
      <c r="E17" s="1834">
        <f>'Expenditures 15-22'!K67</f>
        <v>0</v>
      </c>
      <c r="F17" s="1040"/>
      <c r="G17" s="1834">
        <f t="shared" si="0"/>
        <v>0</v>
      </c>
      <c r="H17" s="1041">
        <v>0</v>
      </c>
      <c r="I17" s="1040"/>
      <c r="J17" s="1834">
        <f t="shared" si="1"/>
        <v>0</v>
      </c>
    </row>
    <row r="18" spans="1:10" ht="22.5" customHeight="1" x14ac:dyDescent="0.2">
      <c r="A18" s="1043">
        <v>7</v>
      </c>
      <c r="B18" s="2389" t="s">
        <v>7</v>
      </c>
      <c r="C18" s="2390"/>
      <c r="D18" s="2391"/>
      <c r="E18" s="1044">
        <v>0</v>
      </c>
      <c r="F18" s="1044">
        <v>0</v>
      </c>
      <c r="G18" s="1835">
        <f t="shared" si="0"/>
        <v>0</v>
      </c>
      <c r="H18" s="1041">
        <v>0</v>
      </c>
      <c r="I18" s="1041">
        <v>0</v>
      </c>
      <c r="J18" s="1834">
        <f t="shared" si="1"/>
        <v>0</v>
      </c>
    </row>
    <row r="19" spans="1:10" ht="12.75" customHeight="1" thickBot="1" x14ac:dyDescent="0.25">
      <c r="A19" s="1036">
        <v>8</v>
      </c>
      <c r="B19" s="1045" t="s">
        <v>1223</v>
      </c>
      <c r="D19" s="1046"/>
      <c r="E19" s="1836">
        <f t="shared" ref="E19:J19" si="2">SUM(E12:E17)-E18</f>
        <v>1357690</v>
      </c>
      <c r="F19" s="1836">
        <f t="shared" si="2"/>
        <v>36205</v>
      </c>
      <c r="G19" s="1836">
        <f t="shared" si="2"/>
        <v>1393895</v>
      </c>
      <c r="H19" s="1836">
        <f t="shared" si="2"/>
        <v>1393397</v>
      </c>
      <c r="I19" s="1836">
        <f t="shared" si="2"/>
        <v>36799</v>
      </c>
      <c r="J19" s="1836">
        <f t="shared" si="2"/>
        <v>1430196</v>
      </c>
    </row>
    <row r="20" spans="1:10" ht="13.5" thickTop="1" x14ac:dyDescent="0.2">
      <c r="A20" s="1036">
        <v>9</v>
      </c>
      <c r="B20" s="2392" t="s">
        <v>1703</v>
      </c>
      <c r="C20" s="2392"/>
      <c r="D20" s="2393"/>
      <c r="E20" s="1047"/>
      <c r="F20" s="1047"/>
      <c r="G20" s="1047"/>
      <c r="H20" s="1047"/>
      <c r="I20" s="1047"/>
      <c r="J20" s="1837">
        <f>IF(AND(G19&gt;0,J19&gt;0),(((J19-G19)/G19)),"Enter Budget Data")</f>
        <v>2.6042851147324582E-2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98"/>
      <c r="D26" s="2398"/>
      <c r="E26" s="1051"/>
      <c r="F26" s="2397"/>
      <c r="G26" s="2397"/>
    </row>
    <row r="27" spans="1:10" x14ac:dyDescent="0.2">
      <c r="B27" s="1048"/>
      <c r="C27" s="1052" t="s">
        <v>1093</v>
      </c>
      <c r="D27" s="1053"/>
      <c r="E27" s="1054"/>
      <c r="F27" s="2394" t="s">
        <v>1589</v>
      </c>
      <c r="G27" s="2394"/>
    </row>
    <row r="28" spans="1:10" ht="28.5" customHeight="1" x14ac:dyDescent="0.2">
      <c r="B28" s="1048"/>
      <c r="C28" s="2396"/>
      <c r="D28" s="2396"/>
      <c r="E28" s="1055"/>
      <c r="F28" s="2396"/>
      <c r="G28" s="2396"/>
    </row>
    <row r="29" spans="1:10" x14ac:dyDescent="0.2">
      <c r="B29" s="1048"/>
      <c r="C29" s="1056" t="s">
        <v>1642</v>
      </c>
      <c r="E29" s="1057"/>
      <c r="F29" s="2395" t="s">
        <v>1590</v>
      </c>
      <c r="G29" s="239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77" t="s">
        <v>134</v>
      </c>
      <c r="D33" s="2378"/>
      <c r="E33" s="2378"/>
      <c r="F33" s="2378"/>
      <c r="G33" s="2378"/>
      <c r="H33" s="2378"/>
      <c r="I33" s="2378"/>
    </row>
    <row r="34" spans="1:10" ht="10.35" customHeight="1" x14ac:dyDescent="0.2">
      <c r="C34" s="2378"/>
      <c r="D34" s="2378"/>
      <c r="E34" s="2378"/>
      <c r="F34" s="2378"/>
      <c r="G34" s="2378"/>
      <c r="H34" s="2378"/>
      <c r="I34" s="2378"/>
    </row>
    <row r="35" spans="1:10" ht="7.5" customHeight="1" x14ac:dyDescent="0.2">
      <c r="C35" s="1063"/>
    </row>
    <row r="36" spans="1:10" ht="13.5" customHeight="1" x14ac:dyDescent="0.2">
      <c r="B36" s="1062"/>
      <c r="C36" s="2379" t="s">
        <v>1941</v>
      </c>
      <c r="D36" s="2378"/>
      <c r="E36" s="2378"/>
      <c r="F36" s="2378"/>
      <c r="G36" s="2378"/>
      <c r="H36" s="2378"/>
      <c r="I36" s="2378"/>
      <c r="J36" s="1064"/>
    </row>
    <row r="37" spans="1:10" ht="22.5" customHeight="1" x14ac:dyDescent="0.2">
      <c r="C37" s="2378"/>
      <c r="D37" s="2378"/>
      <c r="E37" s="2378"/>
      <c r="F37" s="2378"/>
      <c r="G37" s="2378"/>
      <c r="H37" s="2378"/>
      <c r="I37" s="2378"/>
      <c r="J37" s="1064"/>
    </row>
    <row r="38" spans="1:10" ht="7.5" customHeight="1" x14ac:dyDescent="0.2">
      <c r="C38" s="1063"/>
      <c r="D38" s="1065"/>
      <c r="E38" s="1066"/>
      <c r="F38" s="1067"/>
      <c r="G38" s="1066"/>
    </row>
    <row r="39" spans="1:10" ht="13.5" customHeight="1" x14ac:dyDescent="0.2">
      <c r="B39" s="1062"/>
      <c r="C39" s="2375" t="s">
        <v>937</v>
      </c>
      <c r="D39" s="2376"/>
      <c r="E39" s="2376"/>
      <c r="F39" s="2376"/>
      <c r="G39" s="2376"/>
      <c r="H39" s="2376"/>
      <c r="I39" s="237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0"/>
  <sheetViews>
    <sheetView showGridLines="0" zoomScale="110" zoomScaleNormal="110" workbookViewId="0">
      <selection activeCell="B64" sqref="B64"/>
    </sheetView>
  </sheetViews>
  <sheetFormatPr defaultRowHeight="12.75" x14ac:dyDescent="0.2"/>
  <cols>
    <col min="1" max="1" width="3" style="329" customWidth="1"/>
    <col min="2" max="2" width="111.710937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2110</v>
      </c>
    </row>
    <row r="6" spans="1:2" x14ac:dyDescent="0.2">
      <c r="A6" s="1069">
        <v>2</v>
      </c>
      <c r="B6" s="329" t="s">
        <v>2111</v>
      </c>
    </row>
    <row r="7" spans="1:2" x14ac:dyDescent="0.2">
      <c r="A7" s="1069">
        <v>3</v>
      </c>
      <c r="B7" s="329" t="s">
        <v>2112</v>
      </c>
    </row>
    <row r="8" spans="1:2" x14ac:dyDescent="0.2">
      <c r="A8" s="1069"/>
      <c r="B8" s="329" t="s">
        <v>2113</v>
      </c>
    </row>
    <row r="9" spans="1:2" x14ac:dyDescent="0.2">
      <c r="A9" s="1069">
        <v>4</v>
      </c>
      <c r="B9" s="329" t="s">
        <v>2114</v>
      </c>
    </row>
    <row r="10" spans="1:2" x14ac:dyDescent="0.2">
      <c r="A10" s="1069">
        <v>5</v>
      </c>
      <c r="B10" s="329" t="s">
        <v>2115</v>
      </c>
    </row>
    <row r="11" spans="1:2" x14ac:dyDescent="0.2">
      <c r="A11" s="1069"/>
      <c r="B11" s="329" t="s">
        <v>2116</v>
      </c>
    </row>
    <row r="12" spans="1:2" x14ac:dyDescent="0.2">
      <c r="A12" s="1069">
        <v>6</v>
      </c>
      <c r="B12" s="329" t="s">
        <v>2117</v>
      </c>
    </row>
    <row r="13" spans="1:2" x14ac:dyDescent="0.2">
      <c r="A13" s="1069"/>
      <c r="B13" s="329" t="s">
        <v>2118</v>
      </c>
    </row>
    <row r="14" spans="1:2" x14ac:dyDescent="0.2">
      <c r="A14" s="1069">
        <v>7</v>
      </c>
      <c r="B14" s="329" t="s">
        <v>2119</v>
      </c>
    </row>
    <row r="15" spans="1:2" x14ac:dyDescent="0.2">
      <c r="A15" s="1069">
        <v>8</v>
      </c>
      <c r="B15" s="329" t="s">
        <v>2120</v>
      </c>
    </row>
    <row r="16" spans="1:2" x14ac:dyDescent="0.2">
      <c r="A16" s="1069"/>
      <c r="B16" s="329" t="s">
        <v>2121</v>
      </c>
    </row>
    <row r="17" spans="1:2" x14ac:dyDescent="0.2">
      <c r="A17" s="1069">
        <v>9</v>
      </c>
      <c r="B17" s="329" t="s">
        <v>2122</v>
      </c>
    </row>
    <row r="18" spans="1:2" x14ac:dyDescent="0.2">
      <c r="A18" s="1069"/>
      <c r="B18" s="329" t="s">
        <v>2123</v>
      </c>
    </row>
    <row r="19" spans="1:2" x14ac:dyDescent="0.2">
      <c r="A19" s="1069">
        <v>10</v>
      </c>
      <c r="B19" s="329" t="s">
        <v>2124</v>
      </c>
    </row>
    <row r="20" spans="1:2" x14ac:dyDescent="0.2">
      <c r="A20" s="1069">
        <v>11</v>
      </c>
      <c r="B20" s="329" t="s">
        <v>2125</v>
      </c>
    </row>
    <row r="21" spans="1:2" x14ac:dyDescent="0.2">
      <c r="A21" s="1069">
        <v>12</v>
      </c>
      <c r="B21" s="329" t="s">
        <v>2126</v>
      </c>
    </row>
    <row r="22" spans="1:2" x14ac:dyDescent="0.2">
      <c r="A22" s="1069">
        <v>13</v>
      </c>
      <c r="B22" s="329" t="s">
        <v>2127</v>
      </c>
    </row>
    <row r="23" spans="1:2" x14ac:dyDescent="0.2">
      <c r="A23" s="1069"/>
      <c r="B23" s="329" t="s">
        <v>2128</v>
      </c>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c r="B59" s="258" t="str">
        <f>COVER!A17</f>
        <v>Galesburg CUSD 205</v>
      </c>
    </row>
    <row r="60" spans="1:2" x14ac:dyDescent="0.2">
      <c r="B60" s="1071">
        <f>COVER!A13</f>
        <v>33048205026</v>
      </c>
    </row>
  </sheetData>
  <phoneticPr fontId="15" type="noConversion"/>
  <pageMargins left="0.2" right="0.2" top="1.17" bottom="0.75" header="0.19" footer="0.16"/>
  <pageSetup scale="85"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15" t="s">
        <v>1125</v>
      </c>
      <c r="B35" s="2115"/>
      <c r="C35" s="2115"/>
      <c r="D35" s="2115"/>
      <c r="E35" s="211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12" t="s">
        <v>715</v>
      </c>
      <c r="B40" s="2112"/>
      <c r="C40" s="2112"/>
      <c r="D40" s="2112"/>
      <c r="E40" s="2112"/>
    </row>
    <row r="41" spans="1:5" x14ac:dyDescent="0.2">
      <c r="A41" s="2113" t="s">
        <v>1706</v>
      </c>
      <c r="B41" s="2113"/>
      <c r="C41" s="2113"/>
      <c r="D41" s="2113"/>
      <c r="E41" s="2113"/>
    </row>
    <row r="42" spans="1:5" ht="12.75" customHeight="1" x14ac:dyDescent="0.2">
      <c r="A42" s="2114" t="s">
        <v>1080</v>
      </c>
      <c r="B42" s="2114"/>
      <c r="C42" s="2114"/>
      <c r="D42" s="2114"/>
      <c r="E42" s="2114"/>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99" t="s">
        <v>1784</v>
      </c>
      <c r="B18" s="239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00" t="s">
        <v>1790</v>
      </c>
      <c r="B1" s="2401"/>
      <c r="C1" s="2401"/>
      <c r="D1" s="2401"/>
      <c r="E1" s="2401"/>
      <c r="F1" s="2402"/>
    </row>
    <row r="2" spans="1:8" ht="45" customHeight="1" x14ac:dyDescent="0.2">
      <c r="A2" s="2410" t="s">
        <v>1791</v>
      </c>
      <c r="B2" s="2411"/>
      <c r="C2" s="2411"/>
      <c r="D2" s="2411"/>
      <c r="E2" s="2411"/>
      <c r="F2" s="2412"/>
      <c r="G2" s="1075"/>
      <c r="H2" s="1075"/>
    </row>
    <row r="3" spans="1:8" ht="57" customHeight="1" x14ac:dyDescent="0.2">
      <c r="A3" s="2413" t="s">
        <v>1786</v>
      </c>
      <c r="B3" s="2414"/>
      <c r="C3" s="2414"/>
      <c r="D3" s="2414"/>
      <c r="E3" s="2414"/>
      <c r="F3" s="2415"/>
      <c r="G3" s="1075"/>
      <c r="H3" s="1075"/>
    </row>
    <row r="4" spans="1:8" ht="14.25" customHeight="1" x14ac:dyDescent="0.2">
      <c r="A4" s="2419" t="s">
        <v>2053</v>
      </c>
      <c r="B4" s="2420"/>
      <c r="C4" s="2420"/>
      <c r="D4" s="2420"/>
      <c r="E4" s="2420"/>
      <c r="F4" s="2421"/>
      <c r="G4" s="1075"/>
      <c r="H4" s="1075"/>
    </row>
    <row r="5" spans="1:8" ht="14.25" customHeight="1" x14ac:dyDescent="0.2">
      <c r="A5" s="2422" t="s">
        <v>2054</v>
      </c>
      <c r="B5" s="2423"/>
      <c r="C5" s="2423"/>
      <c r="D5" s="2423"/>
      <c r="E5" s="2423"/>
      <c r="F5" s="2424"/>
      <c r="G5" s="1075"/>
      <c r="H5" s="1075"/>
    </row>
    <row r="6" spans="1:8" s="1076" customFormat="1" ht="41.25" customHeight="1" x14ac:dyDescent="0.2">
      <c r="A6" s="2416" t="s">
        <v>1792</v>
      </c>
      <c r="B6" s="2417"/>
      <c r="C6" s="2417"/>
      <c r="D6" s="2417"/>
      <c r="E6" s="2417"/>
      <c r="F6" s="2418"/>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39372904</v>
      </c>
      <c r="C8" s="1838">
        <f>'Acct Summary 7-8'!D8</f>
        <v>2199136</v>
      </c>
      <c r="D8" s="1838">
        <f>'Acct Summary 7-8'!F8</f>
        <v>3646748</v>
      </c>
      <c r="E8" s="1838">
        <f>'Acct Summary 7-8'!I8</f>
        <v>234232</v>
      </c>
      <c r="F8" s="1838">
        <f>SUM(B8:E8)</f>
        <v>45453020</v>
      </c>
    </row>
    <row r="9" spans="1:8" s="1080" customFormat="1" ht="14.25" customHeight="1" thickBot="1" x14ac:dyDescent="0.25">
      <c r="A9" s="1079" t="s">
        <v>1436</v>
      </c>
      <c r="B9" s="1839">
        <f>'Acct Summary 7-8'!C17</f>
        <v>35088043</v>
      </c>
      <c r="C9" s="1839">
        <f>'Acct Summary 7-8'!D17</f>
        <v>1882440</v>
      </c>
      <c r="D9" s="1839">
        <f>'Acct Summary 7-8'!F17</f>
        <v>1936174</v>
      </c>
      <c r="E9" s="1838"/>
      <c r="F9" s="1838">
        <f>SUM(B9:E9)</f>
        <v>38906657</v>
      </c>
    </row>
    <row r="10" spans="1:8" s="1080" customFormat="1" ht="14.25" thickTop="1" thickBot="1" x14ac:dyDescent="0.25">
      <c r="A10" s="1081" t="s">
        <v>1437</v>
      </c>
      <c r="B10" s="1840">
        <f>(B8-B9)</f>
        <v>4284861</v>
      </c>
      <c r="C10" s="1840">
        <f>(C8-C9)</f>
        <v>316696</v>
      </c>
      <c r="D10" s="1840">
        <f>(D8-D9)</f>
        <v>1710574</v>
      </c>
      <c r="E10" s="1839">
        <f>(E8-E9)</f>
        <v>234232</v>
      </c>
      <c r="F10" s="1841">
        <f>SUM(F8-F9)</f>
        <v>6546363</v>
      </c>
    </row>
    <row r="11" spans="1:8" s="1080" customFormat="1" ht="14.25" thickTop="1" thickBot="1" x14ac:dyDescent="0.25">
      <c r="A11" s="1082" t="s">
        <v>1785</v>
      </c>
      <c r="B11" s="1842">
        <f>'Acct Summary 7-8'!C81</f>
        <v>15056075</v>
      </c>
      <c r="C11" s="1842">
        <f>'Acct Summary 7-8'!D81</f>
        <v>2406661</v>
      </c>
      <c r="D11" s="1842">
        <f>'Acct Summary 7-8'!F81</f>
        <v>2965857</v>
      </c>
      <c r="E11" s="1842">
        <f>'Acct Summary 7-8'!I81</f>
        <v>1848429</v>
      </c>
      <c r="F11" s="1843">
        <f>SUM(B11:E11)</f>
        <v>22277022</v>
      </c>
    </row>
    <row r="12" spans="1:8" ht="16.5" customHeight="1" thickTop="1" x14ac:dyDescent="0.2">
      <c r="A12" s="1083"/>
      <c r="B12" s="1084"/>
      <c r="C12" s="2404" t="str">
        <f>IF(AND(F10&lt;0,F11&gt;=0,ABS(F10*3)&gt;ABS(F11)),A16,IF(AND(F10&lt;0,F11&gt;0,ABS(F10*3)&lt;=ABS(F11)),A17,IF(AND(F10&lt;0,F11&lt;0),A16,IF(F11=0,A19,A18))))</f>
        <v>Balanced - no deficit reduction plan is required.</v>
      </c>
      <c r="D12" s="2405"/>
      <c r="E12" s="2405"/>
      <c r="F12" s="2406"/>
    </row>
    <row r="13" spans="1:8" ht="19.5" customHeight="1" x14ac:dyDescent="0.2">
      <c r="A13" s="1085"/>
      <c r="B13" s="1086"/>
      <c r="C13" s="2404"/>
      <c r="D13" s="2405"/>
      <c r="E13" s="2405"/>
      <c r="F13" s="2406"/>
      <c r="H13" s="1075"/>
    </row>
    <row r="14" spans="1:8" ht="19.5" customHeight="1" x14ac:dyDescent="0.2">
      <c r="A14" s="1085"/>
      <c r="B14" s="1086"/>
      <c r="C14" s="2404"/>
      <c r="D14" s="2405"/>
      <c r="E14" s="2405"/>
      <c r="F14" s="2406"/>
      <c r="H14" s="1075"/>
    </row>
    <row r="15" spans="1:8" ht="17.25" customHeight="1" x14ac:dyDescent="0.2">
      <c r="A15" s="1085"/>
      <c r="B15" s="1086"/>
      <c r="C15" s="2407"/>
      <c r="D15" s="2408"/>
      <c r="E15" s="2408"/>
      <c r="F15" s="2409"/>
      <c r="H15" s="1075"/>
    </row>
    <row r="16" spans="1:8" s="310" customFormat="1" ht="51.75" hidden="1" customHeight="1" x14ac:dyDescent="0.2">
      <c r="A16" s="2403" t="s">
        <v>1787</v>
      </c>
      <c r="B16" s="2403"/>
      <c r="C16" s="2403"/>
      <c r="D16" s="2403"/>
      <c r="E16" s="2403"/>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24" sqref="D24"/>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425" t="s">
        <v>686</v>
      </c>
      <c r="B3" s="2426"/>
      <c r="C3" s="2426"/>
      <c r="D3" s="2427"/>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36" t="s">
        <v>1584</v>
      </c>
      <c r="D7" s="2437"/>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28" t="s">
        <v>1065</v>
      </c>
      <c r="B15" s="2429"/>
      <c r="C15" s="2429"/>
      <c r="D15" s="2430"/>
    </row>
    <row r="16" spans="1:4" s="669" customFormat="1" ht="24" customHeight="1" x14ac:dyDescent="0.2">
      <c r="A16" s="2431" t="s">
        <v>684</v>
      </c>
      <c r="B16" s="2432"/>
      <c r="C16" s="2432"/>
      <c r="D16" s="2433"/>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40" t="s">
        <v>332</v>
      </c>
      <c r="D21" s="2441"/>
    </row>
    <row r="22" spans="1:10" ht="12.75" x14ac:dyDescent="0.2">
      <c r="A22" s="1140"/>
      <c r="B22" s="1141">
        <v>2</v>
      </c>
      <c r="C22" s="2438" t="s">
        <v>1605</v>
      </c>
      <c r="D22" s="2439"/>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ENTER ACCOUNTING INFO</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42" t="s">
        <v>557</v>
      </c>
      <c r="D43" s="2443"/>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34" t="s">
        <v>817</v>
      </c>
      <c r="D56" s="2435"/>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ERROR!</v>
      </c>
    </row>
    <row r="70" spans="1:4" x14ac:dyDescent="0.2">
      <c r="A70" s="1099"/>
      <c r="B70" s="1121">
        <f>B66+1</f>
        <v>9</v>
      </c>
      <c r="C70" s="2434" t="s">
        <v>1797</v>
      </c>
      <c r="D70" s="2435"/>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33048205026</v>
      </c>
    </row>
    <row r="3" spans="1:2" x14ac:dyDescent="0.2">
      <c r="A3" t="s">
        <v>1013</v>
      </c>
      <c r="B3" s="138" t="str">
        <f>COVER!A15</f>
        <v>Knox and Warren</v>
      </c>
    </row>
    <row r="4" spans="1:2" x14ac:dyDescent="0.2">
      <c r="A4" t="s">
        <v>1064</v>
      </c>
      <c r="B4" s="138" t="str">
        <f>COVER!A17</f>
        <v>Galesburg CUSD 205</v>
      </c>
    </row>
    <row r="5" spans="1:2" x14ac:dyDescent="0.2">
      <c r="A5" t="s">
        <v>728</v>
      </c>
      <c r="B5" s="138" t="str">
        <f>COVER!A38</f>
        <v>Dr.  John Asplund</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066-004769</v>
      </c>
    </row>
    <row r="16" spans="1:2" x14ac:dyDescent="0.2">
      <c r="A16" t="s">
        <v>442</v>
      </c>
      <c r="B16" s="138" t="str">
        <f>COVER!T13</f>
        <v>Meister, Hilton, Chitwood &amp;  Associates, Inc.</v>
      </c>
    </row>
    <row r="17" spans="1:2" x14ac:dyDescent="0.2">
      <c r="A17" t="s">
        <v>939</v>
      </c>
      <c r="B17" s="138" t="str">
        <f>COVER!T15</f>
        <v>Ron Hilton</v>
      </c>
    </row>
    <row r="18" spans="1:2" x14ac:dyDescent="0.2">
      <c r="A18" t="s">
        <v>1212</v>
      </c>
      <c r="B18" s="138" t="str">
        <f>COVER!T17</f>
        <v>809 W.  Detweiller Drive, Suite 804</v>
      </c>
    </row>
    <row r="19" spans="1:2" x14ac:dyDescent="0.2">
      <c r="A19" t="s">
        <v>941</v>
      </c>
      <c r="B19" s="138" t="str">
        <f>COVER!T25</f>
        <v>ron.hilton1@comcast.net</v>
      </c>
    </row>
    <row r="20" spans="1:2" x14ac:dyDescent="0.2">
      <c r="A20" t="s">
        <v>942</v>
      </c>
      <c r="B20" s="138" t="str">
        <f>COVER!T19</f>
        <v>Peoria</v>
      </c>
    </row>
    <row r="21" spans="1:2" x14ac:dyDescent="0.2">
      <c r="A21" t="s">
        <v>500</v>
      </c>
      <c r="B21" s="138" t="str">
        <f>COVER!X19</f>
        <v>IL</v>
      </c>
    </row>
    <row r="22" spans="1:2" x14ac:dyDescent="0.2">
      <c r="A22" t="s">
        <v>943</v>
      </c>
      <c r="B22" s="138">
        <f>COVER!Z19</f>
        <v>61615</v>
      </c>
    </row>
    <row r="23" spans="1:2" x14ac:dyDescent="0.2">
      <c r="A23" t="s">
        <v>1214</v>
      </c>
      <c r="B23" s="138" t="str">
        <f>COVER!T21</f>
        <v>(309) 683-0441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5739511</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13333914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23251774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5066467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8195699</v>
      </c>
      <c r="C91" s="2" t="s">
        <v>594</v>
      </c>
      <c r="D91" s="2" t="str">
        <f t="shared" si="0"/>
        <v>Error?</v>
      </c>
    </row>
    <row r="92" spans="1:4" x14ac:dyDescent="0.2">
      <c r="A92" s="5">
        <v>31</v>
      </c>
      <c r="B92" s="138">
        <f>'Assets-Liab 5-6'!C39</f>
        <v>14544453</v>
      </c>
      <c r="D92" s="2" t="str">
        <f t="shared" si="0"/>
        <v>Error?</v>
      </c>
    </row>
    <row r="93" spans="1:4" x14ac:dyDescent="0.2">
      <c r="A93" s="5">
        <v>32</v>
      </c>
      <c r="B93" s="138">
        <f>'Assets-Liab 5-6'!C41</f>
        <v>23251774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1017646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3417934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888915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1011273</v>
      </c>
      <c r="C122" s="2" t="s">
        <v>594</v>
      </c>
      <c r="D122" s="2" t="str">
        <f t="shared" si="0"/>
        <v>Error?</v>
      </c>
    </row>
    <row r="123" spans="1:4" x14ac:dyDescent="0.2">
      <c r="A123" s="5">
        <v>62</v>
      </c>
      <c r="B123" s="138">
        <f>'Assets-Liab 5-6'!D39</f>
        <v>2406661</v>
      </c>
      <c r="D123" s="2" t="str">
        <f t="shared" si="0"/>
        <v>Error?</v>
      </c>
    </row>
    <row r="124" spans="1:4" x14ac:dyDescent="0.2">
      <c r="A124" s="5">
        <v>63</v>
      </c>
      <c r="B124" s="138">
        <f>'Assets-Liab 5-6'!D41</f>
        <v>3417934</v>
      </c>
      <c r="C124" s="2" t="s">
        <v>594</v>
      </c>
      <c r="D124" s="2" t="str">
        <f t="shared" si="0"/>
        <v>Error?</v>
      </c>
    </row>
    <row r="125" spans="1:4" x14ac:dyDescent="0.2">
      <c r="A125" s="10">
        <v>64</v>
      </c>
      <c r="D125" s="2" t="str">
        <f t="shared" si="0"/>
        <v>OK</v>
      </c>
    </row>
    <row r="126" spans="1:4" x14ac:dyDescent="0.2">
      <c r="A126" s="5">
        <v>65</v>
      </c>
      <c r="B126" s="138">
        <f>'Assets-Liab 5-6'!E6</f>
        <v>1150082</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2754317</v>
      </c>
      <c r="D129" s="2" t="str">
        <f t="shared" si="1"/>
        <v>Error?</v>
      </c>
    </row>
    <row r="130" spans="1:4" x14ac:dyDescent="0.2">
      <c r="A130" s="5">
        <v>69</v>
      </c>
      <c r="B130" s="138">
        <f>'Assets-Liab 5-6'!E12</f>
        <v>0</v>
      </c>
      <c r="D130" s="2" t="str">
        <f t="shared" si="1"/>
        <v>Error?</v>
      </c>
    </row>
    <row r="131" spans="1:4" x14ac:dyDescent="0.2">
      <c r="A131" s="5">
        <v>70</v>
      </c>
      <c r="B131" s="138">
        <f>'Assets-Liab 5-6'!E13</f>
        <v>5218582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1004599</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1004599</v>
      </c>
      <c r="C139" s="2" t="s">
        <v>594</v>
      </c>
      <c r="D139" s="2" t="str">
        <f t="shared" si="1"/>
        <v>Error?</v>
      </c>
    </row>
    <row r="140" spans="1:4" x14ac:dyDescent="0.2">
      <c r="A140" s="5">
        <v>79</v>
      </c>
      <c r="B140" s="138">
        <f>'Assets-Liab 5-6'!E39</f>
        <v>2430902</v>
      </c>
      <c r="D140" s="2" t="str">
        <f t="shared" si="1"/>
        <v>Error?</v>
      </c>
    </row>
    <row r="141" spans="1:4" x14ac:dyDescent="0.2">
      <c r="A141" s="5">
        <v>80</v>
      </c>
      <c r="B141" s="138">
        <f>'Assets-Liab 5-6'!E41</f>
        <v>5218582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407052</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3346294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355566</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380437</v>
      </c>
      <c r="C169" s="2" t="s">
        <v>594</v>
      </c>
      <c r="D169" s="2" t="str">
        <f t="shared" si="1"/>
        <v>Error?</v>
      </c>
    </row>
    <row r="170" spans="1:4" x14ac:dyDescent="0.2">
      <c r="A170" s="5">
        <v>109</v>
      </c>
      <c r="B170" s="138">
        <f>'Assets-Liab 5-6'!F39</f>
        <v>2965857</v>
      </c>
      <c r="D170" s="2" t="str">
        <f t="shared" si="1"/>
        <v>Error?</v>
      </c>
    </row>
    <row r="171" spans="1:4" x14ac:dyDescent="0.2">
      <c r="A171" s="5">
        <v>110</v>
      </c>
      <c r="B171" s="138">
        <f>'Assets-Liab 5-6'!F41</f>
        <v>3346294</v>
      </c>
      <c r="C171" s="2" t="s">
        <v>594</v>
      </c>
      <c r="D171" s="2" t="str">
        <f t="shared" si="1"/>
        <v>Error?</v>
      </c>
    </row>
    <row r="172" spans="1:4" x14ac:dyDescent="0.2">
      <c r="A172" s="10">
        <v>111</v>
      </c>
      <c r="D172" s="2" t="str">
        <f t="shared" si="1"/>
        <v>OK</v>
      </c>
    </row>
    <row r="173" spans="1:4" x14ac:dyDescent="0.2">
      <c r="A173" s="5">
        <v>112</v>
      </c>
      <c r="B173" s="138">
        <f>'Assets-Liab 5-6'!G6</f>
        <v>340991</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1974705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297857</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361573</v>
      </c>
      <c r="C188" s="2" t="s">
        <v>594</v>
      </c>
      <c r="D188" s="2" t="str">
        <f t="shared" si="1"/>
        <v>Error?</v>
      </c>
    </row>
    <row r="189" spans="1:4" x14ac:dyDescent="0.2">
      <c r="A189" s="5">
        <v>128</v>
      </c>
      <c r="B189" s="138">
        <f>'Assets-Liab 5-6'!G39</f>
        <v>1591341</v>
      </c>
      <c r="D189" s="2" t="str">
        <f t="shared" si="1"/>
        <v>Error?</v>
      </c>
    </row>
    <row r="190" spans="1:4" x14ac:dyDescent="0.2">
      <c r="A190" s="5">
        <v>129</v>
      </c>
      <c r="B190" s="138">
        <f>'Assets-Liab 5-6'!G41</f>
        <v>1974705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466506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81602</v>
      </c>
      <c r="C211" s="2" t="s">
        <v>594</v>
      </c>
      <c r="D211" s="2" t="str">
        <f t="shared" si="2"/>
        <v>Error?</v>
      </c>
    </row>
    <row r="212" spans="1:4" x14ac:dyDescent="0.2">
      <c r="A212" s="5">
        <v>151</v>
      </c>
      <c r="B212" s="138">
        <f>'Assets-Liab 5-6'!H39</f>
        <v>384904</v>
      </c>
      <c r="D212" s="2" t="str">
        <f t="shared" si="2"/>
        <v>Error?</v>
      </c>
    </row>
    <row r="213" spans="1:4" x14ac:dyDescent="0.2">
      <c r="A213" s="12">
        <v>152</v>
      </c>
      <c r="B213" s="138">
        <f>'Assets-Liab 5-6'!H41</f>
        <v>466506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881764</v>
      </c>
      <c r="D273" s="2" t="str">
        <f t="shared" si="3"/>
        <v>Error?</v>
      </c>
    </row>
    <row r="274" spans="1:4" x14ac:dyDescent="0.2">
      <c r="A274" s="5">
        <v>213</v>
      </c>
      <c r="B274" s="138">
        <f>'Assets-Liab 5-6'!M17</f>
        <v>57996516</v>
      </c>
      <c r="D274" s="2" t="str">
        <f t="shared" si="3"/>
        <v>Error?</v>
      </c>
    </row>
    <row r="275" spans="1:4" x14ac:dyDescent="0.2">
      <c r="A275" s="5">
        <v>214</v>
      </c>
      <c r="B275" s="138">
        <f>'Assets-Liab 5-6'!M18</f>
        <v>13708734</v>
      </c>
      <c r="D275" s="2" t="str">
        <f t="shared" si="3"/>
        <v>Error?</v>
      </c>
    </row>
    <row r="276" spans="1:4" x14ac:dyDescent="0.2">
      <c r="A276" s="5">
        <v>215</v>
      </c>
      <c r="B276" s="138">
        <f>'Assets-Liab 5-6'!M19</f>
        <v>1354054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74054825</v>
      </c>
      <c r="C279" s="2" t="s">
        <v>594</v>
      </c>
      <c r="D279" s="2" t="str">
        <f t="shared" si="3"/>
        <v>Error?</v>
      </c>
    </row>
    <row r="280" spans="1:4" x14ac:dyDescent="0.2">
      <c r="A280" s="5">
        <v>219</v>
      </c>
      <c r="B280" s="138">
        <f>'Assets-Liab 5-6'!M40</f>
        <v>74054825</v>
      </c>
      <c r="D280" s="2" t="str">
        <f t="shared" si="3"/>
        <v>Error?</v>
      </c>
    </row>
    <row r="281" spans="1:4" x14ac:dyDescent="0.2">
      <c r="A281" s="5">
        <v>220</v>
      </c>
      <c r="B281" s="138">
        <f>'Assets-Liab 5-6'!M41</f>
        <v>74054825</v>
      </c>
      <c r="C281" s="2" t="s">
        <v>594</v>
      </c>
      <c r="D281" s="2" t="str">
        <f t="shared" si="3"/>
        <v>Error?</v>
      </c>
    </row>
    <row r="282" spans="1:4" x14ac:dyDescent="0.2">
      <c r="A282" s="5">
        <v>221</v>
      </c>
      <c r="B282" s="138">
        <f>'Assets-Liab 5-6'!N21</f>
        <v>4213983</v>
      </c>
      <c r="D282" s="2" t="str">
        <f t="shared" si="3"/>
        <v>Error?</v>
      </c>
    </row>
    <row r="283" spans="1:4" x14ac:dyDescent="0.2">
      <c r="A283" s="5">
        <v>222</v>
      </c>
      <c r="B283" s="138">
        <f>'Assets-Liab 5-6'!N22</f>
        <v>42193758</v>
      </c>
      <c r="D283" s="2" t="str">
        <f t="shared" si="3"/>
        <v>Error?</v>
      </c>
    </row>
    <row r="284" spans="1:4" x14ac:dyDescent="0.2">
      <c r="A284" s="5">
        <v>223</v>
      </c>
      <c r="B284" s="138">
        <f>'Assets-Liab 5-6'!N23</f>
        <v>46407741</v>
      </c>
      <c r="C284" s="2" t="s">
        <v>594</v>
      </c>
      <c r="D284" s="2" t="str">
        <f t="shared" si="3"/>
        <v>Error?</v>
      </c>
    </row>
    <row r="285" spans="1:4" x14ac:dyDescent="0.2">
      <c r="A285" s="5">
        <v>224</v>
      </c>
      <c r="B285" s="138">
        <f>'Assets-Liab 5-6'!N36</f>
        <v>46407741</v>
      </c>
      <c r="D285" s="2" t="str">
        <f t="shared" si="3"/>
        <v>Error?</v>
      </c>
    </row>
    <row r="286" spans="1:4" x14ac:dyDescent="0.2">
      <c r="A286" s="10">
        <v>225</v>
      </c>
      <c r="D286" s="2" t="str">
        <f t="shared" si="3"/>
        <v>OK</v>
      </c>
    </row>
    <row r="287" spans="1:4" x14ac:dyDescent="0.2">
      <c r="A287" s="5">
        <v>226</v>
      </c>
      <c r="B287" s="138">
        <f>'Assets-Liab 5-6'!N37</f>
        <v>46407741</v>
      </c>
      <c r="C287" s="2" t="s">
        <v>594</v>
      </c>
      <c r="D287" s="2" t="str">
        <f t="shared" si="3"/>
        <v>Error?</v>
      </c>
    </row>
    <row r="288" spans="1:4" x14ac:dyDescent="0.2">
      <c r="A288" s="5">
        <v>227</v>
      </c>
      <c r="B288" s="138">
        <f>'Assets-Liab 5-6'!N41</f>
        <v>46407741</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12814931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573496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516019</v>
      </c>
      <c r="D717" s="2" t="str">
        <f t="shared" si="10"/>
        <v>Error?</v>
      </c>
    </row>
    <row r="718" spans="1:4" x14ac:dyDescent="0.2">
      <c r="A718" s="5">
        <v>657</v>
      </c>
      <c r="B718" s="138">
        <f>'Expenditures 15-22'!C14</f>
        <v>465285</v>
      </c>
      <c r="D718" s="2" t="str">
        <f t="shared" si="10"/>
        <v>Error?</v>
      </c>
    </row>
    <row r="719" spans="1:4" x14ac:dyDescent="0.2">
      <c r="A719" s="5">
        <v>658</v>
      </c>
      <c r="B719" s="138">
        <f>'Expenditures 15-22'!C15</f>
        <v>8799</v>
      </c>
      <c r="D719" s="2" t="str">
        <f t="shared" si="10"/>
        <v>Error?</v>
      </c>
    </row>
    <row r="720" spans="1:4" x14ac:dyDescent="0.2">
      <c r="A720" s="5">
        <v>659</v>
      </c>
      <c r="B720" s="138">
        <f>'Expenditures 15-22'!C33</f>
        <v>20052996</v>
      </c>
      <c r="C720" s="2" t="s">
        <v>594</v>
      </c>
      <c r="D720" s="2" t="str">
        <f t="shared" si="10"/>
        <v>Error?</v>
      </c>
    </row>
    <row r="721" spans="1:4" x14ac:dyDescent="0.2">
      <c r="A721" s="5">
        <v>660</v>
      </c>
      <c r="B721" s="138">
        <f>'Expenditures 15-22'!C36</f>
        <v>304572</v>
      </c>
      <c r="D721" s="2" t="str">
        <f t="shared" si="10"/>
        <v>Error?</v>
      </c>
    </row>
    <row r="722" spans="1:4" x14ac:dyDescent="0.2">
      <c r="A722" s="5">
        <v>661</v>
      </c>
      <c r="B722" s="138">
        <f>'Expenditures 15-22'!C37</f>
        <v>363872</v>
      </c>
      <c r="D722" s="2" t="str">
        <f t="shared" si="10"/>
        <v>Error?</v>
      </c>
    </row>
    <row r="723" spans="1:4" x14ac:dyDescent="0.2">
      <c r="A723" s="5">
        <v>662</v>
      </c>
      <c r="B723" s="138">
        <f>'Expenditures 15-22'!C38</f>
        <v>49141</v>
      </c>
      <c r="D723" s="2" t="str">
        <f t="shared" si="10"/>
        <v>Error?</v>
      </c>
    </row>
    <row r="724" spans="1:4" x14ac:dyDescent="0.2">
      <c r="A724" s="5">
        <v>663</v>
      </c>
      <c r="B724" s="138">
        <f>'Expenditures 15-22'!C39</f>
        <v>192205</v>
      </c>
      <c r="D724" s="2" t="str">
        <f t="shared" si="10"/>
        <v>Error?</v>
      </c>
    </row>
    <row r="725" spans="1:4" x14ac:dyDescent="0.2">
      <c r="A725" s="5">
        <v>664</v>
      </c>
      <c r="B725" s="138">
        <f>'Expenditures 15-22'!C40</f>
        <v>433343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1343133</v>
      </c>
      <c r="C727" s="2" t="s">
        <v>594</v>
      </c>
      <c r="D727" s="2" t="str">
        <f t="shared" si="10"/>
        <v>Error?</v>
      </c>
    </row>
    <row r="728" spans="1:4" x14ac:dyDescent="0.2">
      <c r="A728" s="5">
        <v>667</v>
      </c>
      <c r="B728" s="138">
        <f>'Expenditures 15-22'!C44</f>
        <v>303587</v>
      </c>
      <c r="D728" s="2" t="str">
        <f t="shared" si="10"/>
        <v>Error?</v>
      </c>
    </row>
    <row r="729" spans="1:4" x14ac:dyDescent="0.2">
      <c r="A729" s="5">
        <v>668</v>
      </c>
      <c r="B729" s="138">
        <f>'Expenditures 15-22'!C45</f>
        <v>313634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617221</v>
      </c>
      <c r="C731" s="2" t="s">
        <v>594</v>
      </c>
      <c r="D731" s="2" t="str">
        <f t="shared" si="10"/>
        <v>Error?</v>
      </c>
    </row>
    <row r="732" spans="1:4" x14ac:dyDescent="0.2">
      <c r="A732" s="5">
        <v>671</v>
      </c>
      <c r="B732" s="138">
        <f>'Expenditures 15-22'!C49</f>
        <v>133602</v>
      </c>
      <c r="D732" s="2" t="str">
        <f t="shared" si="10"/>
        <v>Error?</v>
      </c>
    </row>
    <row r="733" spans="1:4" x14ac:dyDescent="0.2">
      <c r="A733" s="5">
        <v>672</v>
      </c>
      <c r="B733" s="138">
        <f>'Expenditures 15-22'!C50</f>
        <v>284208</v>
      </c>
      <c r="D733" s="2" t="str">
        <f t="shared" si="10"/>
        <v>Error?</v>
      </c>
    </row>
    <row r="734" spans="1:4" x14ac:dyDescent="0.2">
      <c r="A734" s="5">
        <v>673</v>
      </c>
      <c r="B734" s="138">
        <f>'Expenditures 15-22'!C53</f>
        <v>843008</v>
      </c>
      <c r="C734" s="2" t="s">
        <v>594</v>
      </c>
      <c r="D734" s="2" t="str">
        <f t="shared" si="10"/>
        <v>Error?</v>
      </c>
    </row>
    <row r="735" spans="1:4" x14ac:dyDescent="0.2">
      <c r="A735" s="5">
        <v>674</v>
      </c>
      <c r="B735" s="138">
        <f>'Expenditures 15-22'!C55</f>
        <v>1656143</v>
      </c>
      <c r="D735" s="2" t="str">
        <f t="shared" si="10"/>
        <v>Error?</v>
      </c>
    </row>
    <row r="736" spans="1:4" x14ac:dyDescent="0.2">
      <c r="A736" s="5">
        <v>675</v>
      </c>
      <c r="B736" s="138">
        <f>'Expenditures 15-22'!C56</f>
        <v>259442</v>
      </c>
      <c r="D736" s="2" t="str">
        <f t="shared" si="10"/>
        <v>Error?</v>
      </c>
    </row>
    <row r="737" spans="1:4" x14ac:dyDescent="0.2">
      <c r="A737" s="5">
        <v>676</v>
      </c>
      <c r="B737" s="138">
        <f>'Expenditures 15-22'!C57</f>
        <v>1915585</v>
      </c>
      <c r="C737" s="2" t="s">
        <v>594</v>
      </c>
      <c r="D737" s="2" t="str">
        <f t="shared" si="10"/>
        <v>Error?</v>
      </c>
    </row>
    <row r="738" spans="1:4" x14ac:dyDescent="0.2">
      <c r="A738" s="5">
        <v>677</v>
      </c>
      <c r="B738" s="138">
        <f>'Expenditures 15-22'!C59</f>
        <v>31158</v>
      </c>
      <c r="D738" s="2" t="str">
        <f t="shared" si="10"/>
        <v>Error?</v>
      </c>
    </row>
    <row r="739" spans="1:4" x14ac:dyDescent="0.2">
      <c r="A739" s="5">
        <v>678</v>
      </c>
      <c r="B739" s="138">
        <f>'Expenditures 15-22'!C60</f>
        <v>380868</v>
      </c>
      <c r="D739" s="2" t="str">
        <f t="shared" si="10"/>
        <v>Error?</v>
      </c>
    </row>
    <row r="740" spans="1:4" x14ac:dyDescent="0.2">
      <c r="A740" s="5">
        <v>679</v>
      </c>
      <c r="B740" s="138">
        <f>'Expenditures 15-22'!C61</f>
        <v>983911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810286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2206223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168852</v>
      </c>
      <c r="D754" s="2" t="str">
        <f t="shared" si="10"/>
        <v>Error?</v>
      </c>
    </row>
    <row r="755" spans="1:4" x14ac:dyDescent="0.2">
      <c r="A755" s="5">
        <v>694</v>
      </c>
      <c r="B755" s="138">
        <f>'Expenditures 15-22'!C74</f>
        <v>7094022</v>
      </c>
      <c r="C755" s="2" t="s">
        <v>594</v>
      </c>
      <c r="D755" s="2" t="str">
        <f t="shared" si="10"/>
        <v>Error?</v>
      </c>
    </row>
    <row r="756" spans="1:4" x14ac:dyDescent="0.2">
      <c r="A756" s="5">
        <v>695</v>
      </c>
      <c r="B756" s="138">
        <f>'Expenditures 15-22'!C75</f>
        <v>78163</v>
      </c>
      <c r="D756" s="2" t="str">
        <f t="shared" si="10"/>
        <v>Error?</v>
      </c>
    </row>
    <row r="757" spans="1:4" x14ac:dyDescent="0.2">
      <c r="A757" s="5">
        <v>696</v>
      </c>
      <c r="B757" s="138">
        <f>'Expenditures 15-22'!C114</f>
        <v>27225181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1198399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63134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60486</v>
      </c>
      <c r="D775" s="2" t="str">
        <f t="shared" si="11"/>
        <v>Error?</v>
      </c>
    </row>
    <row r="776" spans="1:4" x14ac:dyDescent="0.2">
      <c r="A776" s="5">
        <v>715</v>
      </c>
      <c r="B776" s="138">
        <f>'Expenditures 15-22'!D14</f>
        <v>18696</v>
      </c>
      <c r="D776" s="2" t="str">
        <f t="shared" si="11"/>
        <v>Error?</v>
      </c>
    </row>
    <row r="777" spans="1:4" x14ac:dyDescent="0.2">
      <c r="A777" s="5">
        <v>716</v>
      </c>
      <c r="B777" s="138">
        <f>'Expenditures 15-22'!D15</f>
        <v>194</v>
      </c>
      <c r="D777" s="2" t="str">
        <f t="shared" si="11"/>
        <v>Error?</v>
      </c>
    </row>
    <row r="778" spans="1:4" x14ac:dyDescent="0.2">
      <c r="A778" s="5">
        <v>717</v>
      </c>
      <c r="B778" s="138">
        <f>'Expenditures 15-22'!D33</f>
        <v>2107942</v>
      </c>
      <c r="C778" s="2" t="s">
        <v>594</v>
      </c>
      <c r="D778" s="2" t="str">
        <f t="shared" si="11"/>
        <v>Error?</v>
      </c>
    </row>
    <row r="779" spans="1:4" x14ac:dyDescent="0.2">
      <c r="A779" s="5">
        <v>718</v>
      </c>
      <c r="B779" s="138">
        <f>'Expenditures 15-22'!D36</f>
        <v>31440</v>
      </c>
      <c r="D779" s="2" t="str">
        <f t="shared" si="11"/>
        <v>Error?</v>
      </c>
    </row>
    <row r="780" spans="1:4" x14ac:dyDescent="0.2">
      <c r="A780" s="5">
        <v>719</v>
      </c>
      <c r="B780" s="138">
        <f>'Expenditures 15-22'!D37</f>
        <v>60463</v>
      </c>
      <c r="D780" s="2" t="str">
        <f t="shared" si="11"/>
        <v>Error?</v>
      </c>
    </row>
    <row r="781" spans="1:4" x14ac:dyDescent="0.2">
      <c r="A781" s="5">
        <v>720</v>
      </c>
      <c r="B781" s="138">
        <f>'Expenditures 15-22'!D38</f>
        <v>15153</v>
      </c>
      <c r="D781" s="2" t="str">
        <f t="shared" si="11"/>
        <v>Error?</v>
      </c>
    </row>
    <row r="782" spans="1:4" x14ac:dyDescent="0.2">
      <c r="A782" s="5">
        <v>721</v>
      </c>
      <c r="B782" s="138">
        <f>'Expenditures 15-22'!D39</f>
        <v>14298</v>
      </c>
      <c r="D782" s="2" t="str">
        <f t="shared" si="11"/>
        <v>Error?</v>
      </c>
    </row>
    <row r="783" spans="1:4" x14ac:dyDescent="0.2">
      <c r="A783" s="5">
        <v>722</v>
      </c>
      <c r="B783" s="138">
        <f>'Expenditures 15-22'!D40</f>
        <v>51758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173112</v>
      </c>
      <c r="C785" s="2" t="s">
        <v>594</v>
      </c>
      <c r="D785" s="2" t="str">
        <f t="shared" si="11"/>
        <v>Error?</v>
      </c>
    </row>
    <row r="786" spans="1:4" x14ac:dyDescent="0.2">
      <c r="A786" s="5">
        <v>725</v>
      </c>
      <c r="B786" s="138">
        <f>'Expenditures 15-22'!D44</f>
        <v>59352</v>
      </c>
      <c r="D786" s="2" t="str">
        <f t="shared" si="11"/>
        <v>Error?</v>
      </c>
    </row>
    <row r="787" spans="1:4" x14ac:dyDescent="0.2">
      <c r="A787" s="5">
        <v>726</v>
      </c>
      <c r="B787" s="138">
        <f>'Expenditures 15-22'!D45</f>
        <v>66388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125740</v>
      </c>
      <c r="C789" s="2" t="s">
        <v>594</v>
      </c>
      <c r="D789" s="2" t="str">
        <f t="shared" si="11"/>
        <v>Error?</v>
      </c>
    </row>
    <row r="790" spans="1:4" x14ac:dyDescent="0.2">
      <c r="A790" s="5">
        <v>729</v>
      </c>
      <c r="B790" s="138">
        <f>'Expenditures 15-22'!D49</f>
        <v>21228</v>
      </c>
      <c r="D790" s="2" t="str">
        <f t="shared" si="11"/>
        <v>Error?</v>
      </c>
    </row>
    <row r="791" spans="1:4" x14ac:dyDescent="0.2">
      <c r="A791" s="5">
        <v>730</v>
      </c>
      <c r="B791" s="138">
        <f>'Expenditures 15-22'!D50</f>
        <v>41905</v>
      </c>
      <c r="D791" s="2" t="str">
        <f t="shared" si="11"/>
        <v>Error?</v>
      </c>
    </row>
    <row r="792" spans="1:4" x14ac:dyDescent="0.2">
      <c r="A792" s="5">
        <v>731</v>
      </c>
      <c r="B792" s="138">
        <f>'Expenditures 15-22'!D53</f>
        <v>111014</v>
      </c>
      <c r="C792" s="2" t="s">
        <v>594</v>
      </c>
      <c r="D792" s="2" t="str">
        <f t="shared" si="11"/>
        <v>Error?</v>
      </c>
    </row>
    <row r="793" spans="1:4" x14ac:dyDescent="0.2">
      <c r="A793" s="5">
        <v>732</v>
      </c>
      <c r="B793" s="138">
        <f>'Expenditures 15-22'!D55</f>
        <v>232369</v>
      </c>
      <c r="D793" s="2" t="str">
        <f t="shared" si="11"/>
        <v>Error?</v>
      </c>
    </row>
    <row r="794" spans="1:4" x14ac:dyDescent="0.2">
      <c r="A794" s="5">
        <v>733</v>
      </c>
      <c r="B794" s="138">
        <f>'Expenditures 15-22'!D56</f>
        <v>25411</v>
      </c>
      <c r="D794" s="2" t="str">
        <f t="shared" si="11"/>
        <v>Error?</v>
      </c>
    </row>
    <row r="795" spans="1:4" x14ac:dyDescent="0.2">
      <c r="A795" s="5">
        <v>734</v>
      </c>
      <c r="B795" s="138">
        <f>'Expenditures 15-22'!D57</f>
        <v>257780</v>
      </c>
      <c r="C795" s="2" t="s">
        <v>594</v>
      </c>
      <c r="D795" s="2" t="str">
        <f t="shared" si="11"/>
        <v>Error?</v>
      </c>
    </row>
    <row r="796" spans="1:4" x14ac:dyDescent="0.2">
      <c r="A796" s="5">
        <v>735</v>
      </c>
      <c r="B796" s="138">
        <f>'Expenditures 15-22'!D59</f>
        <v>7335</v>
      </c>
      <c r="D796" s="2" t="str">
        <f t="shared" si="11"/>
        <v>Error?</v>
      </c>
    </row>
    <row r="797" spans="1:4" x14ac:dyDescent="0.2">
      <c r="A797" s="5">
        <v>736</v>
      </c>
      <c r="B797" s="138">
        <f>'Expenditures 15-22'!D60</f>
        <v>39078</v>
      </c>
      <c r="D797" s="2" t="str">
        <f t="shared" si="11"/>
        <v>Error?</v>
      </c>
    </row>
    <row r="798" spans="1:4" x14ac:dyDescent="0.2">
      <c r="A798" s="5">
        <v>737</v>
      </c>
      <c r="B798" s="138">
        <f>'Expenditures 15-22'!D61</f>
        <v>140613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220123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407149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18153</v>
      </c>
      <c r="D812" s="2" t="str">
        <f t="shared" si="11"/>
        <v>Error?</v>
      </c>
    </row>
    <row r="813" spans="1:4" x14ac:dyDescent="0.2">
      <c r="A813" s="5">
        <v>752</v>
      </c>
      <c r="B813" s="138">
        <f>'Expenditures 15-22'!D74</f>
        <v>1092948</v>
      </c>
      <c r="C813" s="2" t="s">
        <v>594</v>
      </c>
      <c r="D813" s="2" t="str">
        <f t="shared" si="11"/>
        <v>Error?</v>
      </c>
    </row>
    <row r="814" spans="1:4" x14ac:dyDescent="0.2">
      <c r="A814" s="5">
        <v>753</v>
      </c>
      <c r="B814" s="138">
        <f>'Expenditures 15-22'!D75</f>
        <v>19994</v>
      </c>
      <c r="D814" s="2" t="str">
        <f t="shared" si="11"/>
        <v>Error?</v>
      </c>
    </row>
    <row r="815" spans="1:4" x14ac:dyDescent="0.2">
      <c r="A815" s="5">
        <v>754</v>
      </c>
      <c r="B815" s="138">
        <f>'Expenditures 15-22'!D114</f>
        <v>3220884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44084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1575</v>
      </c>
      <c r="D833" s="2" t="str">
        <f t="shared" si="12"/>
        <v>Error?</v>
      </c>
    </row>
    <row r="834" spans="1:4" x14ac:dyDescent="0.2">
      <c r="A834" s="5">
        <v>773</v>
      </c>
      <c r="B834" s="138">
        <f>'Expenditures 15-22'!E14</f>
        <v>101111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158955</v>
      </c>
      <c r="C836" s="2" t="s">
        <v>594</v>
      </c>
      <c r="D836" s="2" t="str">
        <f t="shared" si="12"/>
        <v>Error?</v>
      </c>
    </row>
    <row r="837" spans="1:4" x14ac:dyDescent="0.2">
      <c r="A837" s="5">
        <v>776</v>
      </c>
      <c r="B837" s="138">
        <f>'Expenditures 15-22'!E36</f>
        <v>1251</v>
      </c>
      <c r="D837" s="2" t="str">
        <f t="shared" si="12"/>
        <v>Error?</v>
      </c>
    </row>
    <row r="838" spans="1:4" x14ac:dyDescent="0.2">
      <c r="A838" s="5">
        <v>777</v>
      </c>
      <c r="B838" s="138">
        <f>'Expenditures 15-22'!E37</f>
        <v>53386</v>
      </c>
      <c r="D838" s="2" t="str">
        <f t="shared" si="12"/>
        <v>Error?</v>
      </c>
    </row>
    <row r="839" spans="1:4" x14ac:dyDescent="0.2">
      <c r="A839" s="5">
        <v>778</v>
      </c>
      <c r="B839" s="138">
        <f>'Expenditures 15-22'!E38</f>
        <v>7020</v>
      </c>
      <c r="D839" s="2" t="str">
        <f t="shared" si="12"/>
        <v>Error?</v>
      </c>
    </row>
    <row r="840" spans="1:4" x14ac:dyDescent="0.2">
      <c r="A840" s="5">
        <v>779</v>
      </c>
      <c r="B840" s="138">
        <f>'Expenditures 15-22'!E39</f>
        <v>6916</v>
      </c>
      <c r="D840" s="2" t="str">
        <f t="shared" si="12"/>
        <v>Error?</v>
      </c>
    </row>
    <row r="841" spans="1:4" x14ac:dyDescent="0.2">
      <c r="A841" s="5">
        <v>780</v>
      </c>
      <c r="B841" s="138">
        <f>'Expenditures 15-22'!E40</f>
        <v>53604</v>
      </c>
      <c r="D841" s="2" t="str">
        <f t="shared" si="12"/>
        <v>Error?</v>
      </c>
    </row>
    <row r="842" spans="1:4" x14ac:dyDescent="0.2">
      <c r="A842" s="5">
        <v>781</v>
      </c>
      <c r="B842" s="138">
        <f>'Expenditures 15-22'!E41</f>
        <v>4419</v>
      </c>
      <c r="D842" s="2" t="str">
        <f t="shared" si="12"/>
        <v>Error?</v>
      </c>
    </row>
    <row r="843" spans="1:4" x14ac:dyDescent="0.2">
      <c r="A843" s="5">
        <v>782</v>
      </c>
      <c r="B843" s="138">
        <f>'Expenditures 15-22'!E42</f>
        <v>126596</v>
      </c>
      <c r="C843" s="2" t="s">
        <v>594</v>
      </c>
      <c r="D843" s="2" t="str">
        <f t="shared" si="12"/>
        <v>Error?</v>
      </c>
    </row>
    <row r="844" spans="1:4" x14ac:dyDescent="0.2">
      <c r="A844" s="5">
        <v>783</v>
      </c>
      <c r="B844" s="138">
        <f>'Expenditures 15-22'!E44</f>
        <v>138352</v>
      </c>
      <c r="D844" s="2" t="str">
        <f t="shared" si="12"/>
        <v>Error?</v>
      </c>
    </row>
    <row r="845" spans="1:4" x14ac:dyDescent="0.2">
      <c r="A845" s="5">
        <v>784</v>
      </c>
      <c r="B845" s="138">
        <f>'Expenditures 15-22'!E45</f>
        <v>293443</v>
      </c>
      <c r="D845" s="2" t="str">
        <f t="shared" si="12"/>
        <v>Error?</v>
      </c>
    </row>
    <row r="846" spans="1:4" x14ac:dyDescent="0.2">
      <c r="A846" s="5">
        <v>785</v>
      </c>
      <c r="B846" s="138">
        <f>'Expenditures 15-22'!E46</f>
        <v>19693</v>
      </c>
      <c r="D846" s="2" t="str">
        <f t="shared" si="12"/>
        <v>Error?</v>
      </c>
    </row>
    <row r="847" spans="1:4" x14ac:dyDescent="0.2">
      <c r="A847" s="5">
        <v>786</v>
      </c>
      <c r="B847" s="138">
        <f>'Expenditures 15-22'!E47</f>
        <v>451488</v>
      </c>
      <c r="C847" s="2" t="s">
        <v>594</v>
      </c>
      <c r="D847" s="2" t="str">
        <f t="shared" si="12"/>
        <v>Error?</v>
      </c>
    </row>
    <row r="848" spans="1:4" x14ac:dyDescent="0.2">
      <c r="A848" s="5">
        <v>787</v>
      </c>
      <c r="B848" s="138">
        <f>'Expenditures 15-22'!E49</f>
        <v>28073</v>
      </c>
      <c r="D848" s="2" t="str">
        <f t="shared" si="12"/>
        <v>Error?</v>
      </c>
    </row>
    <row r="849" spans="1:4" x14ac:dyDescent="0.2">
      <c r="A849" s="5">
        <v>788</v>
      </c>
      <c r="B849" s="138">
        <f>'Expenditures 15-22'!E50</f>
        <v>96524</v>
      </c>
      <c r="D849" s="2" t="str">
        <f t="shared" si="12"/>
        <v>Error?</v>
      </c>
    </row>
    <row r="850" spans="1:4" x14ac:dyDescent="0.2">
      <c r="A850" s="5">
        <v>789</v>
      </c>
      <c r="B850" s="138">
        <f>'Expenditures 15-22'!E53</f>
        <v>179949</v>
      </c>
      <c r="C850" s="2" t="s">
        <v>594</v>
      </c>
      <c r="D850" s="2" t="str">
        <f t="shared" si="12"/>
        <v>Error?</v>
      </c>
    </row>
    <row r="851" spans="1:4" x14ac:dyDescent="0.2">
      <c r="A851" s="5">
        <v>790</v>
      </c>
      <c r="B851" s="138">
        <f>'Expenditures 15-22'!E55</f>
        <v>19127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19127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13500</v>
      </c>
      <c r="D855" s="2" t="str">
        <f t="shared" si="12"/>
        <v>Error?</v>
      </c>
    </row>
    <row r="856" spans="1:4" x14ac:dyDescent="0.2">
      <c r="A856" s="5">
        <v>795</v>
      </c>
      <c r="B856" s="138">
        <f>'Expenditures 15-22'!E61</f>
        <v>14387</v>
      </c>
      <c r="D856" s="2" t="str">
        <f t="shared" si="12"/>
        <v>Error?</v>
      </c>
    </row>
    <row r="857" spans="1:4" x14ac:dyDescent="0.2">
      <c r="A857" s="5">
        <v>796</v>
      </c>
      <c r="B857" s="138">
        <f>'Expenditures 15-22'!E62</f>
        <v>172331</v>
      </c>
      <c r="D857" s="2" t="str">
        <f t="shared" si="12"/>
        <v>Error?</v>
      </c>
    </row>
    <row r="858" spans="1:4" x14ac:dyDescent="0.2">
      <c r="A858" s="5">
        <v>797</v>
      </c>
      <c r="B858" s="138">
        <f>'Expenditures 15-22'!E63</f>
        <v>50461</v>
      </c>
      <c r="D858" s="2" t="str">
        <f t="shared" si="12"/>
        <v>Error?</v>
      </c>
    </row>
    <row r="859" spans="1:4" x14ac:dyDescent="0.2">
      <c r="A859" s="5">
        <v>798</v>
      </c>
      <c r="B859" s="138">
        <f>'Expenditures 15-22'!E64</f>
        <v>98194</v>
      </c>
      <c r="D859" s="2" t="str">
        <f t="shared" si="12"/>
        <v>Error?</v>
      </c>
    </row>
    <row r="860" spans="1:4" x14ac:dyDescent="0.2">
      <c r="A860" s="10">
        <v>799</v>
      </c>
      <c r="D860" s="2" t="str">
        <f t="shared" si="12"/>
        <v>OK</v>
      </c>
    </row>
    <row r="861" spans="1:4" x14ac:dyDescent="0.2">
      <c r="A861" s="5">
        <v>800</v>
      </c>
      <c r="B861" s="138">
        <f>'Expenditures 15-22'!E65</f>
        <v>348873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1309</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1309</v>
      </c>
      <c r="C869" s="2" t="s">
        <v>594</v>
      </c>
      <c r="D869" s="2" t="str">
        <f t="shared" si="12"/>
        <v>Error?</v>
      </c>
    </row>
    <row r="870" spans="1:4" x14ac:dyDescent="0.2">
      <c r="A870" s="5">
        <v>809</v>
      </c>
      <c r="B870" s="138">
        <f>'Expenditures 15-22'!E73</f>
        <v>16760</v>
      </c>
      <c r="D870" s="2" t="str">
        <f t="shared" si="12"/>
        <v>Error?</v>
      </c>
    </row>
    <row r="871" spans="1:4" x14ac:dyDescent="0.2">
      <c r="A871" s="5">
        <v>810</v>
      </c>
      <c r="B871" s="138">
        <f>'Expenditures 15-22'!E74</f>
        <v>1144102</v>
      </c>
      <c r="C871" s="2" t="s">
        <v>594</v>
      </c>
      <c r="D871" s="2" t="str">
        <f t="shared" si="12"/>
        <v>Error?</v>
      </c>
    </row>
    <row r="872" spans="1:4" x14ac:dyDescent="0.2">
      <c r="A872" s="5">
        <v>811</v>
      </c>
      <c r="B872" s="138">
        <f>'Expenditures 15-22'!E75</f>
        <v>57235</v>
      </c>
      <c r="D872" s="2" t="str">
        <f t="shared" si="12"/>
        <v>Error?</v>
      </c>
    </row>
    <row r="873" spans="1:4" x14ac:dyDescent="0.2">
      <c r="A873" s="5">
        <v>812</v>
      </c>
      <c r="B873" s="138">
        <f>'Expenditures 15-22'!E114</f>
        <v>1436799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296956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49271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367897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19915</v>
      </c>
      <c r="D896" s="2" t="str">
        <f t="shared" si="13"/>
        <v>Error?</v>
      </c>
    </row>
    <row r="897" spans="1:4" x14ac:dyDescent="0.2">
      <c r="A897" s="5">
        <v>836</v>
      </c>
      <c r="B897" s="138">
        <f>'Expenditures 15-22'!F38</f>
        <v>2687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339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22941</v>
      </c>
      <c r="C901" s="2" t="s">
        <v>594</v>
      </c>
      <c r="D901" s="2" t="str">
        <f t="shared" si="13"/>
        <v>Error?</v>
      </c>
    </row>
    <row r="902" spans="1:4" x14ac:dyDescent="0.2">
      <c r="A902" s="5">
        <v>841</v>
      </c>
      <c r="B902" s="138">
        <f>'Expenditures 15-22'!F44</f>
        <v>42115</v>
      </c>
      <c r="D902" s="2" t="str">
        <f t="shared" si="13"/>
        <v>Error?</v>
      </c>
    </row>
    <row r="903" spans="1:4" x14ac:dyDescent="0.2">
      <c r="A903" s="5">
        <v>842</v>
      </c>
      <c r="B903" s="138">
        <f>'Expenditures 15-22'!F45</f>
        <v>73179</v>
      </c>
      <c r="D903" s="2" t="str">
        <f t="shared" si="13"/>
        <v>Error?</v>
      </c>
    </row>
    <row r="904" spans="1:4" x14ac:dyDescent="0.2">
      <c r="A904" s="5">
        <v>843</v>
      </c>
      <c r="B904" s="138">
        <f>'Expenditures 15-22'!F46</f>
        <v>865</v>
      </c>
      <c r="D904" s="2" t="str">
        <f t="shared" si="13"/>
        <v>Error?</v>
      </c>
    </row>
    <row r="905" spans="1:4" x14ac:dyDescent="0.2">
      <c r="A905" s="5">
        <v>844</v>
      </c>
      <c r="B905" s="138">
        <f>'Expenditures 15-22'!F47</f>
        <v>116159</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11023</v>
      </c>
      <c r="D907" s="2" t="str">
        <f t="shared" si="13"/>
        <v>Error?</v>
      </c>
    </row>
    <row r="908" spans="1:4" x14ac:dyDescent="0.2">
      <c r="A908" s="5">
        <v>847</v>
      </c>
      <c r="B908" s="138">
        <f>'Expenditures 15-22'!F53</f>
        <v>20499</v>
      </c>
      <c r="C908" s="2" t="s">
        <v>594</v>
      </c>
      <c r="D908" s="2" t="str">
        <f t="shared" si="13"/>
        <v>Error?</v>
      </c>
    </row>
    <row r="909" spans="1:4" x14ac:dyDescent="0.2">
      <c r="A909" s="5">
        <v>848</v>
      </c>
      <c r="B909" s="138">
        <f>'Expenditures 15-22'!F55</f>
        <v>7424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7424</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30088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684033</v>
      </c>
      <c r="D916" s="2" t="str">
        <f t="shared" si="13"/>
        <v>Error?</v>
      </c>
    </row>
    <row r="917" spans="1:4" x14ac:dyDescent="0.2">
      <c r="A917" s="5">
        <v>856</v>
      </c>
      <c r="B917" s="138">
        <f>'Expenditures 15-22'!F64</f>
        <v>5033</v>
      </c>
      <c r="D917" s="2" t="str">
        <f t="shared" si="13"/>
        <v>Error?</v>
      </c>
    </row>
    <row r="918" spans="1:4" x14ac:dyDescent="0.2">
      <c r="A918" s="10">
        <v>857</v>
      </c>
      <c r="D918" s="2" t="str">
        <f t="shared" si="13"/>
        <v>OK</v>
      </c>
    </row>
    <row r="919" spans="1:4" x14ac:dyDescent="0.2">
      <c r="A919" s="5">
        <v>858</v>
      </c>
      <c r="B919" s="138">
        <f>'Expenditures 15-22'!F65</f>
        <v>719154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795</v>
      </c>
      <c r="D925" s="2" t="str">
        <f t="shared" si="13"/>
        <v>Error?</v>
      </c>
    </row>
    <row r="926" spans="1:4" x14ac:dyDescent="0.2">
      <c r="A926" s="10">
        <v>865</v>
      </c>
      <c r="D926" s="2" t="str">
        <f t="shared" si="13"/>
        <v>OK</v>
      </c>
    </row>
    <row r="927" spans="1:4" x14ac:dyDescent="0.2">
      <c r="A927" s="5">
        <v>866</v>
      </c>
      <c r="B927" s="138">
        <f>'Expenditures 15-22'!F72</f>
        <v>795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886972</v>
      </c>
      <c r="C929" s="2" t="s">
        <v>594</v>
      </c>
      <c r="D929" s="2" t="str">
        <f t="shared" si="13"/>
        <v>Error?</v>
      </c>
    </row>
    <row r="930" spans="1:4" x14ac:dyDescent="0.2">
      <c r="A930" s="5">
        <v>869</v>
      </c>
      <c r="B930" s="138">
        <f>'Expenditures 15-22'!F75</f>
        <v>57592</v>
      </c>
      <c r="D930" s="2" t="str">
        <f t="shared" si="13"/>
        <v>Error?</v>
      </c>
    </row>
    <row r="931" spans="1:4" x14ac:dyDescent="0.2">
      <c r="A931" s="5">
        <v>870</v>
      </c>
      <c r="B931" s="138">
        <f>'Expenditures 15-22'!F114</f>
        <v>1312461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551344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551344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22283</v>
      </c>
      <c r="D960" s="2" t="str">
        <f t="shared" si="14"/>
        <v>Error?</v>
      </c>
    </row>
    <row r="961" spans="1:4" x14ac:dyDescent="0.2">
      <c r="A961" s="5">
        <v>900</v>
      </c>
      <c r="B961" s="138">
        <f>'Expenditures 15-22'!G45</f>
        <v>81698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103981</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79964</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45694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125658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229639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780983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19033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3713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592014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8210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8210</v>
      </c>
      <c r="C1021" s="2" t="s">
        <v>594</v>
      </c>
      <c r="D1021" s="2" t="str">
        <f t="shared" si="14"/>
        <v>Error?</v>
      </c>
    </row>
    <row r="1022" spans="1:4" x14ac:dyDescent="0.2">
      <c r="A1022" s="5">
        <v>961</v>
      </c>
      <c r="B1022" s="138">
        <f>'Expenditures 15-22'!H49</f>
        <v>10164</v>
      </c>
      <c r="D1022" s="2" t="str">
        <f t="shared" si="14"/>
        <v>Error?</v>
      </c>
    </row>
    <row r="1023" spans="1:4" x14ac:dyDescent="0.2">
      <c r="A1023" s="5">
        <v>962</v>
      </c>
      <c r="B1023" s="138">
        <f>'Expenditures 15-22'!H50</f>
        <v>27445</v>
      </c>
      <c r="D1023" s="2" t="str">
        <f t="shared" ref="D1023:D1086" si="15">IF(ISBLANK(B1023),"OK",IF(A1023-B1023=0,"OK","Error?"))</f>
        <v>Error?</v>
      </c>
    </row>
    <row r="1024" spans="1:4" x14ac:dyDescent="0.2">
      <c r="A1024" s="5">
        <v>963</v>
      </c>
      <c r="B1024" s="138">
        <f>'Expenditures 15-22'!H53</f>
        <v>37609</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45819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371532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1009365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14930854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636630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578080</v>
      </c>
      <c r="C1105" s="2" t="s">
        <v>594</v>
      </c>
      <c r="D1105" s="2" t="str">
        <f t="shared" si="16"/>
        <v>Error?</v>
      </c>
    </row>
    <row r="1106" spans="1:4" x14ac:dyDescent="0.2">
      <c r="A1106" s="5">
        <v>1045</v>
      </c>
      <c r="B1106" s="138">
        <f>'Expenditures 15-22'!K14</f>
        <v>638076</v>
      </c>
      <c r="C1106" s="2" t="s">
        <v>594</v>
      </c>
      <c r="D1106" s="2" t="str">
        <f t="shared" si="16"/>
        <v>Error?</v>
      </c>
    </row>
    <row r="1107" spans="1:4" x14ac:dyDescent="0.2">
      <c r="A1107" s="5">
        <v>1046</v>
      </c>
      <c r="B1107" s="138">
        <f>'Expenditures 15-22'!K15</f>
        <v>8993</v>
      </c>
      <c r="C1107" s="2" t="s">
        <v>594</v>
      </c>
      <c r="D1107" s="2" t="str">
        <f t="shared" si="16"/>
        <v>Error?</v>
      </c>
    </row>
    <row r="1108" spans="1:4" x14ac:dyDescent="0.2">
      <c r="A1108" s="5">
        <v>1047</v>
      </c>
      <c r="B1108" s="138">
        <f>'Expenditures 15-22'!K33</f>
        <v>23856138</v>
      </c>
      <c r="C1108" s="2" t="s">
        <v>594</v>
      </c>
      <c r="D1108" s="2" t="str">
        <f t="shared" si="16"/>
        <v>Error?</v>
      </c>
    </row>
    <row r="1109" spans="1:4" x14ac:dyDescent="0.2">
      <c r="A1109" s="5">
        <v>1048</v>
      </c>
      <c r="B1109" s="138">
        <f>'Expenditures 15-22'!K36</f>
        <v>337263</v>
      </c>
      <c r="C1109" s="2" t="s">
        <v>594</v>
      </c>
      <c r="D1109" s="2" t="str">
        <f t="shared" si="16"/>
        <v>Error?</v>
      </c>
    </row>
    <row r="1110" spans="1:4" x14ac:dyDescent="0.2">
      <c r="A1110" s="5">
        <v>1049</v>
      </c>
      <c r="B1110" s="138">
        <f>'Expenditures 15-22'!K37</f>
        <v>497636</v>
      </c>
      <c r="C1110" s="2" t="s">
        <v>594</v>
      </c>
      <c r="D1110" s="2" t="str">
        <f t="shared" si="16"/>
        <v>Error?</v>
      </c>
    </row>
    <row r="1111" spans="1:4" x14ac:dyDescent="0.2">
      <c r="A1111" s="5">
        <v>1050</v>
      </c>
      <c r="B1111" s="138">
        <f>'Expenditures 15-22'!K38</f>
        <v>74001</v>
      </c>
      <c r="C1111" s="2" t="s">
        <v>594</v>
      </c>
      <c r="D1111" s="2" t="str">
        <f t="shared" si="16"/>
        <v>Error?</v>
      </c>
    </row>
    <row r="1112" spans="1:4" x14ac:dyDescent="0.2">
      <c r="A1112" s="5">
        <v>1051</v>
      </c>
      <c r="B1112" s="138">
        <f>'Expenditures 15-22'!K39</f>
        <v>213419</v>
      </c>
      <c r="C1112" s="2" t="s">
        <v>594</v>
      </c>
      <c r="D1112" s="2" t="str">
        <f t="shared" si="16"/>
        <v>Error?</v>
      </c>
    </row>
    <row r="1113" spans="1:4" x14ac:dyDescent="0.2">
      <c r="A1113" s="5">
        <v>1052</v>
      </c>
      <c r="B1113" s="138">
        <f>'Expenditures 15-22'!K40</f>
        <v>539044</v>
      </c>
      <c r="C1113" s="2" t="s">
        <v>594</v>
      </c>
      <c r="D1113" s="2" t="str">
        <f t="shared" si="16"/>
        <v>Error?</v>
      </c>
    </row>
    <row r="1114" spans="1:4" x14ac:dyDescent="0.2">
      <c r="A1114" s="5">
        <v>1053</v>
      </c>
      <c r="B1114" s="138">
        <f>'Expenditures 15-22'!K41</f>
        <v>4419</v>
      </c>
      <c r="C1114" s="2" t="s">
        <v>594</v>
      </c>
      <c r="D1114" s="2" t="str">
        <f t="shared" si="16"/>
        <v>Error?</v>
      </c>
    </row>
    <row r="1115" spans="1:4" x14ac:dyDescent="0.2">
      <c r="A1115" s="5">
        <v>1054</v>
      </c>
      <c r="B1115" s="138">
        <f>'Expenditures 15-22'!K42</f>
        <v>1665782</v>
      </c>
      <c r="C1115" s="2" t="s">
        <v>594</v>
      </c>
      <c r="D1115" s="2" t="str">
        <f t="shared" si="16"/>
        <v>Error?</v>
      </c>
    </row>
    <row r="1116" spans="1:4" x14ac:dyDescent="0.2">
      <c r="A1116" s="5">
        <v>1055</v>
      </c>
      <c r="B1116" s="138">
        <f>'Expenditures 15-22'!K44</f>
        <v>565689</v>
      </c>
      <c r="C1116" s="2" t="s">
        <v>594</v>
      </c>
      <c r="D1116" s="2" t="str">
        <f t="shared" si="16"/>
        <v>Error?</v>
      </c>
    </row>
    <row r="1117" spans="1:4" x14ac:dyDescent="0.2">
      <c r="A1117" s="5">
        <v>1056</v>
      </c>
      <c r="B1117" s="138">
        <f>'Expenditures 15-22'!K45</f>
        <v>885010</v>
      </c>
      <c r="C1117" s="2" t="s">
        <v>594</v>
      </c>
      <c r="D1117" s="2" t="str">
        <f t="shared" si="16"/>
        <v>Error?</v>
      </c>
    </row>
    <row r="1118" spans="1:4" x14ac:dyDescent="0.2">
      <c r="A1118" s="5">
        <v>1057</v>
      </c>
      <c r="B1118" s="138">
        <f>'Expenditures 15-22'!K46</f>
        <v>20558</v>
      </c>
      <c r="C1118" s="2" t="s">
        <v>594</v>
      </c>
      <c r="D1118" s="2" t="str">
        <f t="shared" si="16"/>
        <v>Error?</v>
      </c>
    </row>
    <row r="1119" spans="1:4" x14ac:dyDescent="0.2">
      <c r="A1119" s="5">
        <v>1058</v>
      </c>
      <c r="B1119" s="138">
        <f>'Expenditures 15-22'!K47</f>
        <v>1471257</v>
      </c>
      <c r="C1119" s="2" t="s">
        <v>594</v>
      </c>
      <c r="D1119" s="2" t="str">
        <f t="shared" si="16"/>
        <v>Error?</v>
      </c>
    </row>
    <row r="1120" spans="1:4" x14ac:dyDescent="0.2">
      <c r="A1120" s="5">
        <v>1059</v>
      </c>
      <c r="B1120" s="138">
        <f>'Expenditures 15-22'!K49</f>
        <v>193067</v>
      </c>
      <c r="C1120" s="2" t="s">
        <v>594</v>
      </c>
      <c r="D1120" s="2" t="str">
        <f t="shared" si="16"/>
        <v>Error?</v>
      </c>
    </row>
    <row r="1121" spans="1:4" x14ac:dyDescent="0.2">
      <c r="A1121" s="5">
        <v>1060</v>
      </c>
      <c r="B1121" s="138">
        <f>'Expenditures 15-22'!K50</f>
        <v>461845</v>
      </c>
      <c r="C1121" s="2" t="s">
        <v>594</v>
      </c>
      <c r="D1121" s="2" t="str">
        <f t="shared" si="16"/>
        <v>Error?</v>
      </c>
    </row>
    <row r="1122" spans="1:4" x14ac:dyDescent="0.2">
      <c r="A1122" s="5">
        <v>1061</v>
      </c>
      <c r="B1122" s="138">
        <f>'Expenditures 15-22'!K53</f>
        <v>1192819</v>
      </c>
      <c r="C1122" s="2" t="s">
        <v>594</v>
      </c>
      <c r="D1122" s="2" t="str">
        <f t="shared" si="16"/>
        <v>Error?</v>
      </c>
    </row>
    <row r="1123" spans="1:4" x14ac:dyDescent="0.2">
      <c r="A1123" s="5">
        <v>1062</v>
      </c>
      <c r="B1123" s="138">
        <f>'Expenditures 15-22'!K55</f>
        <v>1915063</v>
      </c>
      <c r="C1123" s="2" t="s">
        <v>594</v>
      </c>
      <c r="D1123" s="2" t="str">
        <f t="shared" si="16"/>
        <v>Error?</v>
      </c>
    </row>
    <row r="1124" spans="1:4" x14ac:dyDescent="0.2">
      <c r="A1124" s="5">
        <v>1063</v>
      </c>
      <c r="B1124" s="138">
        <f>'Expenditures 15-22'!K56</f>
        <v>284853</v>
      </c>
      <c r="C1124" s="2" t="s">
        <v>594</v>
      </c>
      <c r="D1124" s="2" t="str">
        <f t="shared" si="16"/>
        <v>Error?</v>
      </c>
    </row>
    <row r="1125" spans="1:4" x14ac:dyDescent="0.2">
      <c r="A1125" s="5">
        <v>1064</v>
      </c>
      <c r="B1125" s="138">
        <f>'Expenditures 15-22'!K57</f>
        <v>2199916</v>
      </c>
      <c r="C1125" s="2" t="s">
        <v>594</v>
      </c>
      <c r="D1125" s="2" t="str">
        <f t="shared" si="16"/>
        <v>Error?</v>
      </c>
    </row>
    <row r="1126" spans="1:4" x14ac:dyDescent="0.2">
      <c r="A1126" s="5">
        <v>1065</v>
      </c>
      <c r="B1126" s="138">
        <f>'Expenditures 15-22'!K59</f>
        <v>38493</v>
      </c>
      <c r="C1126" s="2" t="s">
        <v>594</v>
      </c>
      <c r="D1126" s="2" t="str">
        <f t="shared" si="16"/>
        <v>Error?</v>
      </c>
    </row>
    <row r="1127" spans="1:4" x14ac:dyDescent="0.2">
      <c r="A1127" s="5">
        <v>1066</v>
      </c>
      <c r="B1127" s="138">
        <f>'Expenditures 15-22'!K60</f>
        <v>441669</v>
      </c>
      <c r="C1127" s="2" t="s">
        <v>594</v>
      </c>
      <c r="D1127" s="2" t="str">
        <f t="shared" si="16"/>
        <v>Error?</v>
      </c>
    </row>
    <row r="1128" spans="1:4" x14ac:dyDescent="0.2">
      <c r="A1128" s="5">
        <v>1067</v>
      </c>
      <c r="B1128" s="138">
        <f>'Expenditures 15-22'!K61</f>
        <v>1258160</v>
      </c>
      <c r="C1128" s="2" t="s">
        <v>594</v>
      </c>
      <c r="D1128" s="2" t="str">
        <f t="shared" si="16"/>
        <v>Error?</v>
      </c>
    </row>
    <row r="1129" spans="1:4" x14ac:dyDescent="0.2">
      <c r="A1129" s="5">
        <v>1068</v>
      </c>
      <c r="B1129" s="138">
        <f>'Expenditures 15-22'!K62</f>
        <v>172331</v>
      </c>
      <c r="C1129" s="2" t="s">
        <v>594</v>
      </c>
      <c r="D1129" s="2" t="str">
        <f t="shared" si="16"/>
        <v>Error?</v>
      </c>
    </row>
    <row r="1130" spans="1:4" x14ac:dyDescent="0.2">
      <c r="A1130" s="5">
        <v>1069</v>
      </c>
      <c r="B1130" s="138">
        <f>'Expenditures 15-22'!K63</f>
        <v>1821359</v>
      </c>
      <c r="C1130" s="2" t="s">
        <v>594</v>
      </c>
      <c r="D1130" s="2" t="str">
        <f t="shared" si="16"/>
        <v>Error?</v>
      </c>
    </row>
    <row r="1131" spans="1:4" x14ac:dyDescent="0.2">
      <c r="A1131" s="5">
        <v>1070</v>
      </c>
      <c r="B1131" s="138">
        <f>'Expenditures 15-22'!K64</f>
        <v>103227</v>
      </c>
      <c r="C1131" s="2" t="s">
        <v>594</v>
      </c>
      <c r="D1131" s="2" t="str">
        <f t="shared" si="16"/>
        <v>Error?</v>
      </c>
    </row>
    <row r="1132" spans="1:4" x14ac:dyDescent="0.2">
      <c r="A1132" s="10">
        <v>1071</v>
      </c>
      <c r="D1132" s="2" t="str">
        <f t="shared" si="16"/>
        <v>OK</v>
      </c>
    </row>
    <row r="1133" spans="1:4" x14ac:dyDescent="0.2">
      <c r="A1133" s="5">
        <v>1072</v>
      </c>
      <c r="B1133" s="138">
        <f>'Expenditures 15-22'!K65</f>
        <v>3835239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1309</v>
      </c>
      <c r="C1137" s="2" t="s">
        <v>594</v>
      </c>
      <c r="D1137" s="2" t="str">
        <f t="shared" si="16"/>
        <v>Error?</v>
      </c>
    </row>
    <row r="1138" spans="1:4" x14ac:dyDescent="0.2">
      <c r="A1138" s="10">
        <v>1077</v>
      </c>
      <c r="D1138" s="2" t="str">
        <f t="shared" si="16"/>
        <v>OK</v>
      </c>
    </row>
    <row r="1139" spans="1:4" x14ac:dyDescent="0.2">
      <c r="A1139" s="5">
        <v>1078</v>
      </c>
      <c r="B1139" s="138">
        <f>'Expenditures 15-22'!K71</f>
        <v>795</v>
      </c>
      <c r="C1139" s="2" t="s">
        <v>594</v>
      </c>
      <c r="D1139" s="2" t="str">
        <f t="shared" si="16"/>
        <v>Error?</v>
      </c>
    </row>
    <row r="1140" spans="1:4" x14ac:dyDescent="0.2">
      <c r="A1140" s="10">
        <v>1079</v>
      </c>
      <c r="D1140" s="2" t="str">
        <f t="shared" si="16"/>
        <v>OK</v>
      </c>
    </row>
    <row r="1141" spans="1:4" x14ac:dyDescent="0.2">
      <c r="A1141" s="5">
        <v>1080</v>
      </c>
      <c r="B1141" s="138">
        <f>'Expenditures 15-22'!K72</f>
        <v>2104</v>
      </c>
      <c r="C1141" s="2" t="s">
        <v>594</v>
      </c>
      <c r="D1141" s="2" t="str">
        <f t="shared" si="16"/>
        <v>Error?</v>
      </c>
    </row>
    <row r="1142" spans="1:4" x14ac:dyDescent="0.2">
      <c r="A1142" s="5">
        <v>1081</v>
      </c>
      <c r="B1142" s="138">
        <f>'Expenditures 15-22'!K73</f>
        <v>203765</v>
      </c>
      <c r="C1142" s="2" t="s">
        <v>594</v>
      </c>
      <c r="D1142" s="2" t="str">
        <f t="shared" si="16"/>
        <v>Error?</v>
      </c>
    </row>
    <row r="1143" spans="1:4" x14ac:dyDescent="0.2">
      <c r="A1143" s="5">
        <v>1082</v>
      </c>
      <c r="B1143" s="138">
        <f>'Expenditures 15-22'!K74</f>
        <v>10570882</v>
      </c>
      <c r="C1143" s="2" t="s">
        <v>594</v>
      </c>
      <c r="D1143" s="2" t="str">
        <f t="shared" si="16"/>
        <v>Error?</v>
      </c>
    </row>
    <row r="1144" spans="1:4" x14ac:dyDescent="0.2">
      <c r="A1144" s="5">
        <v>1083</v>
      </c>
      <c r="B1144" s="138">
        <f>'Expenditures 15-22'!K75</f>
        <v>212984</v>
      </c>
      <c r="C1144" s="2" t="s">
        <v>594</v>
      </c>
      <c r="D1144" s="2" t="str">
        <f t="shared" si="16"/>
        <v>Error?</v>
      </c>
    </row>
    <row r="1145" spans="1:4" x14ac:dyDescent="0.2">
      <c r="A1145" s="5">
        <v>1084</v>
      </c>
      <c r="B1145" s="138">
        <f>'Expenditures 15-22'!K102</f>
        <v>448039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35088043</v>
      </c>
      <c r="C1152" s="2" t="s">
        <v>594</v>
      </c>
      <c r="D1152" s="2" t="str">
        <f t="shared" si="17"/>
        <v>Error?</v>
      </c>
    </row>
    <row r="1153" spans="1:4" x14ac:dyDescent="0.2">
      <c r="A1153" s="5">
        <v>1092</v>
      </c>
      <c r="B1153" s="138">
        <f>'Expenditures 15-22'!K115</f>
        <v>4284861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31159</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344514</v>
      </c>
      <c r="D1221" s="2" t="str">
        <f t="shared" si="18"/>
        <v>Error?</v>
      </c>
    </row>
    <row r="1222" spans="1:4" x14ac:dyDescent="0.2">
      <c r="A1222" s="10">
        <v>1161</v>
      </c>
      <c r="D1222" s="2" t="str">
        <f t="shared" si="18"/>
        <v>OK</v>
      </c>
    </row>
    <row r="1223" spans="1:4" x14ac:dyDescent="0.2">
      <c r="A1223" s="5">
        <v>1162</v>
      </c>
      <c r="B1223" s="138">
        <f>'Expenditures 15-22'!C127</f>
        <v>375673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375673</v>
      </c>
      <c r="C1225" s="2" t="s">
        <v>594</v>
      </c>
      <c r="D1225" s="2" t="str">
        <f t="shared" si="18"/>
        <v>Error?</v>
      </c>
    </row>
    <row r="1226" spans="1:4" x14ac:dyDescent="0.2">
      <c r="A1226" s="5">
        <v>1165</v>
      </c>
      <c r="B1226" s="138">
        <f>'Expenditures 15-22'!C151</f>
        <v>375673</v>
      </c>
      <c r="C1226" s="2" t="s">
        <v>594</v>
      </c>
      <c r="D1226" s="2" t="str">
        <f t="shared" si="18"/>
        <v>Error?</v>
      </c>
    </row>
    <row r="1227" spans="1:4" x14ac:dyDescent="0.2">
      <c r="A1227" s="5">
        <v>1166</v>
      </c>
      <c r="B1227" s="138">
        <f>'Expenditures 15-22'!D122</f>
        <v>5046</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55169</v>
      </c>
      <c r="D1229" s="2" t="str">
        <f t="shared" si="18"/>
        <v>Error?</v>
      </c>
    </row>
    <row r="1230" spans="1:4" x14ac:dyDescent="0.2">
      <c r="A1230" s="10">
        <v>1169</v>
      </c>
      <c r="D1230" s="2" t="str">
        <f t="shared" si="18"/>
        <v>OK</v>
      </c>
    </row>
    <row r="1231" spans="1:4" x14ac:dyDescent="0.2">
      <c r="A1231" s="5">
        <v>1170</v>
      </c>
      <c r="B1231" s="138">
        <f>'Expenditures 15-22'!D127</f>
        <v>60215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60215</v>
      </c>
      <c r="C1233" s="2" t="s">
        <v>594</v>
      </c>
      <c r="D1233" s="2" t="str">
        <f t="shared" si="18"/>
        <v>Error?</v>
      </c>
    </row>
    <row r="1234" spans="1:4" x14ac:dyDescent="0.2">
      <c r="A1234" s="5">
        <v>1173</v>
      </c>
      <c r="B1234" s="138">
        <f>'Expenditures 15-22'!D151</f>
        <v>60215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33015</v>
      </c>
      <c r="D1236" s="2" t="str">
        <f t="shared" si="18"/>
        <v>Error?</v>
      </c>
    </row>
    <row r="1237" spans="1:4" x14ac:dyDescent="0.2">
      <c r="A1237" s="5">
        <v>1176</v>
      </c>
      <c r="B1237" s="138">
        <f>'Expenditures 15-22'!E124</f>
        <v>378516</v>
      </c>
      <c r="D1237" s="2" t="str">
        <f t="shared" si="18"/>
        <v>Error?</v>
      </c>
    </row>
    <row r="1238" spans="1:4" x14ac:dyDescent="0.2">
      <c r="A1238" s="10">
        <v>1177</v>
      </c>
      <c r="D1238" s="2" t="str">
        <f t="shared" si="18"/>
        <v>OK</v>
      </c>
    </row>
    <row r="1239" spans="1:4" x14ac:dyDescent="0.2">
      <c r="A1239" s="5">
        <v>1178</v>
      </c>
      <c r="B1239" s="138">
        <f>'Expenditures 15-22'!E127</f>
        <v>411531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411531</v>
      </c>
      <c r="C1241" s="2" t="s">
        <v>594</v>
      </c>
      <c r="D1241" s="2" t="str">
        <f t="shared" si="18"/>
        <v>Error?</v>
      </c>
    </row>
    <row r="1242" spans="1:4" x14ac:dyDescent="0.2">
      <c r="A1242" s="5">
        <v>1181</v>
      </c>
      <c r="B1242" s="138">
        <f>'Expenditures 15-22'!E151</f>
        <v>411531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997504</v>
      </c>
      <c r="D1245" s="2" t="str">
        <f t="shared" si="18"/>
        <v>Error?</v>
      </c>
    </row>
    <row r="1246" spans="1:4" x14ac:dyDescent="0.2">
      <c r="A1246" s="10">
        <v>1185</v>
      </c>
      <c r="D1246" s="2" t="str">
        <f t="shared" si="18"/>
        <v>OK</v>
      </c>
    </row>
    <row r="1247" spans="1:4" x14ac:dyDescent="0.2">
      <c r="A1247" s="5">
        <v>1186</v>
      </c>
      <c r="B1247" s="138">
        <f>'Expenditures 15-22'!F127</f>
        <v>997504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997504</v>
      </c>
      <c r="C1249" s="2" t="s">
        <v>594</v>
      </c>
      <c r="D1249" s="2" t="str">
        <f t="shared" si="18"/>
        <v>Error?</v>
      </c>
    </row>
    <row r="1250" spans="1:4" x14ac:dyDescent="0.2">
      <c r="A1250" s="5">
        <v>1189</v>
      </c>
      <c r="B1250" s="138">
        <f>'Expenditures 15-22'!F151</f>
        <v>997504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30047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30047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30047</v>
      </c>
      <c r="C1258" s="2" t="s">
        <v>594</v>
      </c>
      <c r="D1258" s="2" t="str">
        <f t="shared" si="18"/>
        <v>Error?</v>
      </c>
    </row>
    <row r="1259" spans="1:4" x14ac:dyDescent="0.2">
      <c r="A1259" s="5">
        <v>1198</v>
      </c>
      <c r="B1259" s="138">
        <f>'Expenditures 15-22'!G151</f>
        <v>30047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499</v>
      </c>
      <c r="D1262" s="2" t="str">
        <f t="shared" si="18"/>
        <v>Error?</v>
      </c>
    </row>
    <row r="1263" spans="1:4" x14ac:dyDescent="0.2">
      <c r="A1263" s="10">
        <v>1202</v>
      </c>
      <c r="D1263" s="2" t="str">
        <f t="shared" si="18"/>
        <v>OK</v>
      </c>
    </row>
    <row r="1264" spans="1:4" x14ac:dyDescent="0.2">
      <c r="A1264" s="5">
        <v>1203</v>
      </c>
      <c r="B1264" s="138">
        <f>'Expenditures 15-22'!H127</f>
        <v>499</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499</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499</v>
      </c>
      <c r="C1273" s="2" t="s">
        <v>594</v>
      </c>
      <c r="D1273" s="2" t="str">
        <f t="shared" si="18"/>
        <v>Error?</v>
      </c>
    </row>
    <row r="1274" spans="1:4" x14ac:dyDescent="0.2">
      <c r="A1274" s="5">
        <v>1213</v>
      </c>
      <c r="B1274" s="138">
        <f>'Expenditures 15-22'!K122</f>
        <v>36205</v>
      </c>
      <c r="C1274" s="2" t="s">
        <v>594</v>
      </c>
      <c r="D1274" s="2" t="str">
        <f t="shared" si="18"/>
        <v>Error?</v>
      </c>
    </row>
    <row r="1275" spans="1:4" x14ac:dyDescent="0.2">
      <c r="A1275" s="5">
        <v>1214</v>
      </c>
      <c r="B1275" s="138">
        <f>'Expenditures 15-22'!K123</f>
        <v>33015</v>
      </c>
      <c r="C1275" s="2" t="s">
        <v>594</v>
      </c>
      <c r="D1275" s="2" t="str">
        <f t="shared" si="18"/>
        <v>Error?</v>
      </c>
    </row>
    <row r="1276" spans="1:4" x14ac:dyDescent="0.2">
      <c r="A1276" s="5">
        <v>1215</v>
      </c>
      <c r="B1276" s="138">
        <f>'Expenditures 15-22'!K124</f>
        <v>1813220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1882440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1882440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1882440</v>
      </c>
      <c r="C1288" s="2" t="s">
        <v>594</v>
      </c>
      <c r="D1288" s="2" t="str">
        <f t="shared" si="19"/>
        <v>Error?</v>
      </c>
    </row>
    <row r="1289" spans="1:4" x14ac:dyDescent="0.2">
      <c r="A1289" s="5">
        <v>1228</v>
      </c>
      <c r="B1289" s="138">
        <f>'Expenditures 15-22'!K152</f>
        <v>316696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1985295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2571000</v>
      </c>
      <c r="D1315" s="2" t="str">
        <f t="shared" si="19"/>
        <v>Error?</v>
      </c>
    </row>
    <row r="1316" spans="1:4" x14ac:dyDescent="0.2">
      <c r="A1316" s="5">
        <v>1255</v>
      </c>
      <c r="B1316" s="138">
        <f>'Expenditures 15-22'!H171</f>
        <v>3286</v>
      </c>
      <c r="D1316" s="2" t="str">
        <f t="shared" si="19"/>
        <v>Error?</v>
      </c>
    </row>
    <row r="1317" spans="1:4" x14ac:dyDescent="0.2">
      <c r="A1317" s="5">
        <v>1256</v>
      </c>
      <c r="B1317" s="138">
        <f>'Expenditures 15-22'!H172</f>
        <v>4559581</v>
      </c>
      <c r="C1317" s="2" t="s">
        <v>594</v>
      </c>
      <c r="D1317" s="2" t="str">
        <f t="shared" si="19"/>
        <v>Error?</v>
      </c>
    </row>
    <row r="1318" spans="1:4" x14ac:dyDescent="0.2">
      <c r="A1318" s="5">
        <v>1257</v>
      </c>
      <c r="B1318" s="138">
        <f>'Expenditures 15-22'!H174</f>
        <v>4559581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1985295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2571000</v>
      </c>
      <c r="C1329" s="2" t="s">
        <v>594</v>
      </c>
      <c r="D1329" s="2" t="str">
        <f t="shared" si="19"/>
        <v>Error?</v>
      </c>
    </row>
    <row r="1330" spans="1:4" x14ac:dyDescent="0.2">
      <c r="A1330" s="5">
        <v>1269</v>
      </c>
      <c r="B1330" s="138">
        <f>'Expenditures 15-22'!K171</f>
        <v>3286</v>
      </c>
      <c r="C1330" s="2" t="s">
        <v>594</v>
      </c>
      <c r="D1330" s="2" t="str">
        <f t="shared" si="19"/>
        <v>Error?</v>
      </c>
    </row>
    <row r="1331" spans="1:4" x14ac:dyDescent="0.2">
      <c r="A1331" s="5">
        <v>1270</v>
      </c>
      <c r="B1331" s="138">
        <f>'Expenditures 15-22'!K172</f>
        <v>4559581</v>
      </c>
      <c r="C1331" s="2" t="s">
        <v>594</v>
      </c>
      <c r="D1331" s="2" t="str">
        <f t="shared" si="19"/>
        <v>Error?</v>
      </c>
    </row>
    <row r="1332" spans="1:4" x14ac:dyDescent="0.2">
      <c r="A1332" s="5">
        <v>1271</v>
      </c>
      <c r="B1332" s="138">
        <f>'Expenditures 15-22'!K174</f>
        <v>4559581</v>
      </c>
      <c r="C1332" s="2" t="s">
        <v>594</v>
      </c>
      <c r="D1332" s="2" t="str">
        <f t="shared" si="19"/>
        <v>Error?</v>
      </c>
    </row>
    <row r="1333" spans="1:4" x14ac:dyDescent="0.2">
      <c r="A1333" s="5">
        <v>1272</v>
      </c>
      <c r="B1333" s="138">
        <f>'Expenditures 15-22'!K175</f>
        <v>20758</v>
      </c>
      <c r="C1333" s="2" t="s">
        <v>594</v>
      </c>
      <c r="D1333" s="2" t="str">
        <f t="shared" si="19"/>
        <v>Error?</v>
      </c>
    </row>
    <row r="1334" spans="1:4" x14ac:dyDescent="0.2">
      <c r="A1334" s="10">
        <v>1273</v>
      </c>
      <c r="D1334" s="2" t="str">
        <f t="shared" si="19"/>
        <v>OK</v>
      </c>
    </row>
    <row r="1335" spans="1:4" x14ac:dyDescent="0.2">
      <c r="A1335" s="5">
        <v>1274</v>
      </c>
      <c r="B1335" s="138">
        <f>'Expenditures 15-22'!C182</f>
        <v>102524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102524</v>
      </c>
      <c r="C1339" s="2" t="s">
        <v>594</v>
      </c>
      <c r="D1339" s="2" t="str">
        <f t="shared" si="19"/>
        <v>Error?</v>
      </c>
    </row>
    <row r="1340" spans="1:4" x14ac:dyDescent="0.2">
      <c r="A1340" s="5">
        <v>1279</v>
      </c>
      <c r="B1340" s="138">
        <f>'Expenditures 15-22'!C210</f>
        <v>102524</v>
      </c>
      <c r="C1340" s="2" t="s">
        <v>594</v>
      </c>
      <c r="D1340" s="2" t="str">
        <f t="shared" si="19"/>
        <v>Error?</v>
      </c>
    </row>
    <row r="1341" spans="1:4" x14ac:dyDescent="0.2">
      <c r="A1341" s="5">
        <v>1280</v>
      </c>
      <c r="B1341" s="138">
        <f>'Expenditures 15-22'!D182</f>
        <v>10986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10986</v>
      </c>
      <c r="C1345" s="2" t="s">
        <v>594</v>
      </c>
      <c r="D1345" s="2" t="str">
        <f t="shared" si="20"/>
        <v>Error?</v>
      </c>
    </row>
    <row r="1346" spans="1:4" x14ac:dyDescent="0.2">
      <c r="A1346" s="5">
        <v>1285</v>
      </c>
      <c r="B1346" s="138">
        <f>'Expenditures 15-22'!D210</f>
        <v>10986</v>
      </c>
      <c r="C1346" s="2" t="s">
        <v>594</v>
      </c>
      <c r="D1346" s="2" t="str">
        <f t="shared" si="20"/>
        <v>Error?</v>
      </c>
    </row>
    <row r="1347" spans="1:4" x14ac:dyDescent="0.2">
      <c r="A1347" s="5">
        <v>1286</v>
      </c>
      <c r="B1347" s="138">
        <f>'Expenditures 15-22'!E182</f>
        <v>1801706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1801706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1801706</v>
      </c>
      <c r="C1353" s="2" t="s">
        <v>594</v>
      </c>
      <c r="D1353" s="2" t="str">
        <f t="shared" si="20"/>
        <v>Error?</v>
      </c>
    </row>
    <row r="1354" spans="1:4" x14ac:dyDescent="0.2">
      <c r="A1354" s="5">
        <v>1293</v>
      </c>
      <c r="B1354" s="138">
        <f>'Expenditures 15-22'!F182</f>
        <v>20958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20958</v>
      </c>
      <c r="C1358" s="2" t="s">
        <v>594</v>
      </c>
      <c r="D1358" s="2" t="str">
        <f t="shared" si="20"/>
        <v>Error?</v>
      </c>
    </row>
    <row r="1359" spans="1:4" x14ac:dyDescent="0.2">
      <c r="A1359" s="5">
        <v>1298</v>
      </c>
      <c r="B1359" s="138">
        <f>'Expenditures 15-22'!F210</f>
        <v>20958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1936174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1936174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1936174</v>
      </c>
      <c r="C1388" s="2" t="s">
        <v>594</v>
      </c>
      <c r="D1388" s="2" t="str">
        <f t="shared" si="20"/>
        <v>Error?</v>
      </c>
    </row>
    <row r="1389" spans="1:4" x14ac:dyDescent="0.2">
      <c r="A1389" s="5">
        <v>1328</v>
      </c>
      <c r="B1389" s="138">
        <f>'Expenditures 15-22'!K211</f>
        <v>1710574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7820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7651</v>
      </c>
      <c r="D1407" s="2" t="str">
        <f t="shared" ref="D1407:D1470" si="21">IF(ISBLANK(B1407),"OK",IF(A1407-B1407=0,"OK","Error?"))</f>
        <v>Error?</v>
      </c>
    </row>
    <row r="1408" spans="1:4" x14ac:dyDescent="0.2">
      <c r="A1408" s="5">
        <v>1347</v>
      </c>
      <c r="B1408" s="138">
        <f>'Expenditures 15-22'!D223</f>
        <v>21032</v>
      </c>
      <c r="D1408" s="2" t="str">
        <f t="shared" si="21"/>
        <v>Error?</v>
      </c>
    </row>
    <row r="1409" spans="1:4" x14ac:dyDescent="0.2">
      <c r="A1409" s="5">
        <v>1348</v>
      </c>
      <c r="B1409" s="138">
        <f>'Expenditures 15-22'!D224</f>
        <v>214</v>
      </c>
      <c r="D1409" s="2" t="str">
        <f t="shared" si="21"/>
        <v>Error?</v>
      </c>
    </row>
    <row r="1410" spans="1:4" x14ac:dyDescent="0.2">
      <c r="A1410" s="5">
        <v>1349</v>
      </c>
      <c r="B1410" s="138">
        <f>'Expenditures 15-22'!D229</f>
        <v>514009</v>
      </c>
      <c r="C1410" s="2" t="s">
        <v>594</v>
      </c>
      <c r="D1410" s="2" t="str">
        <f t="shared" si="21"/>
        <v>Error?</v>
      </c>
    </row>
    <row r="1411" spans="1:4" x14ac:dyDescent="0.2">
      <c r="A1411" s="5">
        <v>1350</v>
      </c>
      <c r="B1411" s="138">
        <f>'Expenditures 15-22'!D232</f>
        <v>5157</v>
      </c>
      <c r="D1411" s="2" t="str">
        <f t="shared" si="21"/>
        <v>Error?</v>
      </c>
    </row>
    <row r="1412" spans="1:4" x14ac:dyDescent="0.2">
      <c r="A1412" s="5">
        <v>1351</v>
      </c>
      <c r="B1412" s="138">
        <f>'Expenditures 15-22'!D233</f>
        <v>4530</v>
      </c>
      <c r="D1412" s="2" t="str">
        <f t="shared" si="21"/>
        <v>Error?</v>
      </c>
    </row>
    <row r="1413" spans="1:4" x14ac:dyDescent="0.2">
      <c r="A1413" s="5">
        <v>1352</v>
      </c>
      <c r="B1413" s="138">
        <f>'Expenditures 15-22'!D234</f>
        <v>1541</v>
      </c>
      <c r="D1413" s="2" t="str">
        <f t="shared" si="21"/>
        <v>Error?</v>
      </c>
    </row>
    <row r="1414" spans="1:4" x14ac:dyDescent="0.2">
      <c r="A1414" s="5">
        <v>1353</v>
      </c>
      <c r="B1414" s="138">
        <f>'Expenditures 15-22'!D235</f>
        <v>2731</v>
      </c>
      <c r="D1414" s="2" t="str">
        <f t="shared" si="21"/>
        <v>Error?</v>
      </c>
    </row>
    <row r="1415" spans="1:4" x14ac:dyDescent="0.2">
      <c r="A1415" s="5">
        <v>1354</v>
      </c>
      <c r="B1415" s="138">
        <f>'Expenditures 15-22'!D236</f>
        <v>3673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17632</v>
      </c>
      <c r="C1417" s="2" t="s">
        <v>594</v>
      </c>
      <c r="D1417" s="2" t="str">
        <f t="shared" si="21"/>
        <v>Error?</v>
      </c>
    </row>
    <row r="1418" spans="1:4" x14ac:dyDescent="0.2">
      <c r="A1418" s="5">
        <v>1357</v>
      </c>
      <c r="B1418" s="138">
        <f>'Expenditures 15-22'!D240</f>
        <v>1925</v>
      </c>
      <c r="D1418" s="2" t="str">
        <f t="shared" si="21"/>
        <v>Error?</v>
      </c>
    </row>
    <row r="1419" spans="1:4" x14ac:dyDescent="0.2">
      <c r="A1419" s="5">
        <v>1358</v>
      </c>
      <c r="B1419" s="138">
        <f>'Expenditures 15-22'!D241</f>
        <v>21006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22931</v>
      </c>
      <c r="C1421" s="2" t="s">
        <v>594</v>
      </c>
      <c r="D1421" s="2" t="str">
        <f t="shared" si="21"/>
        <v>Error?</v>
      </c>
    </row>
    <row r="1422" spans="1:4" x14ac:dyDescent="0.2">
      <c r="A1422" s="5">
        <v>1361</v>
      </c>
      <c r="B1422" s="138">
        <f>'Expenditures 15-22'!D245</f>
        <v>1746</v>
      </c>
      <c r="D1422" s="2" t="str">
        <f t="shared" si="21"/>
        <v>Error?</v>
      </c>
    </row>
    <row r="1423" spans="1:4" x14ac:dyDescent="0.2">
      <c r="A1423" s="5">
        <v>1362</v>
      </c>
      <c r="B1423" s="138">
        <f>'Expenditures 15-22'!D246</f>
        <v>21137</v>
      </c>
      <c r="D1423" s="2" t="str">
        <f t="shared" si="21"/>
        <v>Error?</v>
      </c>
    </row>
    <row r="1424" spans="1:4" x14ac:dyDescent="0.2">
      <c r="A1424" s="5">
        <v>1363</v>
      </c>
      <c r="B1424" s="138">
        <f>'Expenditures 15-22'!D257</f>
        <v>76521</v>
      </c>
      <c r="C1424" s="2" t="s">
        <v>594</v>
      </c>
      <c r="D1424" s="2" t="str">
        <f t="shared" si="21"/>
        <v>Error?</v>
      </c>
    </row>
    <row r="1425" spans="1:4" x14ac:dyDescent="0.2">
      <c r="A1425" s="5">
        <v>1364</v>
      </c>
      <c r="B1425" s="138">
        <f>'Expenditures 15-22'!D259</f>
        <v>112376</v>
      </c>
      <c r="D1425" s="2" t="str">
        <f t="shared" si="21"/>
        <v>Error?</v>
      </c>
    </row>
    <row r="1426" spans="1:4" x14ac:dyDescent="0.2">
      <c r="A1426" s="5">
        <v>1365</v>
      </c>
      <c r="B1426" s="138">
        <f>'Expenditures 15-22'!D260</f>
        <v>2354</v>
      </c>
      <c r="D1426" s="2" t="str">
        <f t="shared" si="21"/>
        <v>Error?</v>
      </c>
    </row>
    <row r="1427" spans="1:4" x14ac:dyDescent="0.2">
      <c r="A1427" s="5">
        <v>1366</v>
      </c>
      <c r="B1427" s="138">
        <f>'Expenditures 15-22'!D261</f>
        <v>114730</v>
      </c>
      <c r="C1427" s="2" t="s">
        <v>594</v>
      </c>
      <c r="D1427" s="2" t="str">
        <f t="shared" si="21"/>
        <v>Error?</v>
      </c>
    </row>
    <row r="1428" spans="1:4" x14ac:dyDescent="0.2">
      <c r="A1428" s="5">
        <v>1367</v>
      </c>
      <c r="B1428" s="138">
        <f>'Expenditures 15-22'!D263</f>
        <v>1057</v>
      </c>
      <c r="D1428" s="2" t="str">
        <f t="shared" si="21"/>
        <v>Error?</v>
      </c>
    </row>
    <row r="1429" spans="1:4" x14ac:dyDescent="0.2">
      <c r="A1429" s="5">
        <v>1368</v>
      </c>
      <c r="B1429" s="138">
        <f>'Expenditures 15-22'!D264</f>
        <v>73110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233254</v>
      </c>
      <c r="D1431" s="2" t="str">
        <f t="shared" si="21"/>
        <v>Error?</v>
      </c>
    </row>
    <row r="1432" spans="1:4" x14ac:dyDescent="0.2">
      <c r="A1432" s="5">
        <v>1371</v>
      </c>
      <c r="B1432" s="138">
        <f>'Expenditures 15-22'!D267</f>
        <v>19542</v>
      </c>
      <c r="D1432" s="2" t="str">
        <f t="shared" si="21"/>
        <v>Error?</v>
      </c>
    </row>
    <row r="1433" spans="1:4" x14ac:dyDescent="0.2">
      <c r="A1433" s="5">
        <v>1372</v>
      </c>
      <c r="B1433" s="138">
        <f>'Expenditures 15-22'!D268</f>
        <v>413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327376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48</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48</v>
      </c>
      <c r="C1444" s="2" t="s">
        <v>594</v>
      </c>
      <c r="D1444" s="2" t="str">
        <f t="shared" si="21"/>
        <v>Error?</v>
      </c>
    </row>
    <row r="1445" spans="1:4" x14ac:dyDescent="0.2">
      <c r="A1445" s="5">
        <v>1384</v>
      </c>
      <c r="B1445" s="138">
        <f>'Expenditures 15-22'!D278</f>
        <v>26876</v>
      </c>
      <c r="D1445" s="2" t="str">
        <f t="shared" si="21"/>
        <v>Error?</v>
      </c>
    </row>
    <row r="1446" spans="1:4" x14ac:dyDescent="0.2">
      <c r="A1446" s="5">
        <v>1385</v>
      </c>
      <c r="B1446" s="138">
        <f>'Expenditures 15-22'!D279</f>
        <v>586114</v>
      </c>
      <c r="C1446" s="2" t="s">
        <v>594</v>
      </c>
      <c r="D1446" s="2" t="str">
        <f t="shared" si="21"/>
        <v>Error?</v>
      </c>
    </row>
    <row r="1447" spans="1:4" x14ac:dyDescent="0.2">
      <c r="A1447" s="5">
        <v>1386</v>
      </c>
      <c r="B1447" s="138">
        <f>'Expenditures 15-22'!D280</f>
        <v>887</v>
      </c>
      <c r="D1447" s="2" t="str">
        <f t="shared" si="21"/>
        <v>Error?</v>
      </c>
    </row>
    <row r="1448" spans="1:4" x14ac:dyDescent="0.2">
      <c r="A1448" s="5">
        <v>1387</v>
      </c>
      <c r="B1448" s="138">
        <f>'Expenditures 15-22'!D295</f>
        <v>1101010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7820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7651</v>
      </c>
      <c r="C1471" s="2" t="s">
        <v>594</v>
      </c>
      <c r="D1471" s="2" t="str">
        <f t="shared" ref="D1471:D1534" si="22">IF(ISBLANK(B1471),"OK",IF(A1471-B1471=0,"OK","Error?"))</f>
        <v>Error?</v>
      </c>
    </row>
    <row r="1472" spans="1:4" x14ac:dyDescent="0.2">
      <c r="A1472" s="5">
        <v>1411</v>
      </c>
      <c r="B1472" s="138">
        <f>'Expenditures 15-22'!K223</f>
        <v>21032</v>
      </c>
      <c r="C1472" s="2" t="s">
        <v>594</v>
      </c>
      <c r="D1472" s="2" t="str">
        <f t="shared" si="22"/>
        <v>Error?</v>
      </c>
    </row>
    <row r="1473" spans="1:4" x14ac:dyDescent="0.2">
      <c r="A1473" s="5">
        <v>1412</v>
      </c>
      <c r="B1473" s="138">
        <f>'Expenditures 15-22'!K224</f>
        <v>214</v>
      </c>
      <c r="C1473" s="2" t="s">
        <v>594</v>
      </c>
      <c r="D1473" s="2" t="str">
        <f t="shared" si="22"/>
        <v>Error?</v>
      </c>
    </row>
    <row r="1474" spans="1:4" x14ac:dyDescent="0.2">
      <c r="A1474" s="5">
        <v>1413</v>
      </c>
      <c r="B1474" s="138">
        <f>'Expenditures 15-22'!K229</f>
        <v>514009</v>
      </c>
      <c r="C1474" s="2" t="s">
        <v>594</v>
      </c>
      <c r="D1474" s="2" t="str">
        <f t="shared" si="22"/>
        <v>Error?</v>
      </c>
    </row>
    <row r="1475" spans="1:4" x14ac:dyDescent="0.2">
      <c r="A1475" s="5">
        <v>1414</v>
      </c>
      <c r="B1475" s="138">
        <f>'Expenditures 15-22'!K232</f>
        <v>5157</v>
      </c>
      <c r="C1475" s="2" t="s">
        <v>594</v>
      </c>
      <c r="D1475" s="2" t="str">
        <f t="shared" si="22"/>
        <v>Error?</v>
      </c>
    </row>
    <row r="1476" spans="1:4" x14ac:dyDescent="0.2">
      <c r="A1476" s="5">
        <v>1415</v>
      </c>
      <c r="B1476" s="138">
        <f>'Expenditures 15-22'!K233</f>
        <v>4530</v>
      </c>
      <c r="C1476" s="2" t="s">
        <v>594</v>
      </c>
      <c r="D1476" s="2" t="str">
        <f t="shared" si="22"/>
        <v>Error?</v>
      </c>
    </row>
    <row r="1477" spans="1:4" x14ac:dyDescent="0.2">
      <c r="A1477" s="5">
        <v>1416</v>
      </c>
      <c r="B1477" s="138">
        <f>'Expenditures 15-22'!K234</f>
        <v>1541</v>
      </c>
      <c r="C1477" s="2" t="s">
        <v>594</v>
      </c>
      <c r="D1477" s="2" t="str">
        <f t="shared" si="22"/>
        <v>Error?</v>
      </c>
    </row>
    <row r="1478" spans="1:4" x14ac:dyDescent="0.2">
      <c r="A1478" s="5">
        <v>1417</v>
      </c>
      <c r="B1478" s="138">
        <f>'Expenditures 15-22'!K235</f>
        <v>2731</v>
      </c>
      <c r="C1478" s="2" t="s">
        <v>594</v>
      </c>
      <c r="D1478" s="2" t="str">
        <f t="shared" si="22"/>
        <v>Error?</v>
      </c>
    </row>
    <row r="1479" spans="1:4" x14ac:dyDescent="0.2">
      <c r="A1479" s="5">
        <v>1418</v>
      </c>
      <c r="B1479" s="138">
        <f>'Expenditures 15-22'!K236</f>
        <v>3673</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17632</v>
      </c>
      <c r="C1481" s="2" t="s">
        <v>594</v>
      </c>
      <c r="D1481" s="2" t="str">
        <f t="shared" si="22"/>
        <v>Error?</v>
      </c>
    </row>
    <row r="1482" spans="1:4" x14ac:dyDescent="0.2">
      <c r="A1482" s="5">
        <v>1421</v>
      </c>
      <c r="B1482" s="138">
        <f>'Expenditures 15-22'!K240</f>
        <v>1925</v>
      </c>
      <c r="C1482" s="2" t="s">
        <v>594</v>
      </c>
      <c r="D1482" s="2" t="str">
        <f t="shared" si="22"/>
        <v>Error?</v>
      </c>
    </row>
    <row r="1483" spans="1:4" x14ac:dyDescent="0.2">
      <c r="A1483" s="5">
        <v>1422</v>
      </c>
      <c r="B1483" s="138">
        <f>'Expenditures 15-22'!K241</f>
        <v>21006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22931</v>
      </c>
      <c r="C1485" s="2" t="s">
        <v>594</v>
      </c>
      <c r="D1485" s="2" t="str">
        <f t="shared" si="22"/>
        <v>Error?</v>
      </c>
    </row>
    <row r="1486" spans="1:4" x14ac:dyDescent="0.2">
      <c r="A1486" s="5">
        <v>1425</v>
      </c>
      <c r="B1486" s="138">
        <f>'Expenditures 15-22'!K245</f>
        <v>1746</v>
      </c>
      <c r="C1486" s="2" t="s">
        <v>594</v>
      </c>
      <c r="D1486" s="2" t="str">
        <f t="shared" si="22"/>
        <v>Error?</v>
      </c>
    </row>
    <row r="1487" spans="1:4" x14ac:dyDescent="0.2">
      <c r="A1487" s="5">
        <v>1426</v>
      </c>
      <c r="B1487" s="138">
        <f>'Expenditures 15-22'!K246</f>
        <v>21137</v>
      </c>
      <c r="C1487" s="2" t="s">
        <v>594</v>
      </c>
      <c r="D1487" s="2" t="str">
        <f t="shared" si="22"/>
        <v>Error?</v>
      </c>
    </row>
    <row r="1488" spans="1:4" x14ac:dyDescent="0.2">
      <c r="A1488" s="5">
        <v>1427</v>
      </c>
      <c r="B1488" s="138">
        <f>'Expenditures 15-22'!K257</f>
        <v>76521</v>
      </c>
      <c r="C1488" s="2" t="s">
        <v>594</v>
      </c>
      <c r="D1488" s="2" t="str">
        <f t="shared" si="22"/>
        <v>Error?</v>
      </c>
    </row>
    <row r="1489" spans="1:4" x14ac:dyDescent="0.2">
      <c r="A1489" s="5">
        <v>1428</v>
      </c>
      <c r="B1489" s="138">
        <f>'Expenditures 15-22'!K259</f>
        <v>112376</v>
      </c>
      <c r="C1489" s="2" t="s">
        <v>594</v>
      </c>
      <c r="D1489" s="2" t="str">
        <f t="shared" si="22"/>
        <v>Error?</v>
      </c>
    </row>
    <row r="1490" spans="1:4" x14ac:dyDescent="0.2">
      <c r="A1490" s="5">
        <v>1429</v>
      </c>
      <c r="B1490" s="138">
        <f>'Expenditures 15-22'!K260</f>
        <v>2354</v>
      </c>
      <c r="C1490" s="2" t="s">
        <v>594</v>
      </c>
      <c r="D1490" s="2" t="str">
        <f t="shared" si="22"/>
        <v>Error?</v>
      </c>
    </row>
    <row r="1491" spans="1:4" x14ac:dyDescent="0.2">
      <c r="A1491" s="5">
        <v>1430</v>
      </c>
      <c r="B1491" s="138">
        <f>'Expenditures 15-22'!K261</f>
        <v>114730</v>
      </c>
      <c r="C1491" s="2" t="s">
        <v>594</v>
      </c>
      <c r="D1491" s="2" t="str">
        <f t="shared" si="22"/>
        <v>Error?</v>
      </c>
    </row>
    <row r="1492" spans="1:4" x14ac:dyDescent="0.2">
      <c r="A1492" s="5">
        <v>1431</v>
      </c>
      <c r="B1492" s="138">
        <f>'Expenditures 15-22'!K263</f>
        <v>1057</v>
      </c>
      <c r="C1492" s="2" t="s">
        <v>594</v>
      </c>
      <c r="D1492" s="2" t="str">
        <f t="shared" si="22"/>
        <v>Error?</v>
      </c>
    </row>
    <row r="1493" spans="1:4" x14ac:dyDescent="0.2">
      <c r="A1493" s="5">
        <v>1432</v>
      </c>
      <c r="B1493" s="138">
        <f>'Expenditures 15-22'!K264</f>
        <v>73110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233254</v>
      </c>
      <c r="C1495" s="2" t="s">
        <v>594</v>
      </c>
      <c r="D1495" s="2" t="str">
        <f t="shared" si="22"/>
        <v>Error?</v>
      </c>
    </row>
    <row r="1496" spans="1:4" x14ac:dyDescent="0.2">
      <c r="A1496" s="5">
        <v>1435</v>
      </c>
      <c r="B1496" s="138">
        <f>'Expenditures 15-22'!K267</f>
        <v>19542</v>
      </c>
      <c r="C1496" s="2" t="s">
        <v>594</v>
      </c>
      <c r="D1496" s="2" t="str">
        <f t="shared" si="22"/>
        <v>Error?</v>
      </c>
    </row>
    <row r="1497" spans="1:4" x14ac:dyDescent="0.2">
      <c r="A1497" s="5">
        <v>1436</v>
      </c>
      <c r="B1497" s="138">
        <f>'Expenditures 15-22'!K268</f>
        <v>413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327376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48</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48</v>
      </c>
      <c r="C1508" s="2" t="s">
        <v>594</v>
      </c>
      <c r="D1508" s="2" t="str">
        <f t="shared" si="22"/>
        <v>Error?</v>
      </c>
    </row>
    <row r="1509" spans="1:4" x14ac:dyDescent="0.2">
      <c r="A1509" s="5">
        <v>1448</v>
      </c>
      <c r="B1509" s="138">
        <f>'Expenditures 15-22'!K278</f>
        <v>26876</v>
      </c>
      <c r="C1509" s="2" t="s">
        <v>594</v>
      </c>
      <c r="D1509" s="2" t="str">
        <f t="shared" si="22"/>
        <v>Error?</v>
      </c>
    </row>
    <row r="1510" spans="1:4" x14ac:dyDescent="0.2">
      <c r="A1510" s="5">
        <v>1449</v>
      </c>
      <c r="B1510" s="138">
        <f>'Expenditures 15-22'!K279</f>
        <v>586114</v>
      </c>
      <c r="C1510" s="2" t="s">
        <v>594</v>
      </c>
      <c r="D1510" s="2" t="str">
        <f t="shared" si="22"/>
        <v>Error?</v>
      </c>
    </row>
    <row r="1511" spans="1:4" x14ac:dyDescent="0.2">
      <c r="A1511" s="5">
        <v>1450</v>
      </c>
      <c r="B1511" s="138">
        <f>'Expenditures 15-22'!K280</f>
        <v>887</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1101010</v>
      </c>
      <c r="C1517" s="2" t="s">
        <v>594</v>
      </c>
      <c r="D1517" s="2" t="str">
        <f t="shared" si="22"/>
        <v>Error?</v>
      </c>
    </row>
    <row r="1518" spans="1:4" x14ac:dyDescent="0.2">
      <c r="A1518" s="5">
        <v>1457</v>
      </c>
      <c r="B1518" s="138">
        <f>'Expenditures 15-22'!K296</f>
        <v>94303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765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765</v>
      </c>
      <c r="C1535" s="2" t="s">
        <v>594</v>
      </c>
      <c r="D1535" s="2" t="str">
        <f t="shared" ref="D1535:D1598" si="23">IF(ISBLANK(B1535),"OK",IF(A1535-B1535=0,"OK","Error?"))</f>
        <v>Error?</v>
      </c>
    </row>
    <row r="1536" spans="1:4" x14ac:dyDescent="0.2">
      <c r="A1536" s="5">
        <v>1475</v>
      </c>
      <c r="B1536" s="138">
        <f>'Expenditures 15-22'!E312</f>
        <v>765</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755672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755672</v>
      </c>
      <c r="C1547" s="2" t="s">
        <v>594</v>
      </c>
      <c r="D1547" s="2" t="str">
        <f t="shared" si="23"/>
        <v>Error?</v>
      </c>
    </row>
    <row r="1548" spans="1:4" x14ac:dyDescent="0.2">
      <c r="A1548" s="5">
        <v>1487</v>
      </c>
      <c r="B1548" s="138">
        <f>'Expenditures 15-22'!G312</f>
        <v>755672</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756437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756437</v>
      </c>
      <c r="C1559" s="2" t="s">
        <v>594</v>
      </c>
      <c r="D1559" s="2" t="str">
        <f t="shared" si="23"/>
        <v>Error?</v>
      </c>
    </row>
    <row r="1560" spans="1:4" x14ac:dyDescent="0.2">
      <c r="A1560" s="5">
        <v>1499</v>
      </c>
      <c r="B1560" s="138">
        <f>'Expenditures 15-22'!K312</f>
        <v>756437</v>
      </c>
      <c r="C1560" s="2" t="s">
        <v>594</v>
      </c>
      <c r="D1560" s="2" t="str">
        <f t="shared" si="23"/>
        <v>Error?</v>
      </c>
    </row>
    <row r="1561" spans="1:4" x14ac:dyDescent="0.2">
      <c r="A1561" s="5">
        <v>1500</v>
      </c>
      <c r="B1561" s="138">
        <f>'Expenditures 15-22'!K313</f>
        <v>-86855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10771214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15056075</v>
      </c>
      <c r="C1630" s="2" t="s">
        <v>594</v>
      </c>
      <c r="D1630" s="2" t="str">
        <f t="shared" si="24"/>
        <v>Error?</v>
      </c>
    </row>
    <row r="1631" spans="1:4" x14ac:dyDescent="0.2">
      <c r="A1631" s="5">
        <v>1570</v>
      </c>
      <c r="B1631" s="138">
        <f>'Acct Summary 7-8'!D79</f>
        <v>2089965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2406661</v>
      </c>
      <c r="C1644" s="2" t="s">
        <v>594</v>
      </c>
      <c r="D1644" s="2" t="str">
        <f t="shared" si="24"/>
        <v>Error?</v>
      </c>
    </row>
    <row r="1645" spans="1:4" x14ac:dyDescent="0.2">
      <c r="A1645" s="5">
        <v>1584</v>
      </c>
      <c r="B1645" s="138">
        <f>'Acct Summary 7-8'!E79</f>
        <v>4193225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4213983</v>
      </c>
      <c r="C1658" s="2" t="s">
        <v>594</v>
      </c>
      <c r="D1658" s="2" t="str">
        <f t="shared" si="24"/>
        <v>Error?</v>
      </c>
    </row>
    <row r="1659" spans="1:4" x14ac:dyDescent="0.2">
      <c r="A1659" s="5">
        <v>1598</v>
      </c>
      <c r="B1659" s="138">
        <f>'Acct Summary 7-8'!F79</f>
        <v>1255283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2965857</v>
      </c>
      <c r="C1672" s="2" t="s">
        <v>594</v>
      </c>
      <c r="D1672" s="2" t="str">
        <f t="shared" si="25"/>
        <v>Error?</v>
      </c>
    </row>
    <row r="1673" spans="1:4" x14ac:dyDescent="0.2">
      <c r="A1673" s="5">
        <v>1612</v>
      </c>
      <c r="B1673" s="138">
        <f>'Acct Summary 7-8'!G79</f>
        <v>1518829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1613132</v>
      </c>
      <c r="C1686" s="2" t="s">
        <v>594</v>
      </c>
      <c r="D1686" s="2" t="str">
        <f t="shared" si="25"/>
        <v>Error?</v>
      </c>
    </row>
    <row r="1687" spans="1:4" x14ac:dyDescent="0.2">
      <c r="A1687" s="5">
        <v>1626</v>
      </c>
      <c r="B1687" s="138">
        <f>'Acct Summary 7-8'!H79</f>
        <v>471759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384904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11322228</v>
      </c>
      <c r="C1744" s="2" t="s">
        <v>594</v>
      </c>
      <c r="D1744" s="2" t="str">
        <f t="shared" si="26"/>
        <v>Error?</v>
      </c>
    </row>
    <row r="1745" spans="1:5" x14ac:dyDescent="0.2">
      <c r="A1745" s="5">
        <v>1684</v>
      </c>
      <c r="B1745" s="138">
        <f>'Tax Sched 23'!B5</f>
        <v>2073666</v>
      </c>
      <c r="C1745" s="2" t="s">
        <v>594</v>
      </c>
      <c r="D1745" s="2" t="str">
        <f t="shared" si="26"/>
        <v>Error?</v>
      </c>
    </row>
    <row r="1746" spans="1:5" x14ac:dyDescent="0.2">
      <c r="A1746" s="5">
        <v>1685</v>
      </c>
      <c r="B1746" s="138">
        <f>'Tax Sched 23'!B6</f>
        <v>2543482</v>
      </c>
      <c r="C1746" s="2" t="s">
        <v>594</v>
      </c>
      <c r="D1746" s="2" t="str">
        <f t="shared" si="26"/>
        <v>Error?</v>
      </c>
    </row>
    <row r="1747" spans="1:5" x14ac:dyDescent="0.2">
      <c r="A1747" s="5">
        <v>1686</v>
      </c>
      <c r="B1747" s="138">
        <f>'Tax Sched 23'!B7</f>
        <v>829473</v>
      </c>
      <c r="C1747" s="2" t="s">
        <v>594</v>
      </c>
      <c r="D1747" s="2" t="str">
        <f t="shared" si="26"/>
        <v>Error?</v>
      </c>
    </row>
    <row r="1748" spans="1:5" x14ac:dyDescent="0.2">
      <c r="A1748" s="5">
        <v>1687</v>
      </c>
      <c r="B1748" s="138">
        <f>'Tax Sched 23'!B8</f>
        <v>505711</v>
      </c>
      <c r="C1748" s="2" t="s">
        <v>594</v>
      </c>
      <c r="D1748" s="2" t="str">
        <f t="shared" si="26"/>
        <v>Error?</v>
      </c>
    </row>
    <row r="1749" spans="1:5" x14ac:dyDescent="0.2">
      <c r="A1749" s="5">
        <v>1688</v>
      </c>
      <c r="B1749" s="138">
        <f>'Tax Sched 23'!B10</f>
        <v>207375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1604240</v>
      </c>
      <c r="C1752" s="2" t="s">
        <v>594</v>
      </c>
      <c r="D1752" s="2" t="str">
        <f t="shared" si="26"/>
        <v>Error?</v>
      </c>
    </row>
    <row r="1753" spans="1:5" x14ac:dyDescent="0.2">
      <c r="A1753" s="5">
        <v>1692</v>
      </c>
      <c r="B1753" s="138">
        <f>'Tax Sched 23'!B12</f>
        <v>207375</v>
      </c>
      <c r="C1753" s="2" t="s">
        <v>594</v>
      </c>
      <c r="D1753" s="2" t="str">
        <f t="shared" si="26"/>
        <v>Error?</v>
      </c>
    </row>
    <row r="1754" spans="1:5" x14ac:dyDescent="0.2">
      <c r="A1754" s="5">
        <v>1693</v>
      </c>
      <c r="B1754" s="138">
        <f>'Tax Sched 23'!B14</f>
        <v>165891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20290034</v>
      </c>
      <c r="C1759" s="2" t="s">
        <v>594</v>
      </c>
      <c r="D1759" s="2" t="str">
        <f t="shared" si="26"/>
        <v>Error?</v>
      </c>
    </row>
    <row r="1760" spans="1:5" x14ac:dyDescent="0.2">
      <c r="A1760" s="5">
        <v>1699</v>
      </c>
      <c r="B1760" s="138">
        <f>'Tax Sched 23'!D4</f>
        <v>5322668</v>
      </c>
      <c r="C1760" s="2" t="s">
        <v>594</v>
      </c>
      <c r="D1760" s="2" t="str">
        <f t="shared" si="26"/>
        <v>Error?</v>
      </c>
    </row>
    <row r="1761" spans="1:5" x14ac:dyDescent="0.2">
      <c r="A1761" s="5">
        <v>1700</v>
      </c>
      <c r="B1761" s="138">
        <f>'Tax Sched 23'!D5</f>
        <v>974847</v>
      </c>
      <c r="C1761" s="2" t="s">
        <v>594</v>
      </c>
      <c r="D1761" s="2" t="str">
        <f t="shared" si="26"/>
        <v>Error?</v>
      </c>
    </row>
    <row r="1762" spans="1:5" s="8" customFormat="1" x14ac:dyDescent="0.2">
      <c r="A1762" s="5">
        <v>1701</v>
      </c>
      <c r="B1762" s="138">
        <f>'Tax Sched 23'!D6</f>
        <v>1301662</v>
      </c>
      <c r="C1762" s="2" t="s">
        <v>594</v>
      </c>
      <c r="D1762" s="2" t="str">
        <f t="shared" si="26"/>
        <v>Error?</v>
      </c>
      <c r="E1762" s="9"/>
    </row>
    <row r="1763" spans="1:5" x14ac:dyDescent="0.2">
      <c r="A1763" s="5">
        <v>1702</v>
      </c>
      <c r="B1763" s="138">
        <f>'Tax Sched 23'!D7</f>
        <v>389939</v>
      </c>
      <c r="C1763" s="2" t="s">
        <v>594</v>
      </c>
      <c r="D1763" s="2" t="str">
        <f t="shared" si="26"/>
        <v>Error?</v>
      </c>
    </row>
    <row r="1764" spans="1:5" x14ac:dyDescent="0.2">
      <c r="A1764" s="5">
        <v>1703</v>
      </c>
      <c r="B1764" s="138">
        <f>'Tax Sched 23'!D8</f>
        <v>453429</v>
      </c>
      <c r="C1764" s="2" t="s">
        <v>594</v>
      </c>
      <c r="D1764" s="2" t="str">
        <f t="shared" si="26"/>
        <v>Error?</v>
      </c>
    </row>
    <row r="1765" spans="1:5" x14ac:dyDescent="0.2">
      <c r="A1765" s="5">
        <v>1704</v>
      </c>
      <c r="B1765" s="138">
        <f>'Tax Sched 23'!D10</f>
        <v>97489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545528</v>
      </c>
      <c r="C1768" s="2" t="s">
        <v>594</v>
      </c>
      <c r="D1768" s="2" t="str">
        <f t="shared" si="26"/>
        <v>Error?</v>
      </c>
    </row>
    <row r="1769" spans="1:5" x14ac:dyDescent="0.2">
      <c r="A1769" s="5">
        <v>1708</v>
      </c>
      <c r="B1769" s="138">
        <f>'Tax Sched 23'!D12</f>
        <v>97489</v>
      </c>
      <c r="C1769" s="2" t="s">
        <v>594</v>
      </c>
      <c r="D1769" s="2" t="str">
        <f t="shared" si="26"/>
        <v>Error?</v>
      </c>
    </row>
    <row r="1770" spans="1:5" x14ac:dyDescent="0.2">
      <c r="A1770" s="5">
        <v>1709</v>
      </c>
      <c r="B1770" s="138">
        <f>'Tax Sched 23'!D14</f>
        <v>77986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9665833</v>
      </c>
      <c r="C1775" s="2" t="s">
        <v>594</v>
      </c>
      <c r="D1775" s="2" t="str">
        <f t="shared" si="26"/>
        <v>Error?</v>
      </c>
    </row>
    <row r="1776" spans="1:5" x14ac:dyDescent="0.2">
      <c r="A1776" s="5">
        <v>1715</v>
      </c>
      <c r="B1776" s="138">
        <f>'Tax Sched 23'!C4</f>
        <v>5999560</v>
      </c>
      <c r="D1776" s="2" t="str">
        <f t="shared" si="26"/>
        <v>Error?</v>
      </c>
    </row>
    <row r="1777" spans="1:4" x14ac:dyDescent="0.2">
      <c r="A1777" s="5">
        <v>1716</v>
      </c>
      <c r="B1777" s="138">
        <f>'Tax Sched 23'!C5</f>
        <v>1098819</v>
      </c>
      <c r="D1777" s="2" t="str">
        <f t="shared" si="26"/>
        <v>Error?</v>
      </c>
    </row>
    <row r="1778" spans="1:4" x14ac:dyDescent="0.2">
      <c r="A1778" s="5">
        <v>1717</v>
      </c>
      <c r="B1778" s="138">
        <f>'Tax Sched 23'!C6</f>
        <v>1241820</v>
      </c>
      <c r="D1778" s="2" t="str">
        <f t="shared" si="26"/>
        <v>Error?</v>
      </c>
    </row>
    <row r="1779" spans="1:4" x14ac:dyDescent="0.2">
      <c r="A1779" s="5">
        <v>1718</v>
      </c>
      <c r="B1779" s="138">
        <f>'Tax Sched 23'!C7</f>
        <v>439534</v>
      </c>
      <c r="D1779" s="2" t="str">
        <f t="shared" si="26"/>
        <v>Error?</v>
      </c>
    </row>
    <row r="1780" spans="1:4" x14ac:dyDescent="0.2">
      <c r="A1780" s="5">
        <v>1719</v>
      </c>
      <c r="B1780" s="138">
        <f>'Tax Sched 23'!C8</f>
        <v>52282</v>
      </c>
      <c r="D1780" s="2" t="str">
        <f t="shared" si="26"/>
        <v>Error?</v>
      </c>
    </row>
    <row r="1781" spans="1:4" x14ac:dyDescent="0.2">
      <c r="A1781" s="5">
        <v>1720</v>
      </c>
      <c r="B1781" s="138">
        <f>'Tax Sched 23'!C10</f>
        <v>109886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1058712</v>
      </c>
      <c r="D1784" s="2" t="str">
        <f t="shared" si="26"/>
        <v>Error?</v>
      </c>
    </row>
    <row r="1785" spans="1:4" x14ac:dyDescent="0.2">
      <c r="A1785" s="5">
        <v>1724</v>
      </c>
      <c r="B1785" s="138">
        <f>'Tax Sched 23'!C12</f>
        <v>109886</v>
      </c>
      <c r="D1785" s="2" t="str">
        <f t="shared" si="26"/>
        <v>Error?</v>
      </c>
    </row>
    <row r="1786" spans="1:4" x14ac:dyDescent="0.2">
      <c r="A1786" s="5">
        <v>1725</v>
      </c>
      <c r="B1786" s="138">
        <f>'Tax Sched 23'!C14</f>
        <v>87905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10624201</v>
      </c>
      <c r="C1791" s="2" t="s">
        <v>594</v>
      </c>
      <c r="D1791" s="2" t="str">
        <f t="shared" ref="D1791:D1854" si="27">IF(ISBLANK(B1791),"OK",IF(A1791-B1791=0,"OK","Error?"))</f>
        <v>Error?</v>
      </c>
    </row>
    <row r="1792" spans="1:4" x14ac:dyDescent="0.2">
      <c r="A1792" s="5">
        <v>1731</v>
      </c>
      <c r="B1792" s="138">
        <f>'Tax Sched 23'!F4</f>
        <v>5556339</v>
      </c>
      <c r="C1792" s="2" t="s">
        <v>594</v>
      </c>
      <c r="D1792" s="2" t="str">
        <f t="shared" si="27"/>
        <v>Error?</v>
      </c>
    </row>
    <row r="1793" spans="1:4" x14ac:dyDescent="0.2">
      <c r="A1793" s="5">
        <v>1732</v>
      </c>
      <c r="B1793" s="138">
        <f>'Tax Sched 23'!F5</f>
        <v>1017646</v>
      </c>
      <c r="C1793" s="2" t="s">
        <v>594</v>
      </c>
      <c r="D1793" s="2" t="str">
        <f t="shared" si="27"/>
        <v>Error?</v>
      </c>
    </row>
    <row r="1794" spans="1:4" x14ac:dyDescent="0.2">
      <c r="A1794" s="5">
        <v>1733</v>
      </c>
      <c r="B1794" s="138">
        <f>'Tax Sched 23'!F6</f>
        <v>1150082</v>
      </c>
      <c r="C1794" s="2" t="s">
        <v>594</v>
      </c>
      <c r="D1794" s="2" t="str">
        <f t="shared" si="27"/>
        <v>Error?</v>
      </c>
    </row>
    <row r="1795" spans="1:4" x14ac:dyDescent="0.2">
      <c r="A1795" s="5">
        <v>1734</v>
      </c>
      <c r="B1795" s="138">
        <f>'Tax Sched 23'!F7</f>
        <v>407052</v>
      </c>
      <c r="C1795" s="2" t="s">
        <v>594</v>
      </c>
      <c r="D1795" s="2" t="str">
        <f t="shared" si="27"/>
        <v>Error?</v>
      </c>
    </row>
    <row r="1796" spans="1:4" x14ac:dyDescent="0.2">
      <c r="A1796" s="5">
        <v>1735</v>
      </c>
      <c r="B1796" s="138">
        <f>'Tax Sched 23'!F8</f>
        <v>48419</v>
      </c>
      <c r="C1796" s="2" t="s">
        <v>594</v>
      </c>
      <c r="D1796" s="2" t="str">
        <f t="shared" si="27"/>
        <v>Error?</v>
      </c>
    </row>
    <row r="1797" spans="1:4" x14ac:dyDescent="0.2">
      <c r="A1797" s="5">
        <v>1736</v>
      </c>
      <c r="B1797" s="138">
        <f>'Tax Sched 23'!F10</f>
        <v>101760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980502</v>
      </c>
      <c r="C1800" s="2" t="s">
        <v>594</v>
      </c>
      <c r="D1800" s="2" t="str">
        <f t="shared" si="27"/>
        <v>Error?</v>
      </c>
    </row>
    <row r="1801" spans="1:4" x14ac:dyDescent="0.2">
      <c r="A1801" s="5">
        <v>1740</v>
      </c>
      <c r="B1801" s="138">
        <f>'Tax Sched 23'!F12</f>
        <v>101760</v>
      </c>
      <c r="C1801" s="2" t="s">
        <v>594</v>
      </c>
      <c r="D1801" s="2" t="str">
        <f t="shared" si="27"/>
        <v>Error?</v>
      </c>
    </row>
    <row r="1802" spans="1:4" x14ac:dyDescent="0.2">
      <c r="A1802" s="5">
        <v>1741</v>
      </c>
      <c r="B1802" s="138">
        <f>'Tax Sched 23'!F14</f>
        <v>81412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9839304</v>
      </c>
      <c r="C1807" s="2" t="s">
        <v>594</v>
      </c>
      <c r="D1807" s="2" t="str">
        <f t="shared" si="27"/>
        <v>Error?</v>
      </c>
    </row>
    <row r="1808" spans="1:4" x14ac:dyDescent="0.2">
      <c r="A1808" s="5">
        <v>1747</v>
      </c>
      <c r="B1808" s="138">
        <f>'Tax Sched 23'!E4</f>
        <v>11555899</v>
      </c>
      <c r="D1808" s="2" t="str">
        <f t="shared" si="27"/>
        <v>Error?</v>
      </c>
    </row>
    <row r="1809" spans="1:4" x14ac:dyDescent="0.2">
      <c r="A1809" s="5">
        <v>1748</v>
      </c>
      <c r="B1809" s="138">
        <f>'Tax Sched 23'!E5</f>
        <v>2116465</v>
      </c>
      <c r="D1809" s="2" t="str">
        <f t="shared" si="27"/>
        <v>Error?</v>
      </c>
    </row>
    <row r="1810" spans="1:4" x14ac:dyDescent="0.2">
      <c r="A1810" s="5">
        <v>1749</v>
      </c>
      <c r="B1810" s="138">
        <f>'Tax Sched 23'!E6</f>
        <v>2391902</v>
      </c>
      <c r="D1810" s="2" t="str">
        <f t="shared" si="27"/>
        <v>Error?</v>
      </c>
    </row>
    <row r="1811" spans="1:4" x14ac:dyDescent="0.2">
      <c r="A1811" s="5">
        <v>1750</v>
      </c>
      <c r="B1811" s="138">
        <f>'Tax Sched 23'!E7</f>
        <v>846586</v>
      </c>
      <c r="D1811" s="2" t="str">
        <f t="shared" si="27"/>
        <v>Error?</v>
      </c>
    </row>
    <row r="1812" spans="1:4" x14ac:dyDescent="0.2">
      <c r="A1812" s="5">
        <v>1751</v>
      </c>
      <c r="B1812" s="138">
        <f>'Tax Sched 23'!E8</f>
        <v>100701</v>
      </c>
      <c r="D1812" s="2" t="str">
        <f t="shared" si="27"/>
        <v>Error?</v>
      </c>
    </row>
    <row r="1813" spans="1:4" x14ac:dyDescent="0.2">
      <c r="A1813" s="5">
        <v>1752</v>
      </c>
      <c r="B1813" s="138">
        <f>'Tax Sched 23'!E10</f>
        <v>211646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2039214</v>
      </c>
      <c r="D1816" s="2" t="str">
        <f t="shared" si="27"/>
        <v>Error?</v>
      </c>
    </row>
    <row r="1817" spans="1:4" x14ac:dyDescent="0.2">
      <c r="A1817" s="5">
        <v>1756</v>
      </c>
      <c r="B1817" s="138">
        <f>'Tax Sched 23'!E12</f>
        <v>211646</v>
      </c>
      <c r="D1817" s="2" t="str">
        <f t="shared" si="27"/>
        <v>Error?</v>
      </c>
    </row>
    <row r="1818" spans="1:4" x14ac:dyDescent="0.2">
      <c r="A1818" s="5">
        <v>1757</v>
      </c>
      <c r="B1818" s="138">
        <f>'Tax Sched 23'!E14</f>
        <v>169317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20463505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49006324</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169075</v>
      </c>
      <c r="D1972" s="2" t="str">
        <f t="shared" si="29"/>
        <v>Error?</v>
      </c>
    </row>
    <row r="1973" spans="1:5" x14ac:dyDescent="0.2">
      <c r="A1973" s="5">
        <v>1912</v>
      </c>
      <c r="B1973" s="138">
        <f>'Rest Tax Levies-Tort Im 25'!H6</f>
        <v>74</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169149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169149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881764</v>
      </c>
      <c r="D2008" s="2" t="str">
        <f t="shared" si="30"/>
        <v>Error?</v>
      </c>
    </row>
    <row r="2009" spans="1:4" x14ac:dyDescent="0.2">
      <c r="A2009" s="5">
        <v>1948</v>
      </c>
      <c r="B2009" s="138">
        <f>'Cap Outlay Deprec 26'!C8</f>
        <v>74267501</v>
      </c>
      <c r="D2009" s="2" t="str">
        <f t="shared" si="30"/>
        <v>Error?</v>
      </c>
    </row>
    <row r="2010" spans="1:4" x14ac:dyDescent="0.2">
      <c r="A2010" s="5">
        <v>1949</v>
      </c>
      <c r="B2010" s="138">
        <f>'Cap Outlay Deprec 26'!C10</f>
        <v>24172473</v>
      </c>
      <c r="D2010" s="2" t="str">
        <f t="shared" si="30"/>
        <v>Error?</v>
      </c>
    </row>
    <row r="2011" spans="1:4" x14ac:dyDescent="0.2">
      <c r="A2011" s="5">
        <v>1950</v>
      </c>
      <c r="B2011" s="138">
        <f>'Cap Outlay Deprec 26'!C12</f>
        <v>849480</v>
      </c>
      <c r="D2011" s="2" t="str">
        <f t="shared" si="30"/>
        <v>Error?</v>
      </c>
    </row>
    <row r="2012" spans="1:4" x14ac:dyDescent="0.2">
      <c r="A2012" s="5">
        <v>1951</v>
      </c>
      <c r="B2012" s="138">
        <f>'Cap Outlay Deprec 26'!C13</f>
        <v>984798</v>
      </c>
      <c r="D2012" s="2" t="str">
        <f t="shared" si="30"/>
        <v>Error?</v>
      </c>
    </row>
    <row r="2013" spans="1:4" x14ac:dyDescent="0.2">
      <c r="A2013" s="5">
        <v>1952</v>
      </c>
      <c r="B2013" s="138">
        <f>'Cap Outlay Deprec 26'!C16</f>
        <v>103865232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1394360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237364</v>
      </c>
      <c r="D2017" s="2" t="str">
        <f t="shared" si="30"/>
        <v>Error?</v>
      </c>
    </row>
    <row r="2018" spans="1:4" x14ac:dyDescent="0.2">
      <c r="A2018" s="5">
        <v>1957</v>
      </c>
      <c r="B2018" s="138">
        <f>'Cap Outlay Deprec 26'!D13</f>
        <v>42098</v>
      </c>
      <c r="D2018" s="2" t="str">
        <f t="shared" si="30"/>
        <v>Error?</v>
      </c>
    </row>
    <row r="2019" spans="1:4" x14ac:dyDescent="0.2">
      <c r="A2019" s="5">
        <v>1958</v>
      </c>
      <c r="B2019" s="138">
        <f>'Cap Outlay Deprec 26'!D16</f>
        <v>2929909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838800</v>
      </c>
      <c r="D2021" s="2" t="str">
        <f t="shared" si="30"/>
        <v>Error?</v>
      </c>
    </row>
    <row r="2022" spans="1:4" x14ac:dyDescent="0.2">
      <c r="A2022" s="5">
        <v>1961</v>
      </c>
      <c r="B2022" s="138">
        <f>'Cap Outlay Deprec 26'!E10</f>
        <v>208307</v>
      </c>
      <c r="D2022" s="2" t="str">
        <f t="shared" si="30"/>
        <v>Error?</v>
      </c>
    </row>
    <row r="2023" spans="1:4" x14ac:dyDescent="0.2">
      <c r="A2023" s="5">
        <v>1962</v>
      </c>
      <c r="B2023" s="138">
        <f>'Cap Outlay Deprec 26'!E12</f>
        <v>24061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2422741</v>
      </c>
      <c r="C2025" s="2" t="s">
        <v>594</v>
      </c>
      <c r="D2025" s="2" t="str">
        <f t="shared" si="30"/>
        <v>Error?</v>
      </c>
    </row>
    <row r="2026" spans="1:4" x14ac:dyDescent="0.2">
      <c r="A2026" s="5">
        <v>1965</v>
      </c>
      <c r="B2026" s="138">
        <f>'Cap Outlay Deprec 26'!F5</f>
        <v>881764</v>
      </c>
      <c r="C2026" s="2" t="s">
        <v>594</v>
      </c>
      <c r="D2026" s="2" t="str">
        <f t="shared" si="30"/>
        <v>Error?</v>
      </c>
    </row>
    <row r="2027" spans="1:4" x14ac:dyDescent="0.2">
      <c r="A2027" s="5">
        <v>1966</v>
      </c>
      <c r="B2027" s="138">
        <f>'Cap Outlay Deprec 26'!F8</f>
        <v>74823061</v>
      </c>
      <c r="C2027" s="2" t="s">
        <v>594</v>
      </c>
      <c r="D2027" s="2" t="str">
        <f t="shared" si="30"/>
        <v>Error?</v>
      </c>
    </row>
    <row r="2028" spans="1:4" x14ac:dyDescent="0.2">
      <c r="A2028" s="5">
        <v>1967</v>
      </c>
      <c r="B2028" s="138">
        <f>'Cap Outlay Deprec 26'!F10</f>
        <v>23964166</v>
      </c>
      <c r="C2028" s="2" t="s">
        <v>594</v>
      </c>
      <c r="D2028" s="2" t="str">
        <f t="shared" si="30"/>
        <v>Error?</v>
      </c>
    </row>
    <row r="2029" spans="1:4" x14ac:dyDescent="0.2">
      <c r="A2029" s="5">
        <v>1968</v>
      </c>
      <c r="B2029" s="138">
        <f>'Cap Outlay Deprec 26'!F12</f>
        <v>1062783</v>
      </c>
      <c r="C2029" s="2" t="s">
        <v>594</v>
      </c>
      <c r="D2029" s="2" t="str">
        <f t="shared" si="30"/>
        <v>Error?</v>
      </c>
    </row>
    <row r="2030" spans="1:4" x14ac:dyDescent="0.2">
      <c r="A2030" s="5">
        <v>1969</v>
      </c>
      <c r="B2030" s="138">
        <f>'Cap Outlay Deprec 26'!F13</f>
        <v>1026896</v>
      </c>
      <c r="C2030" s="2" t="s">
        <v>594</v>
      </c>
      <c r="D2030" s="2" t="str">
        <f t="shared" si="30"/>
        <v>Error?</v>
      </c>
    </row>
    <row r="2031" spans="1:4" x14ac:dyDescent="0.2">
      <c r="A2031" s="5">
        <v>1970</v>
      </c>
      <c r="B2031" s="138">
        <f>'Cap Outlay Deprec 26'!F16</f>
        <v>104372400</v>
      </c>
      <c r="C2031" s="2" t="s">
        <v>594</v>
      </c>
      <c r="D2031" s="2" t="str">
        <f t="shared" si="30"/>
        <v>Error?</v>
      </c>
    </row>
    <row r="2032" spans="1:4" x14ac:dyDescent="0.2">
      <c r="A2032" s="10">
        <v>1971</v>
      </c>
      <c r="D2032" s="2" t="str">
        <f t="shared" si="30"/>
        <v>OK</v>
      </c>
    </row>
    <row r="2033" spans="1:4" x14ac:dyDescent="0.2">
      <c r="A2033" s="5">
        <v>1972</v>
      </c>
      <c r="B2033" s="138">
        <f>'Cap Outlay Deprec 26'!H8</f>
        <v>15956633</v>
      </c>
      <c r="D2033" s="2" t="str">
        <f t="shared" si="30"/>
        <v>Error?</v>
      </c>
    </row>
    <row r="2034" spans="1:4" x14ac:dyDescent="0.2">
      <c r="A2034" s="5">
        <v>1973</v>
      </c>
      <c r="B2034" s="138">
        <f>'Cap Outlay Deprec 26'!H10</f>
        <v>9168715</v>
      </c>
      <c r="D2034" s="2" t="str">
        <f t="shared" si="30"/>
        <v>Error?</v>
      </c>
    </row>
    <row r="2035" spans="1:4" x14ac:dyDescent="0.2">
      <c r="A2035" s="5">
        <v>1974</v>
      </c>
      <c r="B2035" s="138">
        <f>'Cap Outlay Deprec 26'!H12</f>
        <v>334545</v>
      </c>
      <c r="D2035" s="2" t="str">
        <f t="shared" si="30"/>
        <v>Error?</v>
      </c>
    </row>
    <row r="2036" spans="1:4" x14ac:dyDescent="0.2">
      <c r="A2036" s="5">
        <v>1975</v>
      </c>
      <c r="B2036" s="138">
        <f>'Cap Outlay Deprec 26'!H13</f>
        <v>794081</v>
      </c>
      <c r="D2036" s="2" t="str">
        <f t="shared" si="30"/>
        <v>Error?</v>
      </c>
    </row>
    <row r="2037" spans="1:4" x14ac:dyDescent="0.2">
      <c r="A2037" s="5">
        <v>1976</v>
      </c>
      <c r="B2037" s="138">
        <f>'Cap Outlay Deprec 26'!H16</f>
        <v>27890490</v>
      </c>
      <c r="C2037" s="2" t="s">
        <v>594</v>
      </c>
      <c r="D2037" s="2" t="str">
        <f t="shared" si="30"/>
        <v>Error?</v>
      </c>
    </row>
    <row r="2038" spans="1:4" x14ac:dyDescent="0.2">
      <c r="A2038" s="10">
        <v>1977</v>
      </c>
      <c r="D2038" s="2" t="str">
        <f t="shared" si="30"/>
        <v>OK</v>
      </c>
    </row>
    <row r="2039" spans="1:4" x14ac:dyDescent="0.2">
      <c r="A2039" s="5">
        <v>1978</v>
      </c>
      <c r="B2039" s="138">
        <f>'Cap Outlay Deprec 26'!I8</f>
        <v>1382120</v>
      </c>
      <c r="D2039" s="2" t="str">
        <f t="shared" si="30"/>
        <v>Error?</v>
      </c>
    </row>
    <row r="2040" spans="1:4" x14ac:dyDescent="0.2">
      <c r="A2040" s="5">
        <v>1979</v>
      </c>
      <c r="B2040" s="138">
        <f>'Cap Outlay Deprec 26'!I10</f>
        <v>1168055</v>
      </c>
      <c r="D2040" s="2" t="str">
        <f t="shared" si="30"/>
        <v>Error?</v>
      </c>
    </row>
    <row r="2041" spans="1:4" x14ac:dyDescent="0.2">
      <c r="A2041" s="5">
        <v>1980</v>
      </c>
      <c r="B2041" s="138">
        <f>'Cap Outlay Deprec 26'!I12</f>
        <v>83784</v>
      </c>
      <c r="D2041" s="2" t="str">
        <f t="shared" si="30"/>
        <v>Error?</v>
      </c>
    </row>
    <row r="2042" spans="1:4" x14ac:dyDescent="0.2">
      <c r="A2042" s="5">
        <v>1981</v>
      </c>
      <c r="B2042" s="138">
        <f>'Cap Outlay Deprec 26'!I13</f>
        <v>91297</v>
      </c>
      <c r="D2042" s="2" t="str">
        <f t="shared" si="30"/>
        <v>Error?</v>
      </c>
    </row>
    <row r="2043" spans="1:4" x14ac:dyDescent="0.2">
      <c r="A2043" s="5">
        <v>1982</v>
      </c>
      <c r="B2043" s="138">
        <f>'Cap Outlay Deprec 26'!I16</f>
        <v>3044692</v>
      </c>
      <c r="C2043" s="2" t="s">
        <v>594</v>
      </c>
      <c r="D2043" s="2" t="str">
        <f t="shared" si="30"/>
        <v>Error?</v>
      </c>
    </row>
    <row r="2044" spans="1:4" x14ac:dyDescent="0.2">
      <c r="A2044" s="10">
        <v>1983</v>
      </c>
      <c r="D2044" s="2" t="str">
        <f t="shared" si="30"/>
        <v>OK</v>
      </c>
    </row>
    <row r="2045" spans="1:4" x14ac:dyDescent="0.2">
      <c r="A2045" s="5">
        <v>1984</v>
      </c>
      <c r="B2045" s="138">
        <f>'Cap Outlay Deprec 26'!J8</f>
        <v>512208</v>
      </c>
      <c r="D2045" s="2" t="str">
        <f t="shared" si="30"/>
        <v>Error?</v>
      </c>
    </row>
    <row r="2046" spans="1:4" x14ac:dyDescent="0.2">
      <c r="A2046" s="5">
        <v>1985</v>
      </c>
      <c r="B2046" s="138">
        <f>'Cap Outlay Deprec 26'!J10</f>
        <v>81338</v>
      </c>
      <c r="D2046" s="2" t="str">
        <f t="shared" si="30"/>
        <v>Error?</v>
      </c>
    </row>
    <row r="2047" spans="1:4" x14ac:dyDescent="0.2">
      <c r="A2047" s="5">
        <v>1986</v>
      </c>
      <c r="B2047" s="138">
        <f>'Cap Outlay Deprec 26'!J12</f>
        <v>24061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617607</v>
      </c>
      <c r="C2049" s="2" t="s">
        <v>594</v>
      </c>
      <c r="D2049" s="2" t="str">
        <f t="shared" si="31"/>
        <v>Error?</v>
      </c>
    </row>
    <row r="2050" spans="1:4" x14ac:dyDescent="0.2">
      <c r="A2050" s="10">
        <v>1989</v>
      </c>
      <c r="D2050" s="2" t="str">
        <f t="shared" si="31"/>
        <v>OK</v>
      </c>
    </row>
    <row r="2051" spans="1:4" x14ac:dyDescent="0.2">
      <c r="A2051" s="5">
        <v>1990</v>
      </c>
      <c r="B2051" s="138">
        <f>'Cap Outlay Deprec 26'!K8</f>
        <v>16826545</v>
      </c>
      <c r="C2051" s="2" t="s">
        <v>594</v>
      </c>
      <c r="D2051" s="2" t="str">
        <f t="shared" si="31"/>
        <v>Error?</v>
      </c>
    </row>
    <row r="2052" spans="1:4" x14ac:dyDescent="0.2">
      <c r="A2052" s="5">
        <v>1991</v>
      </c>
      <c r="B2052" s="138">
        <f>'Cap Outlay Deprec 26'!K10</f>
        <v>10255432</v>
      </c>
      <c r="C2052" s="2" t="s">
        <v>594</v>
      </c>
      <c r="D2052" s="2" t="str">
        <f t="shared" si="31"/>
        <v>Error?</v>
      </c>
    </row>
    <row r="2053" spans="1:4" x14ac:dyDescent="0.2">
      <c r="A2053" s="5">
        <v>1992</v>
      </c>
      <c r="B2053" s="138">
        <f>'Cap Outlay Deprec 26'!K12</f>
        <v>394268</v>
      </c>
      <c r="C2053" s="2" t="s">
        <v>594</v>
      </c>
      <c r="D2053" s="2" t="str">
        <f t="shared" si="31"/>
        <v>Error?</v>
      </c>
    </row>
    <row r="2054" spans="1:4" x14ac:dyDescent="0.2">
      <c r="A2054" s="5">
        <v>1993</v>
      </c>
      <c r="B2054" s="138">
        <f>'Cap Outlay Deprec 26'!K13</f>
        <v>885378</v>
      </c>
      <c r="C2054" s="2" t="s">
        <v>594</v>
      </c>
      <c r="D2054" s="2" t="str">
        <f t="shared" si="31"/>
        <v>Error?</v>
      </c>
    </row>
    <row r="2055" spans="1:4" x14ac:dyDescent="0.2">
      <c r="A2055" s="5">
        <v>1994</v>
      </c>
      <c r="B2055" s="138">
        <f>'Cap Outlay Deprec 26'!K16</f>
        <v>30317575</v>
      </c>
      <c r="C2055" s="2" t="s">
        <v>594</v>
      </c>
      <c r="D2055" s="2" t="str">
        <f t="shared" si="31"/>
        <v>Error?</v>
      </c>
    </row>
    <row r="2056" spans="1:4" x14ac:dyDescent="0.2">
      <c r="A2056" s="5">
        <v>1995</v>
      </c>
      <c r="B2056" s="138">
        <f>'Cap Outlay Deprec 26'!L5</f>
        <v>881764</v>
      </c>
      <c r="C2056" s="2" t="s">
        <v>594</v>
      </c>
      <c r="D2056" s="2" t="str">
        <f t="shared" si="31"/>
        <v>Error?</v>
      </c>
    </row>
    <row r="2057" spans="1:4" x14ac:dyDescent="0.2">
      <c r="A2057" s="5">
        <v>1996</v>
      </c>
      <c r="B2057" s="138">
        <f>'Cap Outlay Deprec 26'!L8</f>
        <v>57996516</v>
      </c>
      <c r="C2057" s="2" t="s">
        <v>594</v>
      </c>
      <c r="D2057" s="2" t="str">
        <f t="shared" si="31"/>
        <v>Error?</v>
      </c>
    </row>
    <row r="2058" spans="1:4" x14ac:dyDescent="0.2">
      <c r="A2058" s="5">
        <v>1997</v>
      </c>
      <c r="B2058" s="138">
        <f>'Cap Outlay Deprec 26'!L10</f>
        <v>13708734</v>
      </c>
      <c r="C2058" s="2" t="s">
        <v>594</v>
      </c>
      <c r="D2058" s="2" t="str">
        <f t="shared" si="31"/>
        <v>Error?</v>
      </c>
    </row>
    <row r="2059" spans="1:4" x14ac:dyDescent="0.2">
      <c r="A2059" s="5">
        <v>1998</v>
      </c>
      <c r="B2059" s="138">
        <f>'Cap Outlay Deprec 26'!L12</f>
        <v>668515</v>
      </c>
      <c r="C2059" s="2" t="s">
        <v>594</v>
      </c>
      <c r="D2059" s="2" t="str">
        <f t="shared" si="31"/>
        <v>Error?</v>
      </c>
    </row>
    <row r="2060" spans="1:4" x14ac:dyDescent="0.2">
      <c r="A2060" s="5">
        <v>1999</v>
      </c>
      <c r="B2060" s="138">
        <f>'Cap Outlay Deprec 26'!L13</f>
        <v>141518</v>
      </c>
      <c r="C2060" s="2" t="s">
        <v>594</v>
      </c>
      <c r="D2060" s="2" t="str">
        <f t="shared" si="31"/>
        <v>Error?</v>
      </c>
    </row>
    <row r="2061" spans="1:4" x14ac:dyDescent="0.2">
      <c r="A2061" s="5">
        <v>2000</v>
      </c>
      <c r="B2061" s="138">
        <f>'Cap Outlay Deprec 26'!L16</f>
        <v>74054825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371532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448039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511622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21791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1783081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14231266</v>
      </c>
      <c r="C2551" s="2" t="s">
        <v>594</v>
      </c>
      <c r="D2551" s="2" t="str">
        <f t="shared" si="38"/>
        <v>Error?</v>
      </c>
    </row>
    <row r="2552" spans="1:4" x14ac:dyDescent="0.2">
      <c r="A2552" s="10">
        <v>2491</v>
      </c>
      <c r="D2552" s="2" t="str">
        <f t="shared" si="38"/>
        <v>OK</v>
      </c>
    </row>
    <row r="2553" spans="1:4" x14ac:dyDescent="0.2">
      <c r="A2553" s="5">
        <v>2492</v>
      </c>
      <c r="B2553" s="138">
        <f>'Acct Summary 7-8'!C6</f>
        <v>19883888</v>
      </c>
      <c r="C2553" s="2" t="s">
        <v>594</v>
      </c>
      <c r="D2553" s="2" t="str">
        <f t="shared" si="38"/>
        <v>Error?</v>
      </c>
    </row>
    <row r="2554" spans="1:4" x14ac:dyDescent="0.2">
      <c r="A2554" s="5">
        <v>2493</v>
      </c>
      <c r="B2554" s="138">
        <f>'Acct Summary 7-8'!C7</f>
        <v>5257750</v>
      </c>
      <c r="C2554" s="2" t="s">
        <v>594</v>
      </c>
      <c r="D2554" s="2" t="str">
        <f t="shared" si="38"/>
        <v>Error?</v>
      </c>
    </row>
    <row r="2555" spans="1:4" x14ac:dyDescent="0.2">
      <c r="A2555" s="5">
        <v>2494</v>
      </c>
      <c r="B2555" s="138">
        <f>'Acct Summary 7-8'!C8</f>
        <v>39372904</v>
      </c>
      <c r="C2555" s="2" t="s">
        <v>594</v>
      </c>
      <c r="D2555" s="2" t="str">
        <f t="shared" si="38"/>
        <v>Error?</v>
      </c>
    </row>
    <row r="2556" spans="1:4" x14ac:dyDescent="0.2">
      <c r="A2556" s="5">
        <v>2495</v>
      </c>
      <c r="B2556" s="138">
        <f>'Acct Summary 7-8'!C12</f>
        <v>23856138</v>
      </c>
      <c r="C2556" s="2" t="s">
        <v>594</v>
      </c>
      <c r="D2556" s="2" t="str">
        <f t="shared" si="38"/>
        <v>Error?</v>
      </c>
    </row>
    <row r="2557" spans="1:4" x14ac:dyDescent="0.2">
      <c r="A2557" s="5">
        <v>2496</v>
      </c>
      <c r="B2557" s="138">
        <f>'Acct Summary 7-8'!C13</f>
        <v>10570882</v>
      </c>
      <c r="C2557" s="2" t="s">
        <v>594</v>
      </c>
      <c r="D2557" s="2" t="str">
        <f t="shared" si="38"/>
        <v>Error?</v>
      </c>
    </row>
    <row r="2558" spans="1:4" x14ac:dyDescent="0.2">
      <c r="A2558" s="5">
        <v>2497</v>
      </c>
      <c r="B2558" s="138">
        <f>'Acct Summary 7-8'!C14</f>
        <v>212984</v>
      </c>
      <c r="C2558" s="2" t="s">
        <v>594</v>
      </c>
      <c r="D2558" s="2" t="str">
        <f t="shared" si="38"/>
        <v>Error?</v>
      </c>
    </row>
    <row r="2559" spans="1:4" x14ac:dyDescent="0.2">
      <c r="A2559" s="5">
        <v>2498</v>
      </c>
      <c r="B2559" s="138">
        <f>'Acct Summary 7-8'!C15</f>
        <v>448039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35088043</v>
      </c>
      <c r="C2561" s="2" t="s">
        <v>594</v>
      </c>
      <c r="D2561" s="2" t="str">
        <f t="shared" si="39"/>
        <v>Error?</v>
      </c>
    </row>
    <row r="2562" spans="1:4" x14ac:dyDescent="0.2">
      <c r="A2562" s="5">
        <v>2501</v>
      </c>
      <c r="B2562" s="138">
        <f>'Acct Summary 7-8'!C20</f>
        <v>4284861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2199136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2199136</v>
      </c>
      <c r="C2568" s="2" t="s">
        <v>594</v>
      </c>
      <c r="D2568" s="2" t="str">
        <f t="shared" si="39"/>
        <v>Error?</v>
      </c>
    </row>
    <row r="2569" spans="1:4" x14ac:dyDescent="0.2">
      <c r="A2569" s="5">
        <v>2508</v>
      </c>
      <c r="B2569" s="138">
        <f>'Acct Summary 7-8'!D13</f>
        <v>1882440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1882440</v>
      </c>
      <c r="C2573" s="2" t="s">
        <v>594</v>
      </c>
      <c r="D2573" s="2" t="str">
        <f t="shared" si="39"/>
        <v>Error?</v>
      </c>
    </row>
    <row r="2574" spans="1:4" x14ac:dyDescent="0.2">
      <c r="A2574" s="5">
        <v>2513</v>
      </c>
      <c r="B2574" s="138">
        <f>'Acct Summary 7-8'!D20</f>
        <v>316696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2161544</v>
      </c>
      <c r="C2591" s="2" t="s">
        <v>594</v>
      </c>
      <c r="D2591" s="2" t="str">
        <f t="shared" si="39"/>
        <v>Error?</v>
      </c>
    </row>
    <row r="2592" spans="1:4" x14ac:dyDescent="0.2">
      <c r="A2592" s="10">
        <v>2531</v>
      </c>
      <c r="D2592" s="2" t="str">
        <f t="shared" si="39"/>
        <v>OK</v>
      </c>
    </row>
    <row r="2593" spans="1:4" x14ac:dyDescent="0.2">
      <c r="A2593" s="5">
        <v>2532</v>
      </c>
      <c r="B2593" s="138">
        <f>'Acct Summary 7-8'!F6</f>
        <v>1485204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3646748</v>
      </c>
      <c r="C2595" s="2" t="s">
        <v>594</v>
      </c>
      <c r="D2595" s="2" t="str">
        <f t="shared" si="39"/>
        <v>Error?</v>
      </c>
    </row>
    <row r="2596" spans="1:4" x14ac:dyDescent="0.2">
      <c r="A2596" s="5">
        <v>2535</v>
      </c>
      <c r="B2596" s="138">
        <f>'Acct Summary 7-8'!F13</f>
        <v>1936174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1936174</v>
      </c>
      <c r="C2600" s="2" t="s">
        <v>594</v>
      </c>
      <c r="D2600" s="2" t="str">
        <f t="shared" si="39"/>
        <v>Error?</v>
      </c>
    </row>
    <row r="2601" spans="1:4" x14ac:dyDescent="0.2">
      <c r="A2601" s="5">
        <v>2540</v>
      </c>
      <c r="B2601" s="138">
        <f>'Acct Summary 7-8'!F20</f>
        <v>1710574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1195313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1195313</v>
      </c>
      <c r="C2606" s="2" t="s">
        <v>594</v>
      </c>
      <c r="D2606" s="2" t="str">
        <f t="shared" si="39"/>
        <v>Error?</v>
      </c>
    </row>
    <row r="2607" spans="1:4" x14ac:dyDescent="0.2">
      <c r="A2607" s="5">
        <v>2546</v>
      </c>
      <c r="B2607" s="138">
        <f>'Acct Summary 7-8'!G12</f>
        <v>514009</v>
      </c>
      <c r="C2607" s="2" t="s">
        <v>594</v>
      </c>
      <c r="D2607" s="2" t="str">
        <f t="shared" si="39"/>
        <v>Error?</v>
      </c>
    </row>
    <row r="2608" spans="1:4" x14ac:dyDescent="0.2">
      <c r="A2608" s="5">
        <v>2547</v>
      </c>
      <c r="B2608" s="138">
        <f>'Acct Summary 7-8'!G13</f>
        <v>586114</v>
      </c>
      <c r="C2608" s="2" t="s">
        <v>594</v>
      </c>
      <c r="D2608" s="2" t="str">
        <f t="shared" si="39"/>
        <v>Error?</v>
      </c>
    </row>
    <row r="2609" spans="1:4" x14ac:dyDescent="0.2">
      <c r="A2609" s="5">
        <v>2548</v>
      </c>
      <c r="B2609" s="138">
        <f>'Acct Summary 7-8'!G14</f>
        <v>887</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1101010</v>
      </c>
      <c r="C2612" s="2" t="s">
        <v>594</v>
      </c>
      <c r="D2612" s="2" t="str">
        <f t="shared" si="39"/>
        <v>Error?</v>
      </c>
    </row>
    <row r="2613" spans="1:4" x14ac:dyDescent="0.2">
      <c r="A2613" s="5">
        <v>2552</v>
      </c>
      <c r="B2613" s="138">
        <f>'Acct Summary 7-8'!G20</f>
        <v>94303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4580339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4580339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4559581</v>
      </c>
      <c r="C2634" s="2" t="s">
        <v>594</v>
      </c>
      <c r="D2634" s="2" t="str">
        <f t="shared" si="40"/>
        <v>Error?</v>
      </c>
    </row>
    <row r="2635" spans="1:4" x14ac:dyDescent="0.2">
      <c r="A2635" s="5">
        <v>2574</v>
      </c>
      <c r="B2635" s="138">
        <f>'Acct Summary 7-8'!E17</f>
        <v>4559581</v>
      </c>
      <c r="C2635" s="2" t="s">
        <v>594</v>
      </c>
      <c r="D2635" s="2" t="str">
        <f t="shared" si="40"/>
        <v>Error?</v>
      </c>
    </row>
    <row r="2636" spans="1:4" x14ac:dyDescent="0.2">
      <c r="A2636" s="5">
        <v>2575</v>
      </c>
      <c r="B2636" s="138">
        <f>'Acct Summary 7-8'!E20</f>
        <v>20758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669582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669582</v>
      </c>
      <c r="C2658" s="2" t="s">
        <v>594</v>
      </c>
      <c r="D2658" s="2" t="str">
        <f t="shared" si="40"/>
        <v>Error?</v>
      </c>
    </row>
    <row r="2659" spans="1:4" x14ac:dyDescent="0.2">
      <c r="A2659" s="5">
        <v>2598</v>
      </c>
      <c r="B2659" s="138">
        <f>'Acct Summary 7-8'!H13</f>
        <v>756437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756437</v>
      </c>
      <c r="C2661" s="2" t="s">
        <v>594</v>
      </c>
      <c r="D2661" s="2" t="str">
        <f t="shared" si="40"/>
        <v>Error?</v>
      </c>
    </row>
    <row r="2662" spans="1:4" x14ac:dyDescent="0.2">
      <c r="A2662" s="5">
        <v>2601</v>
      </c>
      <c r="B2662" s="138">
        <f>'Acct Summary 7-8'!H20</f>
        <v>-86855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408197</v>
      </c>
      <c r="D2718" s="2" t="str">
        <f t="shared" si="41"/>
        <v>Error?</v>
      </c>
    </row>
    <row r="2719" spans="1:4" x14ac:dyDescent="0.2">
      <c r="A2719" s="5">
        <v>2658</v>
      </c>
      <c r="B2719" s="138">
        <f>'Expenditures 15-22'!D51</f>
        <v>47881</v>
      </c>
      <c r="D2719" s="2" t="str">
        <f t="shared" si="41"/>
        <v>Error?</v>
      </c>
    </row>
    <row r="2720" spans="1:4" x14ac:dyDescent="0.2">
      <c r="A2720" s="5">
        <v>2659</v>
      </c>
      <c r="B2720" s="138">
        <f>'Expenditures 15-22'!E51</f>
        <v>3718</v>
      </c>
      <c r="D2720" s="2" t="str">
        <f t="shared" si="41"/>
        <v>Error?</v>
      </c>
    </row>
    <row r="2721" spans="1:4" x14ac:dyDescent="0.2">
      <c r="A2721" s="5">
        <v>2660</v>
      </c>
      <c r="B2721" s="138">
        <f>'Expenditures 15-22'!F51</f>
        <v>9476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469272</v>
      </c>
      <c r="C2724" s="2" t="s">
        <v>594</v>
      </c>
      <c r="D2724" s="2" t="str">
        <f t="shared" si="41"/>
        <v>Error?</v>
      </c>
    </row>
    <row r="2725" spans="1:4" x14ac:dyDescent="0.2">
      <c r="A2725" s="5">
        <v>2664</v>
      </c>
      <c r="B2725" s="138">
        <f>'Expenditures 15-22'!D247</f>
        <v>6471</v>
      </c>
      <c r="D2725" s="2" t="str">
        <f t="shared" si="41"/>
        <v>Error?</v>
      </c>
    </row>
    <row r="2726" spans="1:4" x14ac:dyDescent="0.2">
      <c r="A2726" s="5">
        <v>2665</v>
      </c>
      <c r="B2726" s="138">
        <f>'Expenditures 15-22'!K247</f>
        <v>6471</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76507</v>
      </c>
      <c r="C2789" s="2" t="s">
        <v>594</v>
      </c>
      <c r="D2789" s="2" t="str">
        <f t="shared" si="42"/>
        <v>Error?</v>
      </c>
    </row>
    <row r="2790" spans="1:4" x14ac:dyDescent="0.2">
      <c r="A2790" s="5">
        <v>2729</v>
      </c>
      <c r="B2790" s="138">
        <f>'Expenditures 15-22'!E102</f>
        <v>76507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1939</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69992</v>
      </c>
      <c r="D2862" s="2" t="str">
        <f t="shared" si="43"/>
        <v>Error?</v>
      </c>
    </row>
    <row r="2863" spans="1:4" x14ac:dyDescent="0.2">
      <c r="A2863" s="10">
        <v>2802</v>
      </c>
      <c r="D2863" s="2" t="str">
        <f t="shared" si="43"/>
        <v>OK</v>
      </c>
    </row>
    <row r="2864" spans="1:4" x14ac:dyDescent="0.2">
      <c r="A2864" s="5">
        <v>2803</v>
      </c>
      <c r="B2864" s="138">
        <f>'Assets-Liab 5-6'!M20</f>
        <v>113757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101760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1937320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10000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425390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88891</v>
      </c>
      <c r="D2908" s="2" t="str">
        <f t="shared" si="44"/>
        <v>Error?</v>
      </c>
    </row>
    <row r="2909" spans="1:4" x14ac:dyDescent="0.2">
      <c r="A2909" s="10">
        <v>2848</v>
      </c>
      <c r="D2909" s="2" t="str">
        <f t="shared" si="44"/>
        <v>OK</v>
      </c>
    </row>
    <row r="2910" spans="1:4" x14ac:dyDescent="0.2">
      <c r="A2910" s="5">
        <v>2849</v>
      </c>
      <c r="B2910" s="138">
        <f>'Assets-Liab 5-6'!I34</f>
        <v>88891</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1848429</v>
      </c>
      <c r="D2912" s="2" t="str">
        <f t="shared" si="44"/>
        <v>Error?</v>
      </c>
    </row>
    <row r="2913" spans="1:4" x14ac:dyDescent="0.2">
      <c r="A2913" s="5">
        <v>2852</v>
      </c>
      <c r="B2913" s="138">
        <f>'Assets-Liab 5-6'!I41</f>
        <v>1937320</v>
      </c>
      <c r="C2913" s="2" t="s">
        <v>594</v>
      </c>
      <c r="D2913" s="2" t="str">
        <f t="shared" si="44"/>
        <v>Error?</v>
      </c>
    </row>
    <row r="2914" spans="1:4" x14ac:dyDescent="0.2">
      <c r="A2914" s="5">
        <v>2853</v>
      </c>
      <c r="B2914" s="138">
        <f>'Assets-Liab 5-6'!L33</f>
        <v>425390</v>
      </c>
      <c r="D2914" s="2" t="str">
        <f t="shared" si="44"/>
        <v>Error?</v>
      </c>
    </row>
    <row r="2915" spans="1:4" x14ac:dyDescent="0.2">
      <c r="A2915" s="10">
        <v>2854</v>
      </c>
      <c r="D2915" s="2" t="str">
        <f t="shared" si="44"/>
        <v>OK</v>
      </c>
    </row>
    <row r="2916" spans="1:4" x14ac:dyDescent="0.2">
      <c r="A2916" s="5">
        <v>2855</v>
      </c>
      <c r="B2916" s="138">
        <f>'Assets-Liab 5-6'!L34</f>
        <v>425390</v>
      </c>
      <c r="C2916" s="2" t="s">
        <v>594</v>
      </c>
      <c r="D2916" s="2" t="str">
        <f t="shared" si="44"/>
        <v>Error?</v>
      </c>
    </row>
    <row r="2917" spans="1:4" x14ac:dyDescent="0.2">
      <c r="A2917" s="5">
        <v>2856</v>
      </c>
      <c r="B2917" s="138">
        <f>'Assets-Liab 5-6'!L41</f>
        <v>425390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76507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104505</v>
      </c>
      <c r="D2956" s="2" t="str">
        <f t="shared" si="45"/>
        <v>Error?</v>
      </c>
    </row>
    <row r="2957" spans="1:4" x14ac:dyDescent="0.2">
      <c r="A2957" s="5">
        <v>2896</v>
      </c>
      <c r="B2957" s="138">
        <f>'Expenditures 15-22'!H80</f>
        <v>5606</v>
      </c>
      <c r="D2957" s="2" t="str">
        <f t="shared" si="45"/>
        <v>Error?</v>
      </c>
    </row>
    <row r="2958" spans="1:4" x14ac:dyDescent="0.2">
      <c r="A2958" s="5">
        <v>2897</v>
      </c>
      <c r="B2958" s="138">
        <f>'Expenditures 15-22'!H81</f>
        <v>261421</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181012</v>
      </c>
      <c r="C2974" s="2" t="s">
        <v>594</v>
      </c>
      <c r="D2974" s="2" t="str">
        <f t="shared" si="45"/>
        <v>Error?</v>
      </c>
    </row>
    <row r="2975" spans="1:4" x14ac:dyDescent="0.2">
      <c r="A2975" s="5">
        <v>2914</v>
      </c>
      <c r="B2975" s="138">
        <f>'Expenditures 15-22'!K80</f>
        <v>5606</v>
      </c>
      <c r="C2975" s="2" t="s">
        <v>594</v>
      </c>
      <c r="D2975" s="2" t="str">
        <f t="shared" si="45"/>
        <v>Error?</v>
      </c>
    </row>
    <row r="2976" spans="1:4" x14ac:dyDescent="0.2">
      <c r="A2976" s="5">
        <v>2915</v>
      </c>
      <c r="B2976" s="138">
        <f>'Expenditures 15-22'!K81</f>
        <v>261421</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20984</v>
      </c>
      <c r="D3055" s="2" t="str">
        <f t="shared" si="46"/>
        <v>Error?</v>
      </c>
    </row>
    <row r="3056" spans="1:4" x14ac:dyDescent="0.2">
      <c r="A3056" s="5">
        <v>2995</v>
      </c>
      <c r="B3056" s="138">
        <f>'Expenditures 15-22'!D10</f>
        <v>2336</v>
      </c>
      <c r="D3056" s="2" t="str">
        <f t="shared" si="46"/>
        <v>Error?</v>
      </c>
    </row>
    <row r="3057" spans="1:4" x14ac:dyDescent="0.2">
      <c r="A3057" s="5">
        <v>2996</v>
      </c>
      <c r="B3057" s="138">
        <f>'Expenditures 15-22'!E10</f>
        <v>177</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41244</v>
      </c>
      <c r="C3062" s="2" t="s">
        <v>594</v>
      </c>
      <c r="D3062" s="2" t="str">
        <f t="shared" si="46"/>
        <v>Error?</v>
      </c>
    </row>
    <row r="3063" spans="1:4" x14ac:dyDescent="0.2">
      <c r="A3063" s="10">
        <v>3002</v>
      </c>
      <c r="D3063" s="2" t="str">
        <f t="shared" si="46"/>
        <v>OK</v>
      </c>
    </row>
    <row r="3064" spans="1:4" x14ac:dyDescent="0.2">
      <c r="A3064" s="5">
        <v>3003</v>
      </c>
      <c r="B3064" s="138">
        <f>'Expenditures 15-22'!D219</f>
        <v>123</v>
      </c>
      <c r="D3064" s="2" t="str">
        <f t="shared" si="46"/>
        <v>Error?</v>
      </c>
    </row>
    <row r="3065" spans="1:4" x14ac:dyDescent="0.2">
      <c r="A3065" s="5">
        <v>3004</v>
      </c>
      <c r="B3065" s="138">
        <f>'Expenditures 15-22'!K219</f>
        <v>123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234232</v>
      </c>
      <c r="C3225" s="2" t="s">
        <v>594</v>
      </c>
      <c r="D3225" s="2" t="str">
        <f t="shared" si="49"/>
        <v>Error?</v>
      </c>
    </row>
    <row r="3226" spans="1:4" x14ac:dyDescent="0.2">
      <c r="A3226" s="5">
        <v>3165</v>
      </c>
      <c r="B3226" s="138">
        <f>'Acct Summary 7-8'!I8</f>
        <v>234232</v>
      </c>
      <c r="C3226" s="2" t="s">
        <v>594</v>
      </c>
      <c r="D3226" s="2" t="str">
        <f t="shared" si="49"/>
        <v>Error?</v>
      </c>
    </row>
    <row r="3227" spans="1:4" x14ac:dyDescent="0.2">
      <c r="A3227" s="5">
        <v>3166</v>
      </c>
      <c r="B3227" s="138">
        <f>'Acct Summary 7-8'!I20</f>
        <v>234232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4284861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316696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1710574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94303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20758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-86855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234232</v>
      </c>
      <c r="C3320" s="2" t="s">
        <v>594</v>
      </c>
      <c r="D3320" s="2" t="str">
        <f t="shared" si="50"/>
        <v>Error?</v>
      </c>
    </row>
    <row r="3321" spans="1:4" x14ac:dyDescent="0.2">
      <c r="A3321" s="5">
        <v>3260</v>
      </c>
      <c r="B3321" s="138">
        <f>'Acct Summary 7-8'!I79</f>
        <v>1614197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1848429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4470217</v>
      </c>
      <c r="D3366" s="2" t="str">
        <f t="shared" si="51"/>
        <v>Error?</v>
      </c>
    </row>
    <row r="3367" spans="1:4" x14ac:dyDescent="0.2">
      <c r="A3367" s="5">
        <v>3306</v>
      </c>
      <c r="B3367" s="138">
        <f>'Expenditures 15-22'!C19</f>
        <v>371570</v>
      </c>
      <c r="D3367" s="2" t="str">
        <f t="shared" si="51"/>
        <v>Error?</v>
      </c>
    </row>
    <row r="3368" spans="1:4" x14ac:dyDescent="0.2">
      <c r="A3368" s="5">
        <v>3307</v>
      </c>
      <c r="B3368" s="138">
        <f>'Expenditures 15-22'!D8</f>
        <v>550097</v>
      </c>
      <c r="D3368" s="2" t="str">
        <f t="shared" si="51"/>
        <v>Error?</v>
      </c>
    </row>
    <row r="3369" spans="1:4" x14ac:dyDescent="0.2">
      <c r="A3369" s="5">
        <v>3308</v>
      </c>
      <c r="B3369" s="138">
        <f>'Expenditures 15-22'!D19</f>
        <v>29602</v>
      </c>
      <c r="D3369" s="2" t="str">
        <f t="shared" si="51"/>
        <v>Error?</v>
      </c>
    </row>
    <row r="3370" spans="1:4" x14ac:dyDescent="0.2">
      <c r="A3370" s="5">
        <v>3309</v>
      </c>
      <c r="B3370" s="138">
        <f>'Expenditures 15-22'!E8</f>
        <v>4784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4921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5031155</v>
      </c>
      <c r="C3380" s="2" t="s">
        <v>594</v>
      </c>
      <c r="D3380" s="2" t="str">
        <f t="shared" si="51"/>
        <v>Error?</v>
      </c>
    </row>
    <row r="3381" spans="1:4" x14ac:dyDescent="0.2">
      <c r="A3381" s="5">
        <v>3320</v>
      </c>
      <c r="B3381" s="138">
        <f>'Expenditures 15-22'!K19</f>
        <v>401172</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201132</v>
      </c>
      <c r="D3387" s="2" t="str">
        <f t="shared" si="51"/>
        <v>Error?</v>
      </c>
    </row>
    <row r="3388" spans="1:4" x14ac:dyDescent="0.2">
      <c r="A3388" s="5">
        <v>3327</v>
      </c>
      <c r="B3388" s="138">
        <f>'Expenditures 15-22'!D217</f>
        <v>262214</v>
      </c>
      <c r="D3388" s="2" t="str">
        <f t="shared" si="51"/>
        <v>Error?</v>
      </c>
    </row>
    <row r="3389" spans="1:4" x14ac:dyDescent="0.2">
      <c r="A3389" s="5">
        <v>3328</v>
      </c>
      <c r="B3389" s="138">
        <f>'Expenditures 15-22'!D228</f>
        <v>8712</v>
      </c>
      <c r="D3389" s="2" t="str">
        <f t="shared" si="51"/>
        <v>Error?</v>
      </c>
    </row>
    <row r="3390" spans="1:4" x14ac:dyDescent="0.2">
      <c r="A3390" s="5">
        <v>3329</v>
      </c>
      <c r="B3390" s="138">
        <f>'Expenditures 15-22'!K215</f>
        <v>201132</v>
      </c>
      <c r="C3390" s="2" t="s">
        <v>594</v>
      </c>
      <c r="D3390" s="2" t="str">
        <f t="shared" si="51"/>
        <v>Error?</v>
      </c>
    </row>
    <row r="3391" spans="1:4" x14ac:dyDescent="0.2">
      <c r="A3391" s="5">
        <v>3330</v>
      </c>
      <c r="B3391" s="138">
        <f>'Expenditures 15-22'!K217</f>
        <v>262214</v>
      </c>
      <c r="C3391" s="2" t="s">
        <v>594</v>
      </c>
      <c r="D3391" s="2" t="str">
        <f t="shared" ref="D3391:D3454" si="52">IF(ISBLANK(B3391),"OK",IF(A3391-B3391=0,"OK","Error?"))</f>
        <v>Error?</v>
      </c>
    </row>
    <row r="3392" spans="1:4" x14ac:dyDescent="0.2">
      <c r="A3392" s="5">
        <v>3331</v>
      </c>
      <c r="B3392" s="138">
        <f>'Expenditures 15-22'!K228</f>
        <v>8712</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2219577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2400288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862827</v>
      </c>
      <c r="D3417" s="2" t="str">
        <f t="shared" si="52"/>
        <v>Error?</v>
      </c>
    </row>
    <row r="3418" spans="1:4" x14ac:dyDescent="0.2">
      <c r="A3418" s="10">
        <v>3357</v>
      </c>
      <c r="D3418" s="2" t="str">
        <f t="shared" si="52"/>
        <v>OK</v>
      </c>
    </row>
    <row r="3419" spans="1:4" x14ac:dyDescent="0.2">
      <c r="A3419" s="5">
        <v>3358</v>
      </c>
      <c r="B3419" s="138">
        <f>'Assets-Liab 5-6'!F4</f>
        <v>2939242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1633714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466506</v>
      </c>
      <c r="D3425" s="2" t="str">
        <f t="shared" si="52"/>
        <v>Error?</v>
      </c>
    </row>
    <row r="3426" spans="1:4" x14ac:dyDescent="0.2">
      <c r="A3426" s="10">
        <v>3365</v>
      </c>
      <c r="D3426" s="2" t="str">
        <f t="shared" si="52"/>
        <v>OK</v>
      </c>
    </row>
    <row r="3427" spans="1:4" x14ac:dyDescent="0.2">
      <c r="A3427" s="5">
        <v>3366</v>
      </c>
      <c r="B3427" s="138">
        <f>'Assets-Liab 5-6'!I4</f>
        <v>1835560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415390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623215</v>
      </c>
      <c r="C3446" s="2" t="s">
        <v>594</v>
      </c>
      <c r="D3446" s="2" t="str">
        <f t="shared" si="52"/>
        <v>Error?</v>
      </c>
    </row>
    <row r="3447" spans="1:4" x14ac:dyDescent="0.2">
      <c r="A3447" s="5">
        <v>3386</v>
      </c>
      <c r="B3447" s="138">
        <f>'Tax Sched 23'!D16</f>
        <v>307304</v>
      </c>
      <c r="C3447" s="2" t="s">
        <v>594</v>
      </c>
      <c r="D3447" s="2" t="str">
        <f t="shared" si="52"/>
        <v>Error?</v>
      </c>
    </row>
    <row r="3448" spans="1:4" x14ac:dyDescent="0.2">
      <c r="A3448" s="5">
        <v>3387</v>
      </c>
      <c r="B3448" s="138">
        <f>'Tax Sched 23'!C16</f>
        <v>315911</v>
      </c>
      <c r="D3448" s="2" t="str">
        <f t="shared" si="52"/>
        <v>Error?</v>
      </c>
    </row>
    <row r="3449" spans="1:4" x14ac:dyDescent="0.2">
      <c r="A3449" s="5">
        <v>3388</v>
      </c>
      <c r="B3449" s="138">
        <f>'Tax Sched 23'!F16</f>
        <v>292572</v>
      </c>
      <c r="C3449" s="2" t="s">
        <v>594</v>
      </c>
      <c r="D3449" s="2" t="str">
        <f t="shared" si="52"/>
        <v>Error?</v>
      </c>
    </row>
    <row r="3450" spans="1:4" x14ac:dyDescent="0.2">
      <c r="A3450" s="5">
        <v>3389</v>
      </c>
      <c r="B3450" s="138">
        <f>'Tax Sched 23'!E16</f>
        <v>608483</v>
      </c>
      <c r="D3450" s="2" t="str">
        <f t="shared" si="52"/>
        <v>Error?</v>
      </c>
    </row>
    <row r="3451" spans="1:4" x14ac:dyDescent="0.2">
      <c r="A3451" s="5">
        <v>3390</v>
      </c>
      <c r="B3451" s="138">
        <f>'Cap Outlay Deprec 26'!C15</f>
        <v>660847</v>
      </c>
      <c r="D3451" s="2" t="str">
        <f t="shared" si="52"/>
        <v>Error?</v>
      </c>
    </row>
    <row r="3452" spans="1:4" x14ac:dyDescent="0.2">
      <c r="A3452" s="5">
        <v>3391</v>
      </c>
      <c r="B3452" s="138">
        <f>'Cap Outlay Deprec 26'!D15</f>
        <v>804483</v>
      </c>
      <c r="D3452" s="2" t="str">
        <f t="shared" si="52"/>
        <v>Error?</v>
      </c>
    </row>
    <row r="3453" spans="1:4" x14ac:dyDescent="0.2">
      <c r="A3453" s="5">
        <v>3392</v>
      </c>
      <c r="B3453" s="138">
        <f>'Cap Outlay Deprec 26'!E15</f>
        <v>1351573</v>
      </c>
      <c r="D3453" s="2" t="str">
        <f t="shared" si="52"/>
        <v>Error?</v>
      </c>
    </row>
    <row r="3454" spans="1:4" x14ac:dyDescent="0.2">
      <c r="A3454" s="5">
        <v>3393</v>
      </c>
      <c r="B3454" s="138">
        <f>'Cap Outlay Deprec 26'!F15</f>
        <v>113757</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113757</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810886</v>
      </c>
      <c r="D3546" s="2" t="str">
        <f t="shared" si="54"/>
        <v>Error?</v>
      </c>
    </row>
    <row r="3547" spans="1:4" x14ac:dyDescent="0.2">
      <c r="A3547" s="10">
        <v>3486</v>
      </c>
      <c r="D3547" s="2" t="str">
        <f t="shared" si="54"/>
        <v>OK</v>
      </c>
    </row>
    <row r="3548" spans="1:4" x14ac:dyDescent="0.2">
      <c r="A3548" s="5">
        <v>3487</v>
      </c>
      <c r="B3548" s="138">
        <f>'Assets-Liab 5-6'!K6</f>
        <v>101760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912646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88891</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88891</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823755</v>
      </c>
      <c r="D3567" s="2" t="str">
        <f t="shared" si="54"/>
        <v>Error?</v>
      </c>
    </row>
    <row r="3568" spans="1:4" x14ac:dyDescent="0.2">
      <c r="A3568" s="5">
        <v>3507</v>
      </c>
      <c r="B3568" s="138">
        <f>'Assets-Liab 5-6'!K41</f>
        <v>912646</v>
      </c>
      <c r="C3568" s="2" t="s">
        <v>594</v>
      </c>
      <c r="D3568" s="2" t="str">
        <f t="shared" si="54"/>
        <v>Error?</v>
      </c>
    </row>
    <row r="3569" spans="1:4" x14ac:dyDescent="0.2">
      <c r="A3569" s="5">
        <v>3508</v>
      </c>
      <c r="B3569" s="138">
        <f>'Acct Summary 7-8'!K4</f>
        <v>218836</v>
      </c>
      <c r="C3569" s="2" t="s">
        <v>594</v>
      </c>
      <c r="D3569" s="2" t="str">
        <f t="shared" si="54"/>
        <v>Error?</v>
      </c>
    </row>
    <row r="3570" spans="1:4" x14ac:dyDescent="0.2">
      <c r="A3570" s="5">
        <v>3509</v>
      </c>
      <c r="B3570" s="138">
        <f>'Acct Summary 7-8'!K6</f>
        <v>238000</v>
      </c>
      <c r="C3570" s="2" t="s">
        <v>594</v>
      </c>
      <c r="D3570" s="2" t="str">
        <f t="shared" si="54"/>
        <v>Error?</v>
      </c>
    </row>
    <row r="3571" spans="1:4" x14ac:dyDescent="0.2">
      <c r="A3571" s="5">
        <v>3510</v>
      </c>
      <c r="B3571" s="138">
        <f>'Acct Summary 7-8'!K8</f>
        <v>456836</v>
      </c>
      <c r="C3571" s="2" t="s">
        <v>594</v>
      </c>
      <c r="D3571" s="2" t="str">
        <f t="shared" si="54"/>
        <v>Error?</v>
      </c>
    </row>
    <row r="3572" spans="1:4" x14ac:dyDescent="0.2">
      <c r="A3572" s="5">
        <v>3511</v>
      </c>
      <c r="B3572" s="138">
        <f>'Acct Summary 7-8'!K13</f>
        <v>11634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11634</v>
      </c>
      <c r="C3575" s="2" t="s">
        <v>594</v>
      </c>
      <c r="D3575" s="2" t="str">
        <f t="shared" si="54"/>
        <v>Error?</v>
      </c>
    </row>
    <row r="3576" spans="1:4" x14ac:dyDescent="0.2">
      <c r="A3576" s="5">
        <v>3515</v>
      </c>
      <c r="B3576" s="138">
        <f>'Acct Summary 7-8'!K20</f>
        <v>445202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445202</v>
      </c>
      <c r="C3588" s="2" t="s">
        <v>594</v>
      </c>
      <c r="D3588" s="2" t="str">
        <f t="shared" si="55"/>
        <v>Error?</v>
      </c>
    </row>
    <row r="3589" spans="1:4" x14ac:dyDescent="0.2">
      <c r="A3589" s="5">
        <v>3528</v>
      </c>
      <c r="B3589" s="138">
        <f>'Acct Summary 7-8'!K79</f>
        <v>378553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823755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11634</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11634</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11634</v>
      </c>
      <c r="C3649" s="2" t="s">
        <v>594</v>
      </c>
      <c r="D3649" s="2" t="str">
        <f t="shared" si="56"/>
        <v>Error?</v>
      </c>
    </row>
    <row r="3650" spans="1:4" x14ac:dyDescent="0.2">
      <c r="A3650" s="5">
        <v>3589</v>
      </c>
      <c r="B3650" s="138">
        <f>'Expenditures 15-22'!G367</f>
        <v>11634</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11634</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11634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11634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11634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445202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207378</v>
      </c>
      <c r="C3725" s="2" t="s">
        <v>594</v>
      </c>
      <c r="D3725" s="2" t="str">
        <f t="shared" si="57"/>
        <v>Error?</v>
      </c>
    </row>
    <row r="3726" spans="1:4" x14ac:dyDescent="0.2">
      <c r="A3726" s="5">
        <v>3665</v>
      </c>
      <c r="B3726" s="138">
        <f>'Tax Sched 23'!D13</f>
        <v>97492</v>
      </c>
      <c r="C3726" s="2" t="s">
        <v>594</v>
      </c>
      <c r="D3726" s="2" t="str">
        <f t="shared" si="57"/>
        <v>Error?</v>
      </c>
    </row>
    <row r="3727" spans="1:4" x14ac:dyDescent="0.2">
      <c r="A3727" s="5">
        <v>3666</v>
      </c>
      <c r="B3727" s="138">
        <f>'Tax Sched 23'!C13</f>
        <v>109886</v>
      </c>
      <c r="D3727" s="2" t="str">
        <f t="shared" si="57"/>
        <v>Error?</v>
      </c>
    </row>
    <row r="3728" spans="1:4" x14ac:dyDescent="0.2">
      <c r="A3728" s="5">
        <v>3667</v>
      </c>
      <c r="B3728" s="138">
        <f>'Tax Sched 23'!F13</f>
        <v>101760</v>
      </c>
      <c r="C3728" s="2" t="s">
        <v>594</v>
      </c>
      <c r="D3728" s="2" t="str">
        <f t="shared" si="57"/>
        <v>Error?</v>
      </c>
    </row>
    <row r="3729" spans="1:4" x14ac:dyDescent="0.2">
      <c r="A3729" s="5">
        <v>3668</v>
      </c>
      <c r="B3729" s="138">
        <f>'Tax Sched 23'!E13</f>
        <v>211646</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17775428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57148332</v>
      </c>
      <c r="C4122" s="2" t="s">
        <v>594</v>
      </c>
      <c r="D4122" s="2" t="str">
        <f t="shared" si="63"/>
        <v>Error?</v>
      </c>
    </row>
    <row r="4123" spans="1:4" x14ac:dyDescent="0.2">
      <c r="A4123" s="5">
        <v>4062</v>
      </c>
      <c r="B4123" s="138">
        <f>'Acct Summary 7-8'!D10</f>
        <v>2199136</v>
      </c>
      <c r="C4123" s="2" t="s">
        <v>594</v>
      </c>
      <c r="D4123" s="2" t="str">
        <f t="shared" si="63"/>
        <v>Error?</v>
      </c>
    </row>
    <row r="4124" spans="1:4" x14ac:dyDescent="0.2">
      <c r="A4124" s="5">
        <v>4063</v>
      </c>
      <c r="B4124" s="138">
        <f>'Acct Summary 7-8'!E10</f>
        <v>4580339</v>
      </c>
      <c r="C4124" s="2" t="s">
        <v>594</v>
      </c>
      <c r="D4124" s="2" t="str">
        <f t="shared" si="63"/>
        <v>Error?</v>
      </c>
    </row>
    <row r="4125" spans="1:4" x14ac:dyDescent="0.2">
      <c r="A4125" s="5">
        <v>4064</v>
      </c>
      <c r="B4125" s="138">
        <f>'Acct Summary 7-8'!F10</f>
        <v>3646748</v>
      </c>
      <c r="C4125" s="2" t="s">
        <v>594</v>
      </c>
      <c r="D4125" s="2" t="str">
        <f t="shared" si="63"/>
        <v>Error?</v>
      </c>
    </row>
    <row r="4126" spans="1:4" x14ac:dyDescent="0.2">
      <c r="A4126" s="5">
        <v>4065</v>
      </c>
      <c r="B4126" s="138">
        <f>'Acct Summary 7-8'!G10</f>
        <v>1195313</v>
      </c>
      <c r="C4126" s="2" t="s">
        <v>594</v>
      </c>
      <c r="D4126" s="2" t="str">
        <f t="shared" si="63"/>
        <v>Error?</v>
      </c>
    </row>
    <row r="4127" spans="1:4" x14ac:dyDescent="0.2">
      <c r="A4127" s="5">
        <v>4066</v>
      </c>
      <c r="B4127" s="138">
        <f>'Acct Summary 7-8'!H10</f>
        <v>669582</v>
      </c>
      <c r="C4127" s="2" t="s">
        <v>594</v>
      </c>
      <c r="D4127" s="2" t="str">
        <f t="shared" si="63"/>
        <v>Error?</v>
      </c>
    </row>
    <row r="4128" spans="1:4" x14ac:dyDescent="0.2">
      <c r="A4128" s="5">
        <v>4067</v>
      </c>
      <c r="B4128" s="138">
        <f>'Acct Summary 7-8'!I10</f>
        <v>234232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456836</v>
      </c>
      <c r="C4130" s="2" t="s">
        <v>594</v>
      </c>
      <c r="D4130" s="2" t="str">
        <f t="shared" si="63"/>
        <v>Error?</v>
      </c>
    </row>
    <row r="4131" spans="1:4" x14ac:dyDescent="0.2">
      <c r="A4131" s="5">
        <v>4070</v>
      </c>
      <c r="B4131" s="138">
        <f>'Acct Summary 7-8'!C18</f>
        <v>17775428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52863471</v>
      </c>
      <c r="C4136" s="2" t="s">
        <v>594</v>
      </c>
      <c r="D4136" s="2" t="str">
        <f t="shared" si="63"/>
        <v>Error?</v>
      </c>
    </row>
    <row r="4137" spans="1:4" x14ac:dyDescent="0.2">
      <c r="A4137" s="5">
        <v>4076</v>
      </c>
      <c r="B4137" s="138">
        <f>'Acct Summary 7-8'!D19</f>
        <v>1882440</v>
      </c>
      <c r="C4137" s="2" t="s">
        <v>594</v>
      </c>
      <c r="D4137" s="2" t="str">
        <f t="shared" si="63"/>
        <v>Error?</v>
      </c>
    </row>
    <row r="4138" spans="1:4" x14ac:dyDescent="0.2">
      <c r="A4138" s="5">
        <v>4077</v>
      </c>
      <c r="B4138" s="138">
        <f>'Acct Summary 7-8'!E19</f>
        <v>4559581</v>
      </c>
      <c r="C4138" s="2" t="s">
        <v>594</v>
      </c>
      <c r="D4138" s="2" t="str">
        <f t="shared" si="63"/>
        <v>Error?</v>
      </c>
    </row>
    <row r="4139" spans="1:4" x14ac:dyDescent="0.2">
      <c r="A4139" s="5">
        <v>4078</v>
      </c>
      <c r="B4139" s="138">
        <f>'Acct Summary 7-8'!F19</f>
        <v>1936174</v>
      </c>
      <c r="C4139" s="2" t="s">
        <v>594</v>
      </c>
      <c r="D4139" s="2" t="str">
        <f t="shared" si="63"/>
        <v>Error?</v>
      </c>
    </row>
    <row r="4140" spans="1:4" x14ac:dyDescent="0.2">
      <c r="A4140" s="5">
        <v>4079</v>
      </c>
      <c r="B4140" s="138">
        <f>'Acct Summary 7-8'!G19</f>
        <v>1101010</v>
      </c>
      <c r="C4140" s="2" t="s">
        <v>594</v>
      </c>
      <c r="D4140" s="2" t="str">
        <f t="shared" si="63"/>
        <v>Error?</v>
      </c>
    </row>
    <row r="4141" spans="1:4" x14ac:dyDescent="0.2">
      <c r="A4141" s="5">
        <v>4080</v>
      </c>
      <c r="B4141" s="138">
        <f>'Acct Summary 7-8'!H19</f>
        <v>756437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11634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46407741</v>
      </c>
      <c r="C4171" s="2" t="s">
        <v>594</v>
      </c>
      <c r="D4171" s="2" t="str">
        <f t="shared" si="64"/>
        <v>Error?</v>
      </c>
    </row>
    <row r="4172" spans="1:4" x14ac:dyDescent="0.2">
      <c r="A4172" s="5">
        <v>4111</v>
      </c>
      <c r="B4172" s="138">
        <f>'Short-Term Long-Term Debt 24'!J49</f>
        <v>42193758</v>
      </c>
      <c r="C4172" s="2" t="s">
        <v>594</v>
      </c>
      <c r="D4172" s="2" t="str">
        <f t="shared" si="64"/>
        <v>Error?</v>
      </c>
    </row>
    <row r="4173" spans="1:4" x14ac:dyDescent="0.2">
      <c r="A4173" s="5">
        <v>4112</v>
      </c>
      <c r="B4173" s="138">
        <f>'Short-Term Long-Term Debt 24'!H49</f>
        <v>2598583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2730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3429.9999999999995</v>
      </c>
      <c r="C4268" s="2" t="s">
        <v>594</v>
      </c>
      <c r="D4268" s="2" t="str">
        <f t="shared" si="65"/>
        <v>Error?</v>
      </c>
    </row>
    <row r="4269" spans="1:5" x14ac:dyDescent="0.2">
      <c r="A4269" s="12">
        <v>4208</v>
      </c>
      <c r="B4269" s="138">
        <f>'FP Info 3'!J16</f>
        <v>22277022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34564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200228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58049</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58049</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296459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178588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425420116</v>
      </c>
      <c r="D4995" s="2" t="str">
        <f t="shared" si="77"/>
        <v>Error?</v>
      </c>
    </row>
    <row r="4996" spans="1:4" x14ac:dyDescent="0.2">
      <c r="A4996" s="12">
        <v>4935</v>
      </c>
      <c r="B4996" s="138">
        <f>'FP Info 3'!H31</f>
        <v>58707976.008000001</v>
      </c>
      <c r="D4996" s="2" t="str">
        <f t="shared" si="77"/>
        <v>Error?</v>
      </c>
    </row>
    <row r="4997" spans="1:4" x14ac:dyDescent="0.2">
      <c r="A4997" s="12">
        <v>4936</v>
      </c>
      <c r="B4997" s="138">
        <f>'FP Info 3'!H37</f>
        <v>46407741</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211363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11539751</v>
      </c>
      <c r="D5061" s="2" t="str">
        <f t="shared" si="78"/>
        <v>Error?</v>
      </c>
    </row>
    <row r="5062" spans="1:4" x14ac:dyDescent="0.2">
      <c r="A5062" s="10">
        <v>5001</v>
      </c>
      <c r="D5062" s="2" t="str">
        <f t="shared" si="78"/>
        <v>OK</v>
      </c>
    </row>
    <row r="5063" spans="1:4" x14ac:dyDescent="0.2">
      <c r="A5063" s="5">
        <v>5002</v>
      </c>
      <c r="B5063" s="138">
        <f>'Revenues 9-14'!C7</f>
        <v>169075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11920189</v>
      </c>
      <c r="C5066" s="2" t="s">
        <v>594</v>
      </c>
      <c r="D5066" s="2" t="str">
        <f t="shared" si="78"/>
        <v>Error?</v>
      </c>
    </row>
    <row r="5067" spans="1:4" x14ac:dyDescent="0.2">
      <c r="A5067" s="5">
        <v>5006</v>
      </c>
      <c r="B5067" s="138">
        <f>'Revenues 9-14'!C14</f>
        <v>6432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1386953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1393385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119331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119331</v>
      </c>
      <c r="C5090" s="2" t="s">
        <v>594</v>
      </c>
      <c r="D5090" s="2" t="str">
        <f t="shared" si="78"/>
        <v>Error?</v>
      </c>
    </row>
    <row r="5091" spans="1:4" x14ac:dyDescent="0.2">
      <c r="A5091" s="5">
        <v>5030</v>
      </c>
      <c r="B5091" s="138">
        <f>'Revenues 9-14'!C70</f>
        <v>10775</v>
      </c>
      <c r="D5091" s="2" t="str">
        <f t="shared" si="78"/>
        <v>Error?</v>
      </c>
    </row>
    <row r="5092" spans="1:4" x14ac:dyDescent="0.2">
      <c r="A5092" s="5">
        <v>5031</v>
      </c>
      <c r="B5092" s="138">
        <f>'Revenues 9-14'!C71</f>
        <v>163599</v>
      </c>
      <c r="D5092" s="2" t="str">
        <f t="shared" si="78"/>
        <v>Error?</v>
      </c>
    </row>
    <row r="5093" spans="1:4" x14ac:dyDescent="0.2">
      <c r="A5093" s="5">
        <v>5032</v>
      </c>
      <c r="B5093" s="138">
        <f>'Revenues 9-14'!C72</f>
        <v>2090</v>
      </c>
      <c r="D5093" s="2" t="str">
        <f t="shared" si="78"/>
        <v>Error?</v>
      </c>
    </row>
    <row r="5094" spans="1:4" x14ac:dyDescent="0.2">
      <c r="A5094" s="5">
        <v>5033</v>
      </c>
      <c r="B5094" s="138">
        <f>'Revenues 9-14'!C73</f>
        <v>9040</v>
      </c>
      <c r="D5094" s="2" t="str">
        <f t="shared" si="78"/>
        <v>Error?</v>
      </c>
    </row>
    <row r="5095" spans="1:4" x14ac:dyDescent="0.2">
      <c r="A5095" s="5">
        <v>5034</v>
      </c>
      <c r="B5095" s="138">
        <f>'Revenues 9-14'!C74</f>
        <v>12475</v>
      </c>
      <c r="D5095" s="2" t="str">
        <f t="shared" si="78"/>
        <v>Error?</v>
      </c>
    </row>
    <row r="5096" spans="1:4" x14ac:dyDescent="0.2">
      <c r="A5096" s="5">
        <v>5035</v>
      </c>
      <c r="B5096" s="138">
        <f>'Revenues 9-14'!C75</f>
        <v>363318</v>
      </c>
      <c r="C5096" s="2" t="s">
        <v>594</v>
      </c>
      <c r="D5096" s="2" t="str">
        <f t="shared" si="78"/>
        <v>Error?</v>
      </c>
    </row>
    <row r="5097" spans="1:4" x14ac:dyDescent="0.2">
      <c r="A5097" s="5">
        <v>5036</v>
      </c>
      <c r="B5097" s="138">
        <f>'Revenues 9-14'!C77</f>
        <v>83066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34555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28566</v>
      </c>
      <c r="D5101" s="2" t="str">
        <f t="shared" si="78"/>
        <v>Error?</v>
      </c>
    </row>
    <row r="5102" spans="1:4" x14ac:dyDescent="0.2">
      <c r="A5102" s="5">
        <v>5041</v>
      </c>
      <c r="B5102" s="138">
        <f>'Revenues 9-14'!C82</f>
        <v>146187</v>
      </c>
      <c r="C5102" s="2" t="s">
        <v>594</v>
      </c>
      <c r="D5102" s="2" t="str">
        <f t="shared" si="78"/>
        <v>Error?</v>
      </c>
    </row>
    <row r="5103" spans="1:4" x14ac:dyDescent="0.2">
      <c r="A5103" s="5">
        <v>5042</v>
      </c>
      <c r="B5103" s="138">
        <f>'Revenues 9-14'!C84</f>
        <v>134398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134398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12164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155</v>
      </c>
      <c r="D5118" s="2" t="str">
        <f t="shared" si="78"/>
        <v>Error?</v>
      </c>
    </row>
    <row r="5119" spans="1:4" x14ac:dyDescent="0.2">
      <c r="A5119" s="5">
        <v>5058</v>
      </c>
      <c r="B5119" s="138">
        <f>'Revenues 9-14'!C107</f>
        <v>92269</v>
      </c>
      <c r="D5119" s="2" t="str">
        <f t="shared" ref="D5119:D5182" si="79">IF(ISBLANK(B5119),"OK",IF(A5119-B5119=0,"OK","Error?"))</f>
        <v>Error?</v>
      </c>
    </row>
    <row r="5120" spans="1:4" x14ac:dyDescent="0.2">
      <c r="A5120" s="5">
        <v>5059</v>
      </c>
      <c r="B5120" s="138">
        <f>'Revenues 9-14'!C108</f>
        <v>154458</v>
      </c>
      <c r="C5120" s="2" t="s">
        <v>594</v>
      </c>
      <c r="D5120" s="2" t="str">
        <f t="shared" si="79"/>
        <v>Error?</v>
      </c>
    </row>
    <row r="5121" spans="1:4" x14ac:dyDescent="0.2">
      <c r="A5121" s="5">
        <v>5060</v>
      </c>
      <c r="B5121" s="138">
        <f>'Revenues 9-14'!C109</f>
        <v>14231266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17863688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17863688</v>
      </c>
      <c r="C5132" s="2" t="s">
        <v>594</v>
      </c>
      <c r="D5132" s="2" t="str">
        <f t="shared" si="79"/>
        <v>Error?</v>
      </c>
    </row>
    <row r="5133" spans="1:4" x14ac:dyDescent="0.2">
      <c r="A5133" s="5">
        <v>5072</v>
      </c>
      <c r="B5133" s="138">
        <f>'Revenues 9-14'!C124</f>
        <v>222357</v>
      </c>
      <c r="D5133" s="2" t="str">
        <f t="shared" si="79"/>
        <v>Error?</v>
      </c>
    </row>
    <row r="5134" spans="1:4" x14ac:dyDescent="0.2">
      <c r="A5134" s="5">
        <v>5073</v>
      </c>
      <c r="B5134" s="138">
        <f>'Revenues 9-14'!C125</f>
        <v>153767</v>
      </c>
      <c r="D5134" s="2" t="str">
        <f t="shared" si="79"/>
        <v>Error?</v>
      </c>
    </row>
    <row r="5135" spans="1:4" x14ac:dyDescent="0.2">
      <c r="A5135" s="5">
        <v>5074</v>
      </c>
      <c r="B5135" s="138">
        <f>'Revenues 9-14'!C126</f>
        <v>4072</v>
      </c>
      <c r="D5135" s="2" t="str">
        <f t="shared" si="79"/>
        <v>Error?</v>
      </c>
    </row>
    <row r="5136" spans="1:4" x14ac:dyDescent="0.2">
      <c r="A5136" s="10">
        <v>5075</v>
      </c>
      <c r="D5136" s="2" t="str">
        <f t="shared" si="79"/>
        <v>OK</v>
      </c>
    </row>
    <row r="5137" spans="1:4" x14ac:dyDescent="0.2">
      <c r="A5137" s="5">
        <v>5076</v>
      </c>
      <c r="B5137" s="138">
        <f>'Revenues 9-14'!C127</f>
        <v>4050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11246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395492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4282</v>
      </c>
      <c r="C5161" s="2" t="s">
        <v>594</v>
      </c>
      <c r="D5161" s="2" t="str">
        <f t="shared" si="79"/>
        <v>Error?</v>
      </c>
    </row>
    <row r="5162" spans="1:4" x14ac:dyDescent="0.2">
      <c r="A5162" s="10">
        <v>5101</v>
      </c>
      <c r="D5162" s="2" t="str">
        <f t="shared" si="79"/>
        <v>OK</v>
      </c>
    </row>
    <row r="5163" spans="1:4" x14ac:dyDescent="0.2">
      <c r="A5163" s="5">
        <v>5102</v>
      </c>
      <c r="B5163" s="138">
        <f>'Revenues 9-14'!C142</f>
        <v>60113</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60113</v>
      </c>
      <c r="C5165" s="2" t="s">
        <v>594</v>
      </c>
      <c r="D5165" s="2" t="str">
        <f t="shared" si="79"/>
        <v>Error?</v>
      </c>
    </row>
    <row r="5166" spans="1:4" x14ac:dyDescent="0.2">
      <c r="A5166" s="10">
        <v>5105</v>
      </c>
      <c r="D5166" s="2" t="str">
        <f t="shared" si="79"/>
        <v>OK</v>
      </c>
    </row>
    <row r="5167" spans="1:4" x14ac:dyDescent="0.2">
      <c r="A5167" s="5">
        <v>5106</v>
      </c>
      <c r="B5167" s="138">
        <f>'Revenues 9-14'!C145</f>
        <v>26792</v>
      </c>
      <c r="D5167" s="2" t="str">
        <f t="shared" si="79"/>
        <v>Error?</v>
      </c>
    </row>
    <row r="5168" spans="1:4" x14ac:dyDescent="0.2">
      <c r="A5168" s="5">
        <v>5107</v>
      </c>
      <c r="B5168" s="138">
        <f>'Revenues 9-14'!C147</f>
        <v>24410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118072</v>
      </c>
      <c r="D5194" s="2" t="str">
        <f t="shared" si="80"/>
        <v>Error?</v>
      </c>
    </row>
    <row r="5195" spans="1:4" x14ac:dyDescent="0.2">
      <c r="A5195" s="10">
        <v>5134</v>
      </c>
      <c r="D5195" s="2" t="str">
        <f t="shared" si="80"/>
        <v>OK</v>
      </c>
    </row>
    <row r="5196" spans="1:4" x14ac:dyDescent="0.2">
      <c r="A5196" s="5">
        <v>5135</v>
      </c>
      <c r="B5196" s="138">
        <f>'Revenues 9-14'!C158</f>
        <v>1212451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2020200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19883888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1175861</v>
      </c>
      <c r="D5239" s="2" t="str">
        <f t="shared" si="80"/>
        <v>Error?</v>
      </c>
    </row>
    <row r="5240" spans="1:4" x14ac:dyDescent="0.2">
      <c r="A5240" s="5">
        <v>5179</v>
      </c>
      <c r="B5240" s="138">
        <f>'Revenues 9-14'!C195</f>
        <v>5432</v>
      </c>
      <c r="D5240" s="2" t="str">
        <f t="shared" si="80"/>
        <v>Error?</v>
      </c>
    </row>
    <row r="5241" spans="1:4" x14ac:dyDescent="0.2">
      <c r="A5241" s="5">
        <v>5180</v>
      </c>
      <c r="B5241" s="138">
        <f>'Revenues 9-14'!C196</f>
        <v>264895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1446188</v>
      </c>
      <c r="C5246" s="2" t="s">
        <v>594</v>
      </c>
      <c r="D5246" s="2" t="str">
        <f t="shared" si="80"/>
        <v>Error?</v>
      </c>
    </row>
    <row r="5247" spans="1:4" x14ac:dyDescent="0.2">
      <c r="A5247" s="5">
        <v>5186</v>
      </c>
      <c r="B5247" s="138">
        <f>'Revenues 9-14'!C203</f>
        <v>2094657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2094657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17404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1022867</v>
      </c>
      <c r="D5278" s="2" t="str">
        <f t="shared" si="81"/>
        <v>Error?</v>
      </c>
    </row>
    <row r="5279" spans="1:4" x14ac:dyDescent="0.2">
      <c r="A5279" s="5">
        <v>5218</v>
      </c>
      <c r="B5279" s="138">
        <f>'Revenues 9-14'!C221</f>
        <v>87334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1127605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5257750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5257750</v>
      </c>
      <c r="C5326" s="2" t="s">
        <v>594</v>
      </c>
      <c r="D5326" s="2" t="str">
        <f t="shared" si="82"/>
        <v>Error?</v>
      </c>
    </row>
    <row r="5327" spans="1:4" x14ac:dyDescent="0.2">
      <c r="A5327" s="5">
        <v>5266</v>
      </c>
      <c r="B5327" s="138">
        <f>'Revenues 9-14'!C275</f>
        <v>39372904</v>
      </c>
      <c r="C5327" s="2" t="s">
        <v>594</v>
      </c>
      <c r="D5327" s="2" t="str">
        <f t="shared" si="82"/>
        <v>Error?</v>
      </c>
    </row>
    <row r="5328" spans="1:4" x14ac:dyDescent="0.2">
      <c r="A5328" s="5">
        <v>5267</v>
      </c>
      <c r="B5328" s="138">
        <f>'Revenues 9-14'!D5</f>
        <v>2113503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2113503</v>
      </c>
      <c r="C5334" s="2" t="s">
        <v>594</v>
      </c>
      <c r="D5334" s="2" t="str">
        <f t="shared" si="82"/>
        <v>Error?</v>
      </c>
    </row>
    <row r="5335" spans="1:4" x14ac:dyDescent="0.2">
      <c r="A5335" s="5">
        <v>5274</v>
      </c>
      <c r="B5335" s="138">
        <f>'Revenues 9-14'!D14</f>
        <v>1140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1140</v>
      </c>
      <c r="C5339" s="2" t="s">
        <v>594</v>
      </c>
      <c r="D5339" s="2" t="str">
        <f t="shared" si="82"/>
        <v>Error?</v>
      </c>
    </row>
    <row r="5340" spans="1:4" x14ac:dyDescent="0.2">
      <c r="A5340" s="5">
        <v>5279</v>
      </c>
      <c r="B5340" s="138">
        <f>'Revenues 9-14'!D65</f>
        <v>28842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28842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49515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6136</v>
      </c>
      <c r="D5354" s="2" t="str">
        <f t="shared" si="82"/>
        <v>Error?</v>
      </c>
    </row>
    <row r="5355" spans="1:4" x14ac:dyDescent="0.2">
      <c r="A5355" s="5">
        <v>5294</v>
      </c>
      <c r="B5355" s="138">
        <f>'Revenues 9-14'!D108</f>
        <v>55651</v>
      </c>
      <c r="C5355" s="2" t="s">
        <v>594</v>
      </c>
      <c r="D5355" s="2" t="str">
        <f t="shared" si="82"/>
        <v>Error?</v>
      </c>
    </row>
    <row r="5356" spans="1:4" x14ac:dyDescent="0.2">
      <c r="A5356" s="5">
        <v>5295</v>
      </c>
      <c r="B5356" s="138">
        <f>'Revenues 9-14'!D109</f>
        <v>2199136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2199136</v>
      </c>
      <c r="C5508" s="2" t="s">
        <v>594</v>
      </c>
      <c r="D5508" s="2" t="str">
        <f t="shared" si="85"/>
        <v>Error?</v>
      </c>
    </row>
    <row r="5509" spans="1:4" x14ac:dyDescent="0.2">
      <c r="A5509" s="5">
        <v>5448</v>
      </c>
      <c r="B5509" s="138">
        <f>'Revenues 9-14'!E5</f>
        <v>2570280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2570280</v>
      </c>
      <c r="C5513" s="2" t="s">
        <v>594</v>
      </c>
      <c r="D5513" s="2" t="str">
        <f t="shared" si="85"/>
        <v>Error?</v>
      </c>
    </row>
    <row r="5514" spans="1:4" x14ac:dyDescent="0.2">
      <c r="A5514" s="5">
        <v>5453</v>
      </c>
      <c r="B5514" s="138">
        <f>'Revenues 9-14'!E14</f>
        <v>1523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1523</v>
      </c>
      <c r="C5518" s="2" t="s">
        <v>594</v>
      </c>
      <c r="D5518" s="2" t="str">
        <f t="shared" si="85"/>
        <v>Error?</v>
      </c>
    </row>
    <row r="5519" spans="1:4" x14ac:dyDescent="0.2">
      <c r="A5519" s="5">
        <v>5458</v>
      </c>
      <c r="B5519" s="138">
        <f>'Revenues 9-14'!E65</f>
        <v>29517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29517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1979019</v>
      </c>
      <c r="C5526" s="2" t="s">
        <v>594</v>
      </c>
      <c r="D5526" s="2" t="str">
        <f t="shared" si="85"/>
        <v>Error?</v>
      </c>
    </row>
    <row r="5527" spans="1:4" x14ac:dyDescent="0.2">
      <c r="A5527" s="5">
        <v>5466</v>
      </c>
      <c r="B5527" s="138">
        <f>'Revenues 9-14'!E109</f>
        <v>4580339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4580339</v>
      </c>
      <c r="C5552" s="2" t="s">
        <v>594</v>
      </c>
      <c r="D5552" s="2" t="str">
        <f t="shared" si="85"/>
        <v>Error?</v>
      </c>
    </row>
    <row r="5553" spans="1:4" x14ac:dyDescent="0.2">
      <c r="A5553" s="5">
        <v>5492</v>
      </c>
      <c r="B5553" s="138">
        <f>'Revenues 9-14'!F5</f>
        <v>845402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845402</v>
      </c>
      <c r="C5557" s="2" t="s">
        <v>594</v>
      </c>
      <c r="D5557" s="2" t="str">
        <f t="shared" si="85"/>
        <v>Error?</v>
      </c>
    </row>
    <row r="5558" spans="1:4" x14ac:dyDescent="0.2">
      <c r="A5558" s="5">
        <v>5497</v>
      </c>
      <c r="B5558" s="138">
        <f>'Revenues 9-14'!F14</f>
        <v>456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456</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36692</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59325</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96017</v>
      </c>
      <c r="C5579" s="2" t="s">
        <v>594</v>
      </c>
      <c r="D5579" s="2" t="str">
        <f t="shared" si="86"/>
        <v>Error?</v>
      </c>
    </row>
    <row r="5580" spans="1:4" x14ac:dyDescent="0.2">
      <c r="A5580" s="5">
        <v>5519</v>
      </c>
      <c r="B5580" s="138">
        <f>'Revenues 9-14'!F65</f>
        <v>27867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27867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1191802</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1191802</v>
      </c>
      <c r="C5587" s="2" t="s">
        <v>594</v>
      </c>
      <c r="D5587" s="2" t="str">
        <f t="shared" si="86"/>
        <v>Error?</v>
      </c>
    </row>
    <row r="5588" spans="1:4" x14ac:dyDescent="0.2">
      <c r="A5588" s="5">
        <v>5527</v>
      </c>
      <c r="B5588" s="138">
        <f>'Revenues 9-14'!F109</f>
        <v>2161544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570722</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570722</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513148</v>
      </c>
      <c r="D5615" s="2" t="str">
        <f t="shared" si="86"/>
        <v>Error?</v>
      </c>
    </row>
    <row r="5616" spans="1:4" x14ac:dyDescent="0.2">
      <c r="A5616" s="10">
        <v>5555</v>
      </c>
      <c r="D5616" s="2" t="str">
        <f t="shared" si="86"/>
        <v>OK</v>
      </c>
    </row>
    <row r="5617" spans="1:4" x14ac:dyDescent="0.2">
      <c r="A5617" s="5">
        <v>5556</v>
      </c>
      <c r="B5617" s="138">
        <f>'Revenues 9-14'!F152</f>
        <v>401334</v>
      </c>
      <c r="D5617" s="2" t="str">
        <f t="shared" si="86"/>
        <v>Error?</v>
      </c>
    </row>
    <row r="5618" spans="1:4" x14ac:dyDescent="0.2">
      <c r="A5618" s="5">
        <v>5557</v>
      </c>
      <c r="B5618" s="138">
        <f>'Revenues 9-14'!F154</f>
        <v>914482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914482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1485204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3646748</v>
      </c>
      <c r="C5720" s="2" t="s">
        <v>594</v>
      </c>
      <c r="D5720" s="2" t="str">
        <f t="shared" si="88"/>
        <v>Error?</v>
      </c>
    </row>
    <row r="5721" spans="1:4" x14ac:dyDescent="0.2">
      <c r="A5721" s="5">
        <v>5660</v>
      </c>
      <c r="B5721" s="138">
        <f>'Revenues 9-14'!G5</f>
        <v>470496</v>
      </c>
      <c r="D5721" s="2" t="str">
        <f t="shared" si="88"/>
        <v>Error?</v>
      </c>
    </row>
    <row r="5722" spans="1:4" x14ac:dyDescent="0.2">
      <c r="A5722" s="5">
        <v>5661</v>
      </c>
      <c r="B5722" s="138">
        <f>'Revenues 9-14'!G7</f>
        <v>0</v>
      </c>
      <c r="D5722" s="2" t="str">
        <f t="shared" si="88"/>
        <v>Error?</v>
      </c>
    </row>
    <row r="5723" spans="1:4" x14ac:dyDescent="0.2">
      <c r="A5723" s="5">
        <v>5662</v>
      </c>
      <c r="B5723" s="138">
        <f>'Revenues 9-14'!G8</f>
        <v>632215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1102711</v>
      </c>
      <c r="C5725" s="2" t="s">
        <v>594</v>
      </c>
      <c r="D5725" s="2" t="str">
        <f t="shared" si="88"/>
        <v>Error?</v>
      </c>
    </row>
    <row r="5726" spans="1:4" x14ac:dyDescent="0.2">
      <c r="A5726" s="5">
        <v>5665</v>
      </c>
      <c r="B5726" s="138">
        <f>'Revenues 9-14'!G14</f>
        <v>890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58000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58890</v>
      </c>
      <c r="C5730" s="2" t="s">
        <v>594</v>
      </c>
      <c r="D5730" s="2" t="str">
        <f t="shared" si="88"/>
        <v>Error?</v>
      </c>
    </row>
    <row r="5731" spans="1:4" x14ac:dyDescent="0.2">
      <c r="A5731" s="5">
        <v>5670</v>
      </c>
      <c r="B5731" s="138">
        <f>'Revenues 9-14'!G65</f>
        <v>21375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21375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12337</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12337</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1195313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6678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6678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662904</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669582</v>
      </c>
      <c r="C5915" s="2" t="s">
        <v>594</v>
      </c>
      <c r="D5915" s="2" t="str">
        <f t="shared" si="91"/>
        <v>Error?</v>
      </c>
    </row>
    <row r="5916" spans="1:4" x14ac:dyDescent="0.2">
      <c r="A5916" s="5">
        <v>5855</v>
      </c>
      <c r="B5916" s="138">
        <f>'Revenues 9-14'!I5</f>
        <v>211360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211360</v>
      </c>
      <c r="C5918" s="2" t="s">
        <v>594</v>
      </c>
      <c r="D5918" s="2" t="str">
        <f t="shared" si="91"/>
        <v>Error?</v>
      </c>
    </row>
    <row r="5919" spans="1:4" x14ac:dyDescent="0.2">
      <c r="A5919" s="5">
        <v>5858</v>
      </c>
      <c r="B5919" s="138">
        <f>'Revenues 9-14'!I14</f>
        <v>114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114</v>
      </c>
      <c r="C5923" s="2" t="s">
        <v>594</v>
      </c>
      <c r="D5923" s="2" t="str">
        <f t="shared" si="91"/>
        <v>Error?</v>
      </c>
    </row>
    <row r="5924" spans="1:4" x14ac:dyDescent="0.2">
      <c r="A5924" s="5">
        <v>5863</v>
      </c>
      <c r="B5924" s="138">
        <f>'Revenues 9-14'!I65</f>
        <v>22758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22758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234232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211360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211360</v>
      </c>
      <c r="C5987" s="2" t="s">
        <v>594</v>
      </c>
      <c r="D5987" s="2" t="str">
        <f t="shared" si="92"/>
        <v>Error?</v>
      </c>
    </row>
    <row r="5988" spans="1:4" x14ac:dyDescent="0.2">
      <c r="A5988" s="5">
        <v>5927</v>
      </c>
      <c r="B5988" s="138">
        <f>'Revenues 9-14'!K14</f>
        <v>114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114</v>
      </c>
      <c r="C5992" s="2" t="s">
        <v>594</v>
      </c>
      <c r="D5992" s="2" t="str">
        <f t="shared" si="92"/>
        <v>Error?</v>
      </c>
    </row>
    <row r="5993" spans="1:4" x14ac:dyDescent="0.2">
      <c r="A5993" s="5">
        <v>5932</v>
      </c>
      <c r="B5993" s="138">
        <f>'Revenues 9-14'!K65</f>
        <v>7362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7362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238000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238000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238000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456836</v>
      </c>
      <c r="C6023" s="2" t="s">
        <v>594</v>
      </c>
      <c r="D6023" s="2" t="str">
        <f t="shared" si="93"/>
        <v>Error?</v>
      </c>
    </row>
    <row r="6024" spans="1:5" x14ac:dyDescent="0.2">
      <c r="A6024" s="5">
        <v>5963</v>
      </c>
      <c r="B6024" s="138">
        <f>'Revenues 9-14'!G109</f>
        <v>1195313</v>
      </c>
      <c r="C6024" s="2" t="s">
        <v>594</v>
      </c>
      <c r="D6024" s="2" t="str">
        <f t="shared" si="93"/>
        <v>Error?</v>
      </c>
    </row>
    <row r="6025" spans="1:5" x14ac:dyDescent="0.2">
      <c r="A6025" s="5">
        <v>5964</v>
      </c>
      <c r="B6025" s="138">
        <f>'Revenues 9-14'!H109</f>
        <v>669582</v>
      </c>
      <c r="C6025" s="2" t="s">
        <v>594</v>
      </c>
      <c r="D6025" s="2" t="str">
        <f t="shared" si="93"/>
        <v>Error?</v>
      </c>
    </row>
    <row r="6026" spans="1:5" x14ac:dyDescent="0.2">
      <c r="A6026" s="5">
        <v>5965</v>
      </c>
      <c r="B6026" s="138">
        <f>'Revenues 9-14'!I109</f>
        <v>234232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218836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165339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162007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3821.43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1958772</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451356</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2200947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443403</v>
      </c>
      <c r="D6142" s="2" t="str">
        <f t="shared" si="94"/>
        <v>Error?</v>
      </c>
      <c r="E6142" s="2" t="s">
        <v>199</v>
      </c>
    </row>
    <row r="6143" spans="1:5" x14ac:dyDescent="0.2">
      <c r="A6143">
        <v>6082</v>
      </c>
      <c r="B6143" s="138">
        <f>'Assets-Liab 5-6'!D27</f>
        <v>102146</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21532</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81602</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15679</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2685829</v>
      </c>
      <c r="D6169" s="2" t="str">
        <f t="shared" si="95"/>
        <v>Error?</v>
      </c>
      <c r="E6169" s="2" t="s">
        <v>199</v>
      </c>
    </row>
    <row r="6170" spans="1:5" x14ac:dyDescent="0.2">
      <c r="A6170">
        <v>6109</v>
      </c>
      <c r="B6170" s="138">
        <f>'Assets-Liab 5-6'!D30</f>
        <v>20212</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3339</v>
      </c>
      <c r="D6172" s="2" t="str">
        <f t="shared" si="95"/>
        <v>Error?</v>
      </c>
      <c r="E6172" s="2" t="s">
        <v>199</v>
      </c>
    </row>
    <row r="6173" spans="1:5" x14ac:dyDescent="0.2">
      <c r="A6173">
        <v>6112</v>
      </c>
      <c r="B6173" s="138">
        <f>'Assets-Liab 5-6'!G30</f>
        <v>63716</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856470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872149</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1328798</v>
      </c>
      <c r="D6215" s="2" t="str">
        <f t="shared" si="96"/>
        <v>Error?</v>
      </c>
      <c r="E6215" s="2" t="s">
        <v>199</v>
      </c>
    </row>
    <row r="6216" spans="1:5" x14ac:dyDescent="0.2">
      <c r="A6216">
        <v>6155</v>
      </c>
      <c r="B6216" s="138">
        <f>'Assets-Liab 5-6'!J41</f>
        <v>2200947</v>
      </c>
      <c r="D6216" s="2" t="str">
        <f t="shared" si="96"/>
        <v>Error?</v>
      </c>
      <c r="E6216" s="2" t="s">
        <v>199</v>
      </c>
    </row>
    <row r="6217" spans="1:5" x14ac:dyDescent="0.2">
      <c r="A6217">
        <v>6156</v>
      </c>
      <c r="B6217" s="138">
        <f>'Assets-Liab 5-6'!J4</f>
        <v>1220445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980502</v>
      </c>
      <c r="D6219" s="2" t="str">
        <f t="shared" si="96"/>
        <v>Error?</v>
      </c>
      <c r="E6219" s="2" t="s">
        <v>199</v>
      </c>
    </row>
    <row r="6220" spans="1:5" x14ac:dyDescent="0.2">
      <c r="A6220">
        <v>6159</v>
      </c>
      <c r="B6220" s="138">
        <f>'Acct Summary 7-8'!J4</f>
        <v>1686134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1686134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1686134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1057584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1057584</v>
      </c>
      <c r="D6229" s="2" t="str">
        <f t="shared" si="96"/>
        <v>Error?</v>
      </c>
      <c r="E6229" s="2" t="s">
        <v>199</v>
      </c>
    </row>
    <row r="6230" spans="1:5" x14ac:dyDescent="0.2">
      <c r="A6230">
        <v>6169</v>
      </c>
      <c r="B6230" s="138">
        <f>'Acct Summary 7-8'!J20</f>
        <v>628550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628550</v>
      </c>
      <c r="D6263" s="2" t="str">
        <f t="shared" si="96"/>
        <v>Error?</v>
      </c>
      <c r="E6263" s="2" t="s">
        <v>199</v>
      </c>
    </row>
    <row r="6264" spans="1:5" x14ac:dyDescent="0.2">
      <c r="A6264">
        <v>6203</v>
      </c>
      <c r="B6264" s="138">
        <f>'Acct Summary 7-8'!J79</f>
        <v>700248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1328798</v>
      </c>
      <c r="D6266" s="2" t="str">
        <f t="shared" si="96"/>
        <v>Error?</v>
      </c>
      <c r="E6266" s="2" t="s">
        <v>199</v>
      </c>
    </row>
    <row r="6267" spans="1:5" x14ac:dyDescent="0.2">
      <c r="A6267">
        <v>6206</v>
      </c>
      <c r="B6267" s="138">
        <f>'Acct Summary 7-8'!C82</f>
        <v>4284861</v>
      </c>
      <c r="D6267" s="2" t="str">
        <f t="shared" si="96"/>
        <v>Error?</v>
      </c>
      <c r="E6267" s="2" t="s">
        <v>199</v>
      </c>
    </row>
    <row r="6268" spans="1:5" x14ac:dyDescent="0.2">
      <c r="A6268">
        <v>6207</v>
      </c>
      <c r="B6268" s="138">
        <f>'Acct Summary 7-8'!D82</f>
        <v>316696</v>
      </c>
      <c r="D6268" s="2" t="str">
        <f t="shared" si="96"/>
        <v>Error?</v>
      </c>
      <c r="E6268" s="2" t="s">
        <v>199</v>
      </c>
    </row>
    <row r="6269" spans="1:5" x14ac:dyDescent="0.2">
      <c r="A6269">
        <v>6208</v>
      </c>
      <c r="B6269" s="138">
        <f>'Acct Summary 7-8'!E82</f>
        <v>20758</v>
      </c>
      <c r="D6269" s="2" t="str">
        <f t="shared" si="96"/>
        <v>Error?</v>
      </c>
      <c r="E6269" s="2" t="s">
        <v>199</v>
      </c>
    </row>
    <row r="6270" spans="1:5" x14ac:dyDescent="0.2">
      <c r="A6270">
        <v>6209</v>
      </c>
      <c r="B6270" s="138">
        <f>'Acct Summary 7-8'!F82</f>
        <v>1710574</v>
      </c>
      <c r="D6270" s="2" t="str">
        <f t="shared" si="96"/>
        <v>Error?</v>
      </c>
      <c r="E6270" s="2" t="s">
        <v>199</v>
      </c>
    </row>
    <row r="6271" spans="1:5" x14ac:dyDescent="0.2">
      <c r="A6271">
        <v>6210</v>
      </c>
      <c r="B6271" s="138">
        <f>'Acct Summary 7-8'!G82</f>
        <v>94303</v>
      </c>
      <c r="D6271" s="2" t="str">
        <f t="shared" ref="D6271:D6334" si="97">IF(ISBLANK(B6271),"OK",IF(A6271-B6271=0,"OK","Error?"))</f>
        <v>Error?</v>
      </c>
      <c r="E6271" s="2" t="s">
        <v>199</v>
      </c>
    </row>
    <row r="6272" spans="1:5" x14ac:dyDescent="0.2">
      <c r="A6272">
        <v>6211</v>
      </c>
      <c r="B6272" s="138">
        <f>'Acct Summary 7-8'!H82</f>
        <v>-86855</v>
      </c>
      <c r="D6272" s="2" t="str">
        <f t="shared" si="97"/>
        <v>Error?</v>
      </c>
      <c r="E6272" s="2" t="s">
        <v>199</v>
      </c>
    </row>
    <row r="6273" spans="1:5" x14ac:dyDescent="0.2">
      <c r="A6273">
        <v>6212</v>
      </c>
      <c r="B6273" s="138">
        <f>'Acct Summary 7-8'!I82</f>
        <v>234232</v>
      </c>
      <c r="D6273" s="2" t="str">
        <f t="shared" si="97"/>
        <v>Error?</v>
      </c>
      <c r="E6273" s="2" t="s">
        <v>199</v>
      </c>
    </row>
    <row r="6274" spans="1:5" x14ac:dyDescent="0.2">
      <c r="A6274">
        <v>6213</v>
      </c>
      <c r="B6274" s="138">
        <f>'Acct Summary 7-8'!J82</f>
        <v>628550</v>
      </c>
      <c r="D6274" s="2" t="str">
        <f t="shared" si="97"/>
        <v>Error?</v>
      </c>
      <c r="E6274" s="2" t="s">
        <v>199</v>
      </c>
    </row>
    <row r="6275" spans="1:5" x14ac:dyDescent="0.2">
      <c r="A6275">
        <v>6214</v>
      </c>
      <c r="B6275" s="138">
        <f>'Acct Summary 7-8'!K82</f>
        <v>445202</v>
      </c>
      <c r="D6275" s="2" t="str">
        <f t="shared" si="97"/>
        <v>Error?</v>
      </c>
      <c r="E6275" s="2" t="s">
        <v>199</v>
      </c>
    </row>
    <row r="6276" spans="1:5" x14ac:dyDescent="0.2">
      <c r="A6276">
        <v>6215</v>
      </c>
      <c r="B6276" s="138">
        <f>'Acct Summary 7-8'!C83</f>
        <v>0.28459349465249079</v>
      </c>
      <c r="D6276" s="2" t="str">
        <f t="shared" si="97"/>
        <v>Error?</v>
      </c>
      <c r="E6276" s="2" t="s">
        <v>199</v>
      </c>
    </row>
    <row r="6277" spans="1:5" x14ac:dyDescent="0.2">
      <c r="A6277">
        <v>6216</v>
      </c>
      <c r="B6277" s="138">
        <f>'Acct Summary 7-8'!D83</f>
        <v>0.13159144557542587</v>
      </c>
      <c r="D6277" s="2" t="str">
        <f t="shared" si="97"/>
        <v>Error?</v>
      </c>
      <c r="E6277" s="2" t="s">
        <v>199</v>
      </c>
    </row>
    <row r="6278" spans="1:5" x14ac:dyDescent="0.2">
      <c r="A6278">
        <v>6217</v>
      </c>
      <c r="B6278" s="138">
        <f>'Acct Summary 7-8'!E83</f>
        <v>4.9259809543607553E-3</v>
      </c>
      <c r="D6278" s="2" t="str">
        <f t="shared" si="97"/>
        <v>Error?</v>
      </c>
      <c r="E6278" s="2" t="s">
        <v>199</v>
      </c>
    </row>
    <row r="6279" spans="1:5" x14ac:dyDescent="0.2">
      <c r="A6279">
        <v>6218</v>
      </c>
      <c r="B6279" s="138">
        <f>'Acct Summary 7-8'!F83</f>
        <v>0.57675538638579005</v>
      </c>
      <c r="D6279" s="2" t="str">
        <f t="shared" si="97"/>
        <v>Error?</v>
      </c>
      <c r="E6279" s="2" t="s">
        <v>199</v>
      </c>
    </row>
    <row r="6280" spans="1:5" x14ac:dyDescent="0.2">
      <c r="A6280">
        <v>6219</v>
      </c>
      <c r="B6280" s="138">
        <f>'Acct Summary 7-8'!G83</f>
        <v>5.8459568094861428E-2</v>
      </c>
      <c r="D6280" s="2" t="str">
        <f t="shared" si="97"/>
        <v>Error?</v>
      </c>
      <c r="E6280" s="2" t="s">
        <v>199</v>
      </c>
    </row>
    <row r="6281" spans="1:5" x14ac:dyDescent="0.2">
      <c r="A6281">
        <v>6220</v>
      </c>
      <c r="B6281" s="138">
        <f>'Acct Summary 7-8'!H83</f>
        <v>-0.22565366948641738</v>
      </c>
      <c r="D6281" s="2" t="str">
        <f t="shared" si="97"/>
        <v>Error?</v>
      </c>
      <c r="E6281" s="2" t="s">
        <v>199</v>
      </c>
    </row>
    <row r="6282" spans="1:5" x14ac:dyDescent="0.2">
      <c r="A6282">
        <v>6221</v>
      </c>
      <c r="B6282" s="138">
        <f>'Acct Summary 7-8'!I83</f>
        <v>0.12671950072196445</v>
      </c>
      <c r="D6282" s="2" t="str">
        <f t="shared" si="97"/>
        <v>Error?</v>
      </c>
      <c r="E6282" s="2" t="s">
        <v>199</v>
      </c>
    </row>
    <row r="6283" spans="1:5" x14ac:dyDescent="0.2">
      <c r="A6283">
        <v>6222</v>
      </c>
      <c r="B6283" s="138">
        <f>'Acct Summary 7-8'!J83</f>
        <v>0.47302148257297194</v>
      </c>
      <c r="D6283" s="2" t="str">
        <f t="shared" si="97"/>
        <v>Error?</v>
      </c>
      <c r="E6283" s="2" t="s">
        <v>199</v>
      </c>
    </row>
    <row r="6284" spans="1:5" x14ac:dyDescent="0.2">
      <c r="A6284">
        <v>6223</v>
      </c>
      <c r="B6284" s="138">
        <f>'Acct Summary 7-8'!K83</f>
        <v>0.54045438267446022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1678533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1678533</v>
      </c>
      <c r="D6301" s="2" t="str">
        <f t="shared" si="97"/>
        <v>Error?</v>
      </c>
      <c r="E6301" s="2" t="s">
        <v>199</v>
      </c>
    </row>
    <row r="6302" spans="1:5" x14ac:dyDescent="0.2">
      <c r="A6302">
        <v>6241</v>
      </c>
      <c r="B6302" s="138">
        <f>'Revenues 9-14'!J14</f>
        <v>638</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638</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6963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6963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49870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1686134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4282</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811695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6107</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1015548</v>
      </c>
      <c r="D6848" s="2" t="str">
        <f t="shared" si="106"/>
        <v>Error?</v>
      </c>
    </row>
    <row r="6849" spans="1:4" x14ac:dyDescent="0.2">
      <c r="A6849">
        <v>6788</v>
      </c>
      <c r="B6849" s="138">
        <f>'Expenditures 15-22'!I8</f>
        <v>1136</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17747</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5118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569268</v>
      </c>
      <c r="D6880" s="2" t="str">
        <f t="shared" si="106"/>
        <v>Error?</v>
      </c>
    </row>
    <row r="6881" spans="1:4" x14ac:dyDescent="0.2">
      <c r="A6881">
        <v>6820</v>
      </c>
      <c r="B6881" s="138">
        <f>'Expenditures 15-22'!K22</f>
        <v>569268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24990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48458</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48458</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740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17001</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51634</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68635</v>
      </c>
      <c r="D6940" s="2" t="str">
        <f t="shared" si="107"/>
        <v>Error?</v>
      </c>
    </row>
    <row r="6941" spans="1:4" x14ac:dyDescent="0.2">
      <c r="A6941">
        <v>6880</v>
      </c>
      <c r="B6941" s="138">
        <f>'Expenditures 15-22'!L52</f>
        <v>55500</v>
      </c>
      <c r="D6941" s="2" t="str">
        <f t="shared" si="107"/>
        <v>Error?</v>
      </c>
    </row>
    <row r="6942" spans="1:4" x14ac:dyDescent="0.2">
      <c r="A6942">
        <v>6881</v>
      </c>
      <c r="B6942" s="138">
        <f>'Expenditures 15-22'!I53</f>
        <v>740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8223</v>
      </c>
      <c r="D6953" s="2" t="str">
        <f t="shared" si="107"/>
        <v>Error?</v>
      </c>
    </row>
    <row r="6954" spans="1:4" x14ac:dyDescent="0.2">
      <c r="A6954">
        <v>6893</v>
      </c>
      <c r="B6954" s="138">
        <f>'Expenditures 15-22'!I61</f>
        <v>9197</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10762</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19959</v>
      </c>
      <c r="D6961" s="2" t="str">
        <f t="shared" si="107"/>
        <v>Error?</v>
      </c>
    </row>
    <row r="6962" spans="1:4" x14ac:dyDescent="0.2">
      <c r="A6962">
        <v>6901</v>
      </c>
      <c r="B6962" s="138">
        <f>'Expenditures 15-22'!J65</f>
        <v>8223</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69157</v>
      </c>
      <c r="D6977" s="2" t="str">
        <f t="shared" si="108"/>
        <v>Error?</v>
      </c>
    </row>
    <row r="6978" spans="1:4" x14ac:dyDescent="0.2">
      <c r="A6978">
        <v>6917</v>
      </c>
      <c r="B6978" s="138">
        <f>'Expenditures 15-22'!J74</f>
        <v>8223</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94147</v>
      </c>
      <c r="D7020" s="2" t="str">
        <f t="shared" si="108"/>
        <v>Error?</v>
      </c>
    </row>
    <row r="7021" spans="1:4" x14ac:dyDescent="0.2">
      <c r="A7021">
        <v>6960</v>
      </c>
      <c r="B7021" s="138">
        <f>'Expenditures 15-22'!J114</f>
        <v>8223</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6971</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6971</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6971</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1057584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6971</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1686134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5111</v>
      </c>
      <c r="D7073" s="2" t="str">
        <f t="shared" si="109"/>
        <v>Error?</v>
      </c>
    </row>
    <row r="7074" spans="1:4" x14ac:dyDescent="0.2">
      <c r="A7074">
        <v>7013</v>
      </c>
      <c r="B7074" s="138">
        <f>'Expenditures 15-22'!K216</f>
        <v>5111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47167</v>
      </c>
      <c r="D7093" s="2" t="str">
        <f t="shared" si="109"/>
        <v>Error?</v>
      </c>
    </row>
    <row r="7094" spans="1:4" x14ac:dyDescent="0.2">
      <c r="A7094">
        <v>7033</v>
      </c>
      <c r="B7094" s="138">
        <f>'Expenditures 15-22'!K254</f>
        <v>47167</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312724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312724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24929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24929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149917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149917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44884</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44884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335178</v>
      </c>
      <c r="D7172" s="2" t="str">
        <f t="shared" si="111"/>
        <v>Error?</v>
      </c>
    </row>
    <row r="7173" spans="1:4" x14ac:dyDescent="0.2">
      <c r="A7173">
        <v>7112</v>
      </c>
      <c r="B7173" s="138">
        <f>'Expenditures 15-22'!D325</f>
        <v>33216</v>
      </c>
      <c r="D7173" s="2" t="str">
        <f t="shared" si="111"/>
        <v>Error?</v>
      </c>
    </row>
    <row r="7174" spans="1:4" x14ac:dyDescent="0.2">
      <c r="A7174">
        <v>7113</v>
      </c>
      <c r="B7174" s="138">
        <f>'Expenditures 15-22'!E325</f>
        <v>46274</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414668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110462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110462</v>
      </c>
      <c r="D7198" s="2" t="str">
        <f t="shared" si="111"/>
        <v>Error?</v>
      </c>
    </row>
    <row r="7199" spans="1:4" x14ac:dyDescent="0.2">
      <c r="A7199">
        <v>7138</v>
      </c>
      <c r="B7199" s="138">
        <f>'Expenditures 15-22'!C330</f>
        <v>335178</v>
      </c>
      <c r="D7199" s="2" t="str">
        <f t="shared" si="111"/>
        <v>Error?</v>
      </c>
    </row>
    <row r="7200" spans="1:4" x14ac:dyDescent="0.2">
      <c r="A7200">
        <v>7139</v>
      </c>
      <c r="B7200" s="138">
        <f>'Expenditures 15-22'!D330</f>
        <v>33216</v>
      </c>
      <c r="D7200" s="2" t="str">
        <f t="shared" si="111"/>
        <v>Error?</v>
      </c>
    </row>
    <row r="7201" spans="1:4" x14ac:dyDescent="0.2">
      <c r="A7201">
        <v>7140</v>
      </c>
      <c r="B7201" s="138">
        <f>'Expenditures 15-22'!E330</f>
        <v>689190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1057584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335178</v>
      </c>
      <c r="D7216" s="2" t="str">
        <f t="shared" si="111"/>
        <v>Error?</v>
      </c>
    </row>
    <row r="7217" spans="1:4" x14ac:dyDescent="0.2">
      <c r="A7217">
        <v>7156</v>
      </c>
      <c r="B7217" s="138">
        <f>'Expenditures 15-22'!D342</f>
        <v>33216</v>
      </c>
      <c r="D7217" s="2" t="str">
        <f t="shared" si="111"/>
        <v>Error?</v>
      </c>
    </row>
    <row r="7218" spans="1:4" x14ac:dyDescent="0.2">
      <c r="A7218">
        <v>7157</v>
      </c>
      <c r="B7218" s="138">
        <f>'Expenditures 15-22'!E342</f>
        <v>689190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1057584</v>
      </c>
      <c r="D7224" s="2" t="str">
        <f t="shared" si="111"/>
        <v>Error?</v>
      </c>
    </row>
    <row r="7225" spans="1:4" x14ac:dyDescent="0.2">
      <c r="A7225">
        <v>7164</v>
      </c>
      <c r="B7225" s="138">
        <f>'Expenditures 15-22'!K343</f>
        <v>628550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184998</v>
      </c>
      <c r="D7246" s="2" t="str">
        <f t="shared" si="112"/>
        <v>Error?</v>
      </c>
    </row>
    <row r="7247" spans="1:4" x14ac:dyDescent="0.2">
      <c r="A7247">
        <f t="shared" si="113"/>
        <v>7186</v>
      </c>
      <c r="B7247" s="138">
        <f>'Expenditures 15-22'!E7</f>
        <v>4031</v>
      </c>
      <c r="D7247" s="2" t="str">
        <f t="shared" si="112"/>
        <v>Error?</v>
      </c>
    </row>
    <row r="7248" spans="1:4" x14ac:dyDescent="0.2">
      <c r="A7248">
        <f t="shared" si="113"/>
        <v>7187</v>
      </c>
      <c r="B7248" s="138">
        <f>'Expenditures 15-22'!F7</f>
        <v>14824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3193</v>
      </c>
      <c r="D7265" s="2" t="str">
        <f t="shared" si="112"/>
        <v>Error?</v>
      </c>
    </row>
    <row r="7266" spans="1:5" x14ac:dyDescent="0.2">
      <c r="A7266">
        <f t="shared" si="113"/>
        <v>7205</v>
      </c>
      <c r="B7266" s="138">
        <f>'Expenditures 15-22'!F17</f>
        <v>1925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2048369</v>
      </c>
      <c r="D7615" s="2" t="str">
        <f t="shared" ref="D7615:D7678" si="124">IF(ISBLANK(B7615),"OK",IF(A7615-B7615=0,"OK","Error?"))</f>
        <v>Error?</v>
      </c>
      <c r="E7615" s="2" t="s">
        <v>19</v>
      </c>
    </row>
    <row r="7616" spans="1:5" x14ac:dyDescent="0.2">
      <c r="A7616">
        <f t="shared" si="123"/>
        <v>7555</v>
      </c>
      <c r="B7616" s="138">
        <f>'Cap Outlay Deprec 26'!D14</f>
        <v>451604</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2499973</v>
      </c>
      <c r="D7618" s="2" t="str">
        <f t="shared" si="124"/>
        <v>Error?</v>
      </c>
      <c r="E7618" s="2" t="s">
        <v>19</v>
      </c>
    </row>
    <row r="7619" spans="1:5" x14ac:dyDescent="0.2">
      <c r="A7619">
        <f t="shared" si="123"/>
        <v>7558</v>
      </c>
      <c r="B7619" s="138">
        <f>'Cap Outlay Deprec 26'!H14</f>
        <v>1636516</v>
      </c>
      <c r="D7619" s="2" t="str">
        <f t="shared" si="124"/>
        <v>Error?</v>
      </c>
      <c r="E7619" s="2" t="s">
        <v>19</v>
      </c>
    </row>
    <row r="7620" spans="1:5" x14ac:dyDescent="0.2">
      <c r="A7620">
        <f t="shared" si="123"/>
        <v>7559</v>
      </c>
      <c r="B7620" s="138">
        <f>'Cap Outlay Deprec 26'!I14</f>
        <v>319436</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1955952</v>
      </c>
      <c r="D7622" s="2" t="str">
        <f t="shared" si="124"/>
        <v>Error?</v>
      </c>
      <c r="E7622" s="2" t="s">
        <v>19</v>
      </c>
    </row>
    <row r="7623" spans="1:5" x14ac:dyDescent="0.2">
      <c r="A7623">
        <f t="shared" si="123"/>
        <v>7562</v>
      </c>
      <c r="B7623" s="138">
        <f>'Cap Outlay Deprec 26'!L14</f>
        <v>544021</v>
      </c>
      <c r="D7623" s="2" t="str">
        <f t="shared" si="124"/>
        <v>Error?</v>
      </c>
      <c r="E7623" s="2" t="s">
        <v>19</v>
      </c>
    </row>
    <row r="7624" spans="1:5" x14ac:dyDescent="0.2">
      <c r="A7624">
        <f t="shared" si="123"/>
        <v>7563</v>
      </c>
      <c r="B7624" s="138">
        <f>'Cap Outlay Deprec 26'!F17</f>
        <v>101118</v>
      </c>
      <c r="D7624" s="2" t="str">
        <f t="shared" si="124"/>
        <v>Error?</v>
      </c>
      <c r="E7624" s="2" t="s">
        <v>19</v>
      </c>
    </row>
    <row r="7625" spans="1:5" x14ac:dyDescent="0.2">
      <c r="A7625">
        <f t="shared" si="123"/>
        <v>7564</v>
      </c>
      <c r="B7625" s="138">
        <f>'Cap Outlay Deprec 26'!I17</f>
        <v>10111.799999999999</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3054803.8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2848505</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49870</v>
      </c>
      <c r="D7712" s="2" t="str">
        <f t="shared" si="126"/>
        <v>Error?</v>
      </c>
      <c r="E7712" s="2" t="s">
        <v>881</v>
      </c>
    </row>
    <row r="7713" spans="1:6" x14ac:dyDescent="0.2">
      <c r="A7713">
        <v>7652</v>
      </c>
      <c r="B7713" s="138">
        <f>'Rest Tax Levies-Tort Im 25'!J8</f>
        <v>2641923</v>
      </c>
      <c r="D7713" s="2" t="str">
        <f t="shared" si="126"/>
        <v>Error?</v>
      </c>
      <c r="E7713" s="2" t="s">
        <v>881</v>
      </c>
    </row>
    <row r="7714" spans="1:6" x14ac:dyDescent="0.2">
      <c r="A7714">
        <v>7653</v>
      </c>
      <c r="B7714" s="138">
        <f>'Rest Tax Levies-Tort Im 25'!K9</f>
        <v>24410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2641923</v>
      </c>
      <c r="D7718" s="2" t="str">
        <f t="shared" si="126"/>
        <v>Error?</v>
      </c>
      <c r="E7718" s="2" t="s">
        <v>881</v>
      </c>
    </row>
    <row r="7719" spans="1:6" x14ac:dyDescent="0.2">
      <c r="A7719">
        <v>7658</v>
      </c>
      <c r="B7719" s="138">
        <f>'Rest Tax Levies-Tort Im 25'!K12</f>
        <v>74280</v>
      </c>
      <c r="D7719" s="2" t="str">
        <f t="shared" si="126"/>
        <v>Error?</v>
      </c>
      <c r="E7719" s="2" t="s">
        <v>881</v>
      </c>
    </row>
    <row r="7720" spans="1:6" x14ac:dyDescent="0.2">
      <c r="A7720">
        <v>7659</v>
      </c>
      <c r="B7720" s="138">
        <f>'Rest Tax Levies-Tort Im 25'!H14</f>
        <v>169149</v>
      </c>
      <c r="D7720" s="2" t="str">
        <f t="shared" si="126"/>
        <v>Error?</v>
      </c>
      <c r="E7720" s="2" t="s">
        <v>881</v>
      </c>
    </row>
    <row r="7721" spans="1:6" x14ac:dyDescent="0.2">
      <c r="A7721">
        <v>7660</v>
      </c>
      <c r="B7721" s="138">
        <f>'Rest Tax Levies-Tort Im 25'!K14</f>
        <v>74280</v>
      </c>
      <c r="D7721" s="2" t="str">
        <f t="shared" si="126"/>
        <v>Error?</v>
      </c>
      <c r="E7721" s="2" t="s">
        <v>881</v>
      </c>
    </row>
    <row r="7722" spans="1:6" x14ac:dyDescent="0.2">
      <c r="A7722">
        <v>7661</v>
      </c>
      <c r="B7722" s="138">
        <f>'Rest Tax Levies-Tort Im 25'!J15</f>
        <v>662904</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1262106</v>
      </c>
      <c r="D7724" s="2" t="str">
        <f t="shared" si="126"/>
        <v>Error?</v>
      </c>
      <c r="E7724" s="2" t="s">
        <v>881</v>
      </c>
      <c r="F7724" s="2"/>
    </row>
    <row r="7725" spans="1:6" x14ac:dyDescent="0.2">
      <c r="A7725">
        <v>7664</v>
      </c>
      <c r="B7725" s="138">
        <f>'Rest Tax Levies-Tort Im 25'!J19</f>
        <v>520050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1782156</v>
      </c>
      <c r="D7727" s="2" t="str">
        <f t="shared" si="126"/>
        <v>Error?</v>
      </c>
      <c r="E7727" s="2" t="s">
        <v>881</v>
      </c>
    </row>
    <row r="7728" spans="1:6" x14ac:dyDescent="0.2">
      <c r="A7728">
        <v>7667</v>
      </c>
      <c r="B7728" s="138">
        <f>'Revenues 9-14'!E103</f>
        <v>1979019</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2445060</v>
      </c>
      <c r="D7730" s="2" t="str">
        <f t="shared" si="126"/>
        <v>Error?</v>
      </c>
      <c r="E7730" s="2" t="s">
        <v>881</v>
      </c>
    </row>
    <row r="7731" spans="1:6" x14ac:dyDescent="0.2">
      <c r="A7731">
        <v>7670</v>
      </c>
      <c r="B7731" s="138">
        <f>'Revenues 9-14'!H103</f>
        <v>662904</v>
      </c>
      <c r="D7731" s="2" t="str">
        <f t="shared" si="126"/>
        <v>Error?</v>
      </c>
      <c r="E7731" s="2" t="s">
        <v>881</v>
      </c>
    </row>
    <row r="7732" spans="1:6" x14ac:dyDescent="0.2">
      <c r="A7732">
        <v>7671</v>
      </c>
      <c r="B7732" s="138">
        <f>'Rest Tax Levies-Tort Im 25'!J24</f>
        <v>3045368</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1783081</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1262287</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2183980</v>
      </c>
      <c r="D7797" s="2" t="str">
        <f t="shared" si="127"/>
        <v>Error?</v>
      </c>
      <c r="E7797" s="4" t="s">
        <v>2017</v>
      </c>
    </row>
    <row r="7798" spans="1:5" x14ac:dyDescent="0.2">
      <c r="A7798">
        <v>7737</v>
      </c>
      <c r="B7798" s="138">
        <f>'Contracts Paid in CY 29'!F141</f>
        <v>175000</v>
      </c>
      <c r="D7798" s="2" t="str">
        <f t="shared" si="127"/>
        <v>Error?</v>
      </c>
      <c r="E7798" s="4" t="s">
        <v>2017</v>
      </c>
    </row>
    <row r="7799" spans="1:5" x14ac:dyDescent="0.2">
      <c r="A7799">
        <v>7738</v>
      </c>
      <c r="B7799" s="138">
        <f>'Contracts Paid in CY 29'!G141</f>
        <v>2008980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7" sqref="A7:D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44" t="s">
        <v>1253</v>
      </c>
      <c r="B2" s="2444"/>
      <c r="C2" s="2444"/>
      <c r="D2" s="2444"/>
      <c r="E2" s="2444"/>
      <c r="F2" s="2444"/>
      <c r="G2" s="2444"/>
      <c r="H2" s="2444"/>
      <c r="I2" s="2444"/>
      <c r="J2" s="2444"/>
      <c r="K2" s="2444"/>
      <c r="L2" s="2444"/>
    </row>
    <row r="3" spans="1:29" ht="13.5" customHeight="1" x14ac:dyDescent="0.2">
      <c r="A3" s="2475" t="s">
        <v>1252</v>
      </c>
      <c r="B3" s="2475"/>
      <c r="C3" s="2475"/>
      <c r="D3" s="2475"/>
      <c r="E3" s="2475"/>
      <c r="F3" s="2475"/>
      <c r="G3" s="2475"/>
      <c r="H3" s="2475"/>
      <c r="I3" s="2475"/>
      <c r="J3" s="2475"/>
      <c r="K3" s="2475"/>
      <c r="L3" s="2475"/>
    </row>
    <row r="4" spans="1:29" ht="13.5" customHeight="1" x14ac:dyDescent="0.2">
      <c r="A4" s="2444" t="s">
        <v>1799</v>
      </c>
      <c r="B4" s="2465"/>
      <c r="C4" s="2465"/>
      <c r="D4" s="2465"/>
      <c r="E4" s="2465"/>
      <c r="F4" s="2465"/>
      <c r="G4" s="2465"/>
      <c r="H4" s="2465"/>
      <c r="I4" s="2465"/>
      <c r="J4" s="2465"/>
      <c r="K4" s="2465"/>
      <c r="L4" s="2465"/>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66" t="str">
        <f>COVER!A17</f>
        <v>Galesburg CUSD 205</v>
      </c>
      <c r="B7" s="2467"/>
      <c r="C7" s="2467"/>
      <c r="D7" s="2468"/>
      <c r="E7" s="2469">
        <f>COVER!A13</f>
        <v>33048205026</v>
      </c>
      <c r="F7" s="2470"/>
      <c r="G7" s="2476" t="str">
        <f>COVER!T23</f>
        <v>066-004769</v>
      </c>
      <c r="H7" s="2477"/>
      <c r="I7" s="2477"/>
      <c r="J7" s="2477"/>
      <c r="K7" s="2477"/>
      <c r="L7" s="2478"/>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79"/>
      <c r="B9" s="2480"/>
      <c r="C9" s="2480"/>
      <c r="D9" s="2480"/>
      <c r="E9" s="2480"/>
      <c r="F9" s="2481"/>
      <c r="G9" s="2450" t="str">
        <f>COVER!T13</f>
        <v>Meister, Hilton, Chitwood &amp;  Associates, Inc.</v>
      </c>
      <c r="H9" s="2482"/>
      <c r="I9" s="2482"/>
      <c r="J9" s="2482"/>
      <c r="K9" s="2482"/>
      <c r="L9" s="2483"/>
    </row>
    <row r="10" spans="1:29" ht="13.5" customHeight="1" x14ac:dyDescent="0.2">
      <c r="A10" s="2456" t="str">
        <f>COVER!A38</f>
        <v>Dr.  John Asplund</v>
      </c>
      <c r="B10" s="2457"/>
      <c r="C10" s="2457"/>
      <c r="D10" s="2457"/>
      <c r="E10" s="2457"/>
      <c r="F10" s="2458"/>
      <c r="G10" s="2450" t="str">
        <f>COVER!T17</f>
        <v>809 W.  Detweiller Drive, Suite 804</v>
      </c>
      <c r="H10" s="2451"/>
      <c r="I10" s="2451"/>
      <c r="J10" s="2451"/>
      <c r="K10" s="2451"/>
      <c r="L10" s="2452"/>
    </row>
    <row r="11" spans="1:29" ht="13.5" customHeight="1" x14ac:dyDescent="0.2">
      <c r="A11" s="1185" t="s">
        <v>1599</v>
      </c>
      <c r="B11" s="1186"/>
      <c r="C11" s="1187"/>
      <c r="D11" s="1192"/>
      <c r="E11" s="1187"/>
      <c r="F11" s="1191"/>
      <c r="G11" s="2450" t="str">
        <f>COVER!T19</f>
        <v>Peoria</v>
      </c>
      <c r="H11" s="2451"/>
      <c r="I11" s="2451"/>
      <c r="J11" s="2451"/>
      <c r="K11" s="2451"/>
      <c r="L11" s="2452"/>
    </row>
    <row r="12" spans="1:29" ht="13.5" customHeight="1" x14ac:dyDescent="0.2">
      <c r="A12" s="2459" t="s">
        <v>1598</v>
      </c>
      <c r="B12" s="2460"/>
      <c r="C12" s="2460"/>
      <c r="D12" s="2460"/>
      <c r="E12" s="2460"/>
      <c r="F12" s="2461"/>
      <c r="G12" s="2453"/>
      <c r="H12" s="2454"/>
      <c r="I12" s="2454"/>
      <c r="J12" s="2454"/>
      <c r="K12" s="2454"/>
      <c r="L12" s="2455"/>
    </row>
    <row r="13" spans="1:29" ht="13.5" customHeight="1" x14ac:dyDescent="0.2">
      <c r="A13" s="2450"/>
      <c r="B13" s="2451"/>
      <c r="C13" s="2451"/>
      <c r="D13" s="2451"/>
      <c r="E13" s="2451"/>
      <c r="F13" s="2452"/>
      <c r="G13" s="2445" t="s">
        <v>1600</v>
      </c>
      <c r="H13" s="2446"/>
      <c r="I13" s="2462" t="str">
        <f>COVER!T25</f>
        <v>ron.hilton1@comcast.net</v>
      </c>
      <c r="J13" s="2463"/>
      <c r="K13" s="2463"/>
      <c r="L13" s="2464"/>
    </row>
    <row r="14" spans="1:29" ht="13.5" customHeight="1" x14ac:dyDescent="0.2">
      <c r="A14" s="2450" t="str">
        <f>COVER!A19</f>
        <v>932 Harrison Street</v>
      </c>
      <c r="B14" s="2451"/>
      <c r="C14" s="2451"/>
      <c r="D14" s="2451"/>
      <c r="E14" s="2451"/>
      <c r="F14" s="2452"/>
      <c r="G14" s="1196" t="s">
        <v>1247</v>
      </c>
      <c r="H14" s="1194"/>
      <c r="I14" s="1194"/>
      <c r="J14" s="1194"/>
      <c r="K14" s="1194"/>
      <c r="L14" s="1195"/>
    </row>
    <row r="15" spans="1:29" ht="13.5" customHeight="1" x14ac:dyDescent="0.2">
      <c r="A15" s="2450" t="str">
        <f>COVER!A21</f>
        <v xml:space="preserve">Galesburg </v>
      </c>
      <c r="B15" s="2451"/>
      <c r="C15" s="2451"/>
      <c r="D15" s="2451"/>
      <c r="E15" s="2451"/>
      <c r="F15" s="2452"/>
      <c r="G15" s="2447" t="str">
        <f>COVER!T15</f>
        <v>Ron Hilton</v>
      </c>
      <c r="H15" s="2448"/>
      <c r="I15" s="2448"/>
      <c r="J15" s="2448"/>
      <c r="K15" s="2448"/>
      <c r="L15" s="2449"/>
    </row>
    <row r="16" spans="1:29" ht="12.2" customHeight="1" x14ac:dyDescent="0.2">
      <c r="A16" s="2472">
        <f>COVER!A25</f>
        <v>61401</v>
      </c>
      <c r="B16" s="2473"/>
      <c r="C16" s="2473"/>
      <c r="D16" s="2473"/>
      <c r="E16" s="2473"/>
      <c r="F16" s="2474"/>
      <c r="G16" s="2484"/>
      <c r="H16" s="2485"/>
      <c r="I16" s="2485"/>
      <c r="J16" s="2485"/>
      <c r="K16" s="2485"/>
      <c r="L16" s="2486"/>
    </row>
    <row r="17" spans="1:13" ht="12.2" customHeight="1" x14ac:dyDescent="0.2">
      <c r="A17" s="2487"/>
      <c r="B17" s="2473"/>
      <c r="C17" s="2473"/>
      <c r="D17" s="2473"/>
      <c r="E17" s="2473"/>
      <c r="F17" s="2474"/>
      <c r="G17" s="1196" t="s">
        <v>1246</v>
      </c>
      <c r="H17" s="1194"/>
      <c r="I17" s="1194"/>
      <c r="J17" s="1194"/>
      <c r="K17" s="1198" t="s">
        <v>1245</v>
      </c>
      <c r="L17" s="1191"/>
      <c r="M17" s="1184"/>
    </row>
    <row r="18" spans="1:13" ht="12.2" customHeight="1" x14ac:dyDescent="0.2">
      <c r="A18" s="2456"/>
      <c r="B18" s="2457"/>
      <c r="C18" s="2457"/>
      <c r="D18" s="2457"/>
      <c r="E18" s="2457"/>
      <c r="F18" s="2458"/>
      <c r="G18" s="2466" t="str">
        <f>COVER!T21</f>
        <v>(309) 683-0441</v>
      </c>
      <c r="H18" s="2467"/>
      <c r="I18" s="2467"/>
      <c r="J18" s="2467"/>
      <c r="K18" s="2466" t="str">
        <f>COVER!X21</f>
        <v>(309) 692-0492</v>
      </c>
      <c r="L18" s="247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35&amp;R&amp;8Page 35</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88" t="str">
        <f>'Single Audit Cover'!A7</f>
        <v>Galesburg CUSD 205</v>
      </c>
      <c r="B1" s="2465"/>
      <c r="C1" s="2465"/>
      <c r="D1" s="2465"/>
    </row>
    <row r="2" spans="1:11" s="1215" customFormat="1" ht="12.75" x14ac:dyDescent="0.2">
      <c r="A2" s="2489">
        <f>'Single Audit Cover'!E7</f>
        <v>33048205026</v>
      </c>
      <c r="B2" s="2490"/>
      <c r="C2" s="2490"/>
      <c r="D2" s="2490"/>
    </row>
    <row r="3" spans="1:11" s="1215" customFormat="1" ht="12.75" x14ac:dyDescent="0.2">
      <c r="A3" s="2488" t="s">
        <v>1593</v>
      </c>
      <c r="B3" s="2465"/>
      <c r="C3" s="2465"/>
      <c r="D3" s="2465"/>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7"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92" t="str">
        <f>'Single Audit Cover'!A7</f>
        <v>Galesburg CUSD 205</v>
      </c>
      <c r="B1" s="2492"/>
      <c r="C1" s="2492"/>
      <c r="D1" s="2492"/>
      <c r="E1" s="2492"/>
    </row>
    <row r="2" spans="1:5" x14ac:dyDescent="0.2">
      <c r="A2" s="2493">
        <f>'Single Audit Cover'!E7</f>
        <v>33048205026</v>
      </c>
      <c r="B2" s="2493"/>
      <c r="C2" s="2493"/>
      <c r="D2" s="2493"/>
      <c r="E2" s="2493"/>
    </row>
    <row r="3" spans="1:5" ht="4.5" customHeight="1" x14ac:dyDescent="0.2"/>
    <row r="4" spans="1:5" x14ac:dyDescent="0.2">
      <c r="A4" s="2492" t="s">
        <v>1307</v>
      </c>
      <c r="B4" s="2492"/>
      <c r="C4" s="2492"/>
      <c r="D4" s="2492"/>
      <c r="E4" s="2492"/>
    </row>
    <row r="5" spans="1:5" x14ac:dyDescent="0.2">
      <c r="A5" s="2495" t="str">
        <f>'Single Audit Cover'!A4</f>
        <v>Year Ending June 30, 2018</v>
      </c>
      <c r="B5" s="2495"/>
      <c r="C5" s="2495"/>
      <c r="D5" s="2495"/>
      <c r="E5" s="2495"/>
    </row>
    <row r="6" spans="1:5" x14ac:dyDescent="0.2">
      <c r="A6" s="2492" t="s">
        <v>1306</v>
      </c>
      <c r="B6" s="2492"/>
      <c r="C6" s="2492"/>
      <c r="D6" s="2492"/>
      <c r="E6" s="2492"/>
    </row>
    <row r="8" spans="1:5" x14ac:dyDescent="0.2">
      <c r="A8" s="1260" t="s">
        <v>1305</v>
      </c>
    </row>
    <row r="10" spans="1:5" x14ac:dyDescent="0.2">
      <c r="A10" s="1261" t="s">
        <v>1304</v>
      </c>
      <c r="B10" s="1262" t="s">
        <v>1303</v>
      </c>
      <c r="C10" s="1262"/>
      <c r="D10" s="1263">
        <f>SUM('Acct Summary 7-8'!C7:K7)</f>
        <v>5257750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162007</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-200228</v>
      </c>
    </row>
    <row r="19" spans="1:4" ht="13.5" thickBot="1" x14ac:dyDescent="0.25">
      <c r="A19" s="1265" t="s">
        <v>1297</v>
      </c>
      <c r="D19" s="1266">
        <f>SUM(D10:D17)</f>
        <v>5219529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94"/>
      <c r="B24" s="2494"/>
      <c r="D24" s="1268"/>
    </row>
    <row r="25" spans="1:4" x14ac:dyDescent="0.2">
      <c r="A25" s="2491"/>
      <c r="B25" s="2491"/>
      <c r="D25" s="1268"/>
    </row>
    <row r="26" spans="1:4" x14ac:dyDescent="0.2">
      <c r="A26" s="2491"/>
      <c r="B26" s="2491"/>
      <c r="D26" s="1268"/>
    </row>
    <row r="27" spans="1:4" x14ac:dyDescent="0.2">
      <c r="A27" s="2491"/>
      <c r="B27" s="2491"/>
      <c r="D27" s="1268"/>
    </row>
    <row r="28" spans="1:4" x14ac:dyDescent="0.2">
      <c r="A28" s="2491"/>
      <c r="B28" s="2491"/>
      <c r="D28" s="1268"/>
    </row>
    <row r="29" spans="1:4" x14ac:dyDescent="0.2">
      <c r="A29" s="2491"/>
      <c r="B29" s="2491"/>
      <c r="D29" s="1268"/>
    </row>
    <row r="30" spans="1:4" x14ac:dyDescent="0.2">
      <c r="A30" s="2491"/>
      <c r="B30" s="2491"/>
      <c r="D30" s="1268"/>
    </row>
    <row r="32" spans="1:4" x14ac:dyDescent="0.2">
      <c r="A32" s="1260" t="s">
        <v>1295</v>
      </c>
      <c r="D32" s="1263">
        <f>SUM(D19:D30)</f>
        <v>5219529</v>
      </c>
    </row>
    <row r="33" spans="1:4" x14ac:dyDescent="0.2">
      <c r="D33" s="1269"/>
    </row>
    <row r="34" spans="1:4" x14ac:dyDescent="0.2">
      <c r="A34" s="317" t="s">
        <v>1294</v>
      </c>
    </row>
    <row r="35" spans="1:4" x14ac:dyDescent="0.2">
      <c r="A35" s="317" t="s">
        <v>1293</v>
      </c>
      <c r="B35" s="1258" t="s">
        <v>1292</v>
      </c>
      <c r="D35" s="1270">
        <v>5219529</v>
      </c>
    </row>
    <row r="37" spans="1:4" x14ac:dyDescent="0.2">
      <c r="A37" s="1260" t="s">
        <v>1291</v>
      </c>
    </row>
    <row r="39" spans="1:4" ht="13.35" customHeight="1" x14ac:dyDescent="0.2">
      <c r="A39" s="1267" t="s">
        <v>1290</v>
      </c>
    </row>
    <row r="40" spans="1:4" x14ac:dyDescent="0.2">
      <c r="A40" s="2491"/>
      <c r="B40" s="2491"/>
      <c r="D40" s="1268"/>
    </row>
    <row r="41" spans="1:4" x14ac:dyDescent="0.2">
      <c r="A41" s="2491"/>
      <c r="B41" s="2491"/>
      <c r="D41" s="1271"/>
    </row>
    <row r="42" spans="1:4" x14ac:dyDescent="0.2">
      <c r="A42" s="2491"/>
      <c r="B42" s="2491"/>
      <c r="D42" s="1271"/>
    </row>
    <row r="43" spans="1:4" x14ac:dyDescent="0.2">
      <c r="A43" s="2491"/>
      <c r="B43" s="2491"/>
      <c r="D43" s="1271"/>
    </row>
    <row r="44" spans="1:4" x14ac:dyDescent="0.2">
      <c r="A44" s="2491"/>
      <c r="B44" s="2491"/>
      <c r="D44" s="1271"/>
    </row>
    <row r="45" spans="1:4" x14ac:dyDescent="0.2">
      <c r="A45" s="2491"/>
      <c r="B45" s="2491"/>
      <c r="D45" s="1271"/>
    </row>
    <row r="47" spans="1:4" x14ac:dyDescent="0.2">
      <c r="B47" s="1272" t="s">
        <v>1289</v>
      </c>
      <c r="C47" s="1272"/>
      <c r="D47" s="1273">
        <f>SUM(D35:D45)</f>
        <v>5219529</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41&amp;R&amp;8Page 41</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4"/>
  <sheetViews>
    <sheetView showGridLines="0" zoomScaleNormal="100" workbookViewId="0">
      <selection activeCell="B14" sqref="B14"/>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75" t="str">
        <f>'Single Audit Cover'!A7</f>
        <v>Galesburg CUSD 205</v>
      </c>
      <c r="C1" s="2496"/>
      <c r="D1" s="2496"/>
      <c r="E1" s="2496"/>
      <c r="F1" s="2496"/>
      <c r="G1" s="2496"/>
      <c r="H1" s="2496"/>
      <c r="I1" s="2496"/>
      <c r="J1" s="2496"/>
      <c r="K1" s="2496"/>
      <c r="L1" s="2496"/>
      <c r="M1" s="2496"/>
    </row>
    <row r="2" spans="2:14" ht="15" x14ac:dyDescent="0.2">
      <c r="B2" s="2497">
        <f>'Single Audit Cover'!E7</f>
        <v>33048205026</v>
      </c>
      <c r="C2" s="2497"/>
      <c r="D2" s="2497"/>
      <c r="E2" s="2497"/>
      <c r="F2" s="2497"/>
      <c r="G2" s="2497"/>
      <c r="H2" s="2497"/>
      <c r="I2" s="2497"/>
      <c r="J2" s="2497"/>
      <c r="K2" s="2497"/>
      <c r="L2" s="2497"/>
      <c r="M2" s="2497"/>
      <c r="N2" s="1302"/>
    </row>
    <row r="3" spans="2:14" ht="15" x14ac:dyDescent="0.2">
      <c r="B3" s="2498" t="s">
        <v>1281</v>
      </c>
      <c r="C3" s="2498"/>
      <c r="D3" s="2498"/>
      <c r="E3" s="2498"/>
      <c r="F3" s="2498"/>
      <c r="G3" s="2498"/>
      <c r="H3" s="2498"/>
      <c r="I3" s="2498"/>
      <c r="J3" s="2498"/>
      <c r="K3" s="2498"/>
      <c r="L3" s="2498"/>
      <c r="M3" s="2498"/>
      <c r="N3" s="1302"/>
    </row>
    <row r="4" spans="2:14" ht="15" x14ac:dyDescent="0.2">
      <c r="B4" s="2499" t="str">
        <f>'Single Audit Cover'!A4</f>
        <v>Year Ending June 30, 2018</v>
      </c>
      <c r="C4" s="2499"/>
      <c r="D4" s="2499"/>
      <c r="E4" s="2499"/>
      <c r="F4" s="2499"/>
      <c r="G4" s="2499"/>
      <c r="H4" s="2499"/>
      <c r="I4" s="2499"/>
      <c r="J4" s="2499"/>
      <c r="K4" s="2499"/>
      <c r="L4" s="2499"/>
      <c r="M4" s="249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67" t="s">
        <v>2148</v>
      </c>
      <c r="C11" s="1968"/>
      <c r="D11" s="1969"/>
      <c r="E11" s="1970"/>
      <c r="F11" s="1970"/>
      <c r="G11" s="1970"/>
      <c r="H11" s="1970"/>
      <c r="I11" s="1970"/>
      <c r="J11" s="1970"/>
      <c r="K11" s="1970"/>
      <c r="L11" s="1970"/>
      <c r="M11" s="1970"/>
    </row>
    <row r="12" spans="2:14" ht="20.100000000000001" customHeight="1" x14ac:dyDescent="0.2">
      <c r="B12" s="1971" t="s">
        <v>2149</v>
      </c>
      <c r="C12" s="1972"/>
      <c r="D12" s="1973"/>
      <c r="E12" s="1974"/>
      <c r="F12" s="1974"/>
      <c r="G12" s="1974"/>
      <c r="H12" s="1974"/>
      <c r="I12" s="1974"/>
      <c r="J12" s="1974"/>
      <c r="K12" s="1974"/>
      <c r="L12" s="1970"/>
      <c r="M12" s="1974"/>
    </row>
    <row r="13" spans="2:14" ht="20.100000000000001" customHeight="1" x14ac:dyDescent="0.2">
      <c r="B13" s="1971" t="s">
        <v>2196</v>
      </c>
      <c r="C13" s="1972"/>
      <c r="D13" s="1973"/>
      <c r="E13" s="1974"/>
      <c r="F13" s="1974"/>
      <c r="G13" s="1974"/>
      <c r="H13" s="1974"/>
      <c r="I13" s="1974"/>
      <c r="J13" s="1974"/>
      <c r="K13" s="1974"/>
      <c r="L13" s="1970"/>
      <c r="M13" s="1974"/>
    </row>
    <row r="14" spans="2:14" ht="20.100000000000001" customHeight="1" x14ac:dyDescent="0.2">
      <c r="B14" s="1975" t="s">
        <v>2150</v>
      </c>
      <c r="C14" s="1972">
        <v>10.555</v>
      </c>
      <c r="D14" s="1973" t="s">
        <v>2152</v>
      </c>
      <c r="E14" s="1974">
        <v>1004387</v>
      </c>
      <c r="F14" s="1974">
        <v>226824</v>
      </c>
      <c r="G14" s="1974">
        <v>1004387</v>
      </c>
      <c r="H14" s="1974">
        <v>0</v>
      </c>
      <c r="I14" s="1974">
        <v>226824</v>
      </c>
      <c r="J14" s="1974">
        <v>0</v>
      </c>
      <c r="K14" s="1974">
        <v>0</v>
      </c>
      <c r="L14" s="1970">
        <f t="shared" ref="L14:L28" si="0">+G14+I14+K14</f>
        <v>1231211</v>
      </c>
      <c r="M14" s="1974" t="s">
        <v>2151</v>
      </c>
    </row>
    <row r="15" spans="2:14" ht="20.100000000000001" customHeight="1" x14ac:dyDescent="0.2">
      <c r="B15" s="1975"/>
      <c r="C15" s="1972"/>
      <c r="D15" s="1973" t="s">
        <v>2160</v>
      </c>
      <c r="E15" s="1974">
        <v>0</v>
      </c>
      <c r="F15" s="1976">
        <v>949037</v>
      </c>
      <c r="G15" s="1974">
        <v>0</v>
      </c>
      <c r="H15" s="1974">
        <v>0</v>
      </c>
      <c r="I15" s="1976">
        <v>949037</v>
      </c>
      <c r="J15" s="1974">
        <v>0</v>
      </c>
      <c r="K15" s="1974">
        <v>0</v>
      </c>
      <c r="L15" s="1970">
        <f t="shared" si="0"/>
        <v>949037</v>
      </c>
      <c r="M15" s="1974" t="s">
        <v>2151</v>
      </c>
    </row>
    <row r="16" spans="2:14" ht="20.100000000000001" customHeight="1" x14ac:dyDescent="0.2">
      <c r="B16" s="1975"/>
      <c r="C16" s="1972"/>
      <c r="D16" s="1973"/>
      <c r="E16" s="1974"/>
      <c r="F16" s="1977">
        <f>SUM(F14:F15)</f>
        <v>1175861</v>
      </c>
      <c r="G16" s="1974"/>
      <c r="H16" s="1974"/>
      <c r="I16" s="1977">
        <f>SUM(I14:I15)</f>
        <v>1175861</v>
      </c>
      <c r="J16" s="1977">
        <f>SUM(J14:J15)</f>
        <v>0</v>
      </c>
      <c r="K16" s="1974"/>
      <c r="L16" s="1970"/>
      <c r="M16" s="1974"/>
    </row>
    <row r="17" spans="2:14" ht="17.25" customHeight="1" x14ac:dyDescent="0.2">
      <c r="B17" s="1975"/>
      <c r="C17" s="1972"/>
      <c r="D17" s="1973"/>
      <c r="E17" s="1974"/>
      <c r="F17" s="1970"/>
      <c r="G17" s="1974"/>
      <c r="H17" s="1974"/>
      <c r="I17" s="1974"/>
      <c r="J17" s="1974"/>
      <c r="K17" s="1974"/>
      <c r="L17" s="1970"/>
      <c r="M17" s="1974"/>
    </row>
    <row r="18" spans="2:14" ht="20.100000000000001" customHeight="1" x14ac:dyDescent="0.2">
      <c r="B18" s="1975" t="s">
        <v>2153</v>
      </c>
      <c r="C18" s="1972">
        <v>10.555999999999999</v>
      </c>
      <c r="D18" s="1973" t="s">
        <v>2154</v>
      </c>
      <c r="E18" s="1974">
        <v>4590</v>
      </c>
      <c r="F18" s="1974">
        <v>944</v>
      </c>
      <c r="G18" s="1974">
        <v>4590</v>
      </c>
      <c r="H18" s="1974">
        <v>0</v>
      </c>
      <c r="I18" s="1974">
        <v>944</v>
      </c>
      <c r="J18" s="1974">
        <v>0</v>
      </c>
      <c r="K18" s="1974">
        <v>0</v>
      </c>
      <c r="L18" s="1970">
        <f t="shared" si="0"/>
        <v>5534</v>
      </c>
      <c r="M18" s="1974" t="s">
        <v>2151</v>
      </c>
    </row>
    <row r="19" spans="2:14" ht="20.100000000000001" customHeight="1" x14ac:dyDescent="0.2">
      <c r="B19" s="1975"/>
      <c r="C19" s="1972"/>
      <c r="D19" s="1973" t="s">
        <v>2161</v>
      </c>
      <c r="E19" s="1974">
        <v>0</v>
      </c>
      <c r="F19" s="1976">
        <v>4488</v>
      </c>
      <c r="G19" s="1974">
        <v>0</v>
      </c>
      <c r="H19" s="1974">
        <v>0</v>
      </c>
      <c r="I19" s="1976">
        <v>4488</v>
      </c>
      <c r="J19" s="1974">
        <v>0</v>
      </c>
      <c r="K19" s="1974">
        <v>0</v>
      </c>
      <c r="L19" s="1970">
        <f t="shared" si="0"/>
        <v>4488</v>
      </c>
      <c r="M19" s="1974" t="s">
        <v>2151</v>
      </c>
    </row>
    <row r="20" spans="2:14" ht="20.100000000000001" customHeight="1" x14ac:dyDescent="0.2">
      <c r="B20" s="1975"/>
      <c r="C20" s="1972"/>
      <c r="D20" s="1973"/>
      <c r="E20" s="1974"/>
      <c r="F20" s="1977">
        <f>SUM(F18:F19)</f>
        <v>5432</v>
      </c>
      <c r="G20" s="1974"/>
      <c r="H20" s="1974"/>
      <c r="I20" s="1977">
        <f>SUM(I18:I19)</f>
        <v>5432</v>
      </c>
      <c r="J20" s="1977">
        <f>SUM(J18:J19)</f>
        <v>0</v>
      </c>
      <c r="K20" s="1974"/>
      <c r="L20" s="1970"/>
      <c r="M20" s="1974"/>
    </row>
    <row r="21" spans="2:14" ht="17.25" customHeight="1" x14ac:dyDescent="0.2">
      <c r="B21" s="1975"/>
      <c r="C21" s="1972"/>
      <c r="D21" s="1973"/>
      <c r="E21" s="1974"/>
      <c r="F21" s="1974"/>
      <c r="G21" s="1974"/>
      <c r="H21" s="1974"/>
      <c r="I21" s="1974"/>
      <c r="J21" s="1974"/>
      <c r="K21" s="1974"/>
      <c r="L21" s="1970"/>
      <c r="M21" s="1974"/>
    </row>
    <row r="22" spans="2:14" ht="20.100000000000001" customHeight="1" x14ac:dyDescent="0.2">
      <c r="B22" s="1975" t="s">
        <v>2155</v>
      </c>
      <c r="C22" s="1972">
        <v>10.553000000000001</v>
      </c>
      <c r="D22" s="1973" t="s">
        <v>2156</v>
      </c>
      <c r="E22" s="1974">
        <v>220815</v>
      </c>
      <c r="F22" s="1974">
        <v>46791</v>
      </c>
      <c r="G22" s="1974">
        <v>220815</v>
      </c>
      <c r="H22" s="1974">
        <v>0</v>
      </c>
      <c r="I22" s="1974">
        <v>46791</v>
      </c>
      <c r="J22" s="1974">
        <v>0</v>
      </c>
      <c r="K22" s="1974">
        <v>0</v>
      </c>
      <c r="L22" s="1970">
        <f t="shared" si="0"/>
        <v>267606</v>
      </c>
      <c r="M22" s="1974" t="s">
        <v>2151</v>
      </c>
    </row>
    <row r="23" spans="2:14" ht="20.100000000000001" customHeight="1" x14ac:dyDescent="0.2">
      <c r="B23" s="1975"/>
      <c r="C23" s="1972"/>
      <c r="D23" s="1973" t="s">
        <v>2162</v>
      </c>
      <c r="E23" s="1974">
        <v>0</v>
      </c>
      <c r="F23" s="1976">
        <v>218104</v>
      </c>
      <c r="G23" s="1974">
        <v>0</v>
      </c>
      <c r="H23" s="1974">
        <v>0</v>
      </c>
      <c r="I23" s="1976">
        <v>218104</v>
      </c>
      <c r="J23" s="1974">
        <v>0</v>
      </c>
      <c r="K23" s="1974">
        <v>0</v>
      </c>
      <c r="L23" s="1970">
        <f t="shared" si="0"/>
        <v>218104</v>
      </c>
      <c r="M23" s="1974" t="s">
        <v>2151</v>
      </c>
    </row>
    <row r="24" spans="2:14" ht="20.100000000000001" customHeight="1" x14ac:dyDescent="0.2">
      <c r="B24" s="1975"/>
      <c r="C24" s="1972"/>
      <c r="D24" s="1973"/>
      <c r="E24" s="1974"/>
      <c r="F24" s="1977">
        <f>SUM(F22:F23)</f>
        <v>264895</v>
      </c>
      <c r="G24" s="1974"/>
      <c r="H24" s="1974"/>
      <c r="I24" s="1977">
        <f>SUM(I22:I23)</f>
        <v>264895</v>
      </c>
      <c r="J24" s="1977">
        <f>SUM(J22:J23)</f>
        <v>0</v>
      </c>
      <c r="K24" s="1974"/>
      <c r="L24" s="1970"/>
      <c r="M24" s="1974"/>
    </row>
    <row r="25" spans="2:14" ht="17.25" customHeight="1" x14ac:dyDescent="0.2">
      <c r="B25" s="1975"/>
      <c r="C25" s="1972"/>
      <c r="D25" s="1973"/>
      <c r="E25" s="1974"/>
      <c r="F25" s="1974"/>
      <c r="G25" s="1974"/>
      <c r="H25" s="1974"/>
      <c r="I25" s="1974"/>
      <c r="J25" s="1974"/>
      <c r="K25" s="1974"/>
      <c r="L25" s="1970"/>
      <c r="M25" s="1974"/>
    </row>
    <row r="26" spans="2:14" ht="20.100000000000001" customHeight="1" x14ac:dyDescent="0.2">
      <c r="B26" s="1975" t="s">
        <v>2157</v>
      </c>
      <c r="C26" s="1972">
        <v>10.555</v>
      </c>
      <c r="D26" s="1974" t="s">
        <v>2151</v>
      </c>
      <c r="E26" s="1974">
        <v>0</v>
      </c>
      <c r="F26" s="1976">
        <v>129679</v>
      </c>
      <c r="G26" s="1974">
        <v>0</v>
      </c>
      <c r="H26" s="1974">
        <v>0</v>
      </c>
      <c r="I26" s="1976">
        <v>129679</v>
      </c>
      <c r="J26" s="1976">
        <v>0</v>
      </c>
      <c r="K26" s="1974">
        <v>0</v>
      </c>
      <c r="L26" s="1970">
        <f t="shared" si="0"/>
        <v>129679</v>
      </c>
      <c r="M26" s="1974" t="s">
        <v>2151</v>
      </c>
    </row>
    <row r="27" spans="2:14" ht="17.25" customHeight="1" x14ac:dyDescent="0.2">
      <c r="B27" s="1975"/>
      <c r="C27" s="1972"/>
      <c r="D27" s="1973"/>
      <c r="E27" s="1974"/>
      <c r="F27" s="1970"/>
      <c r="G27" s="1974"/>
      <c r="H27" s="1974"/>
      <c r="I27" s="1970"/>
      <c r="J27" s="1970"/>
      <c r="K27" s="1974"/>
      <c r="L27" s="1970"/>
      <c r="M27" s="1974"/>
    </row>
    <row r="28" spans="2:14" ht="20.100000000000001" customHeight="1" x14ac:dyDescent="0.2">
      <c r="B28" s="1975" t="s">
        <v>2158</v>
      </c>
      <c r="C28" s="1972">
        <v>10.555</v>
      </c>
      <c r="D28" s="1974" t="s">
        <v>2151</v>
      </c>
      <c r="E28" s="1974">
        <v>0</v>
      </c>
      <c r="F28" s="1976">
        <v>32328</v>
      </c>
      <c r="G28" s="1974">
        <v>0</v>
      </c>
      <c r="H28" s="1974">
        <v>0</v>
      </c>
      <c r="I28" s="1976">
        <v>32328</v>
      </c>
      <c r="J28" s="1976">
        <v>0</v>
      </c>
      <c r="K28" s="1974">
        <v>0</v>
      </c>
      <c r="L28" s="1970">
        <f t="shared" si="0"/>
        <v>32328</v>
      </c>
      <c r="M28" s="1974" t="s">
        <v>2151</v>
      </c>
    </row>
    <row r="29" spans="2:14" ht="17.25" customHeight="1" x14ac:dyDescent="0.2">
      <c r="B29" s="1978"/>
      <c r="C29" s="1972"/>
      <c r="D29" s="1973"/>
      <c r="E29" s="1974"/>
      <c r="F29" s="1970"/>
      <c r="G29" s="1974"/>
      <c r="H29" s="1974"/>
      <c r="I29" s="1970"/>
      <c r="J29" s="1970"/>
      <c r="K29" s="1974"/>
      <c r="L29" s="1970"/>
      <c r="M29" s="1974"/>
    </row>
    <row r="30" spans="2:14" ht="20.100000000000001" customHeight="1" x14ac:dyDescent="0.2">
      <c r="B30" s="1978" t="s">
        <v>2159</v>
      </c>
      <c r="C30" s="1972"/>
      <c r="D30" s="1973"/>
      <c r="E30" s="1973"/>
      <c r="F30" s="1979">
        <f>F16+F20+F24+F26+F28</f>
        <v>1608195</v>
      </c>
      <c r="G30" s="1973"/>
      <c r="H30" s="1973"/>
      <c r="I30" s="1980">
        <f>I16+I20+I24+I26+I28</f>
        <v>1608195</v>
      </c>
      <c r="J30" s="1981">
        <f>J16+J20+J24+J26+J28</f>
        <v>0</v>
      </c>
      <c r="K30" s="1973"/>
      <c r="L30" s="1973"/>
      <c r="M30" s="1973"/>
      <c r="N30" s="1344"/>
    </row>
    <row r="31" spans="2:14" ht="12.75" customHeight="1" x14ac:dyDescent="0.2">
      <c r="B31" s="1345"/>
      <c r="C31" s="1346"/>
      <c r="D31" s="1347"/>
      <c r="E31" s="1348"/>
      <c r="F31" s="1348"/>
      <c r="G31" s="1348"/>
      <c r="H31" s="1348"/>
      <c r="I31" s="1348"/>
      <c r="J31" s="1348"/>
      <c r="K31" s="1348"/>
      <c r="L31" s="1348"/>
      <c r="M31" s="1348"/>
      <c r="N31" s="1344"/>
    </row>
    <row r="32" spans="2:14" ht="13.5" customHeight="1" x14ac:dyDescent="0.2">
      <c r="B32" s="1282" t="s">
        <v>1837</v>
      </c>
      <c r="C32" s="1349"/>
      <c r="D32" s="1350"/>
      <c r="E32" s="1257"/>
      <c r="F32" s="1257"/>
      <c r="G32" s="1250"/>
      <c r="H32" s="1250"/>
      <c r="I32" s="1250"/>
      <c r="J32" s="1250"/>
      <c r="K32" s="1250"/>
      <c r="L32" s="1250"/>
      <c r="M32" s="1257"/>
      <c r="N32" s="1344"/>
    </row>
    <row r="33" spans="2:14" ht="8.25" customHeight="1" x14ac:dyDescent="0.2">
      <c r="B33" s="1282"/>
      <c r="C33" s="1349"/>
      <c r="D33" s="1350"/>
      <c r="E33" s="1257"/>
      <c r="F33" s="1257"/>
      <c r="G33" s="1250"/>
      <c r="H33" s="1250"/>
      <c r="I33" s="1250"/>
      <c r="J33" s="1250"/>
      <c r="K33" s="1250"/>
      <c r="L33" s="1250"/>
      <c r="M33" s="1257"/>
      <c r="N33" s="1344"/>
    </row>
    <row r="34" spans="2:14" x14ac:dyDescent="0.2">
      <c r="B34" s="1351" t="s">
        <v>1948</v>
      </c>
      <c r="C34" s="1352"/>
      <c r="D34" s="1353"/>
      <c r="E34" s="1354"/>
      <c r="F34" s="1354"/>
      <c r="G34" s="1354"/>
      <c r="H34" s="1354"/>
      <c r="I34" s="317"/>
      <c r="J34" s="317"/>
    </row>
    <row r="35" spans="2:14" x14ac:dyDescent="0.2">
      <c r="B35" s="1277"/>
      <c r="C35" s="1355"/>
      <c r="D35" s="1356"/>
      <c r="E35" s="1278"/>
      <c r="F35" s="1278"/>
      <c r="G35" s="317"/>
      <c r="H35" s="317"/>
      <c r="I35" s="317"/>
      <c r="J35" s="317"/>
    </row>
    <row r="36" spans="2:14" ht="13.5" customHeight="1" x14ac:dyDescent="0.2">
      <c r="B36" s="1276" t="s">
        <v>1308</v>
      </c>
      <c r="G36" s="317"/>
      <c r="H36" s="317"/>
      <c r="I36" s="317"/>
      <c r="J36" s="317"/>
    </row>
    <row r="37" spans="2:14" ht="13.5" customHeight="1" x14ac:dyDescent="0.2">
      <c r="B37" s="1359"/>
      <c r="C37" s="1360"/>
      <c r="D37" s="1361"/>
      <c r="E37" s="1297"/>
      <c r="F37" s="1297"/>
      <c r="G37" s="1297"/>
      <c r="H37" s="1297"/>
      <c r="I37" s="1297"/>
      <c r="J37" s="1297"/>
      <c r="K37" s="1362"/>
      <c r="L37" s="1362"/>
      <c r="M37" s="1297"/>
    </row>
    <row r="38" spans="2:14" ht="9.6" customHeight="1" x14ac:dyDescent="0.2">
      <c r="B38" s="1363"/>
      <c r="G38" s="317"/>
      <c r="H38" s="317"/>
      <c r="I38" s="317"/>
      <c r="J38" s="317"/>
    </row>
    <row r="39" spans="2:14" ht="11.25" customHeight="1" x14ac:dyDescent="0.2">
      <c r="B39" s="1364" t="s">
        <v>1838</v>
      </c>
      <c r="C39" s="1365"/>
      <c r="D39" s="1365"/>
      <c r="E39" s="1365"/>
      <c r="F39" s="1365"/>
      <c r="G39" s="1365"/>
      <c r="H39" s="1365"/>
      <c r="I39" s="1366"/>
      <c r="J39" s="1366"/>
      <c r="K39" s="1366"/>
      <c r="L39" s="1366"/>
      <c r="M39" s="1366"/>
    </row>
    <row r="40" spans="2:14" ht="11.25" customHeight="1" x14ac:dyDescent="0.2">
      <c r="B40" s="1367" t="s">
        <v>1666</v>
      </c>
      <c r="C40" s="1366"/>
      <c r="D40" s="1366"/>
      <c r="E40" s="1366"/>
      <c r="F40" s="1366"/>
      <c r="G40" s="1366"/>
      <c r="H40" s="1366"/>
      <c r="I40" s="1366"/>
      <c r="J40" s="1366"/>
      <c r="K40" s="1366"/>
      <c r="L40" s="1366"/>
      <c r="M40" s="1366"/>
    </row>
    <row r="41" spans="2:14" ht="3.95" customHeight="1" x14ac:dyDescent="0.2">
      <c r="B41" s="1367"/>
      <c r="C41" s="1366"/>
      <c r="D41" s="1366"/>
      <c r="E41" s="1366"/>
      <c r="F41" s="1366"/>
      <c r="G41" s="1366"/>
      <c r="H41" s="1366"/>
      <c r="I41" s="1366"/>
      <c r="J41" s="1366"/>
      <c r="K41" s="1366"/>
      <c r="L41" s="1366"/>
      <c r="M41" s="1366"/>
    </row>
    <row r="42" spans="2:14" ht="11.25" customHeight="1" x14ac:dyDescent="0.2">
      <c r="B42" s="1364" t="s">
        <v>1839</v>
      </c>
      <c r="C42" s="1366"/>
      <c r="D42" s="1366"/>
      <c r="E42" s="1366"/>
      <c r="F42" s="1366"/>
      <c r="G42" s="1366"/>
      <c r="H42" s="1366"/>
      <c r="I42" s="1366"/>
      <c r="J42" s="1366"/>
      <c r="K42" s="1366"/>
      <c r="L42" s="1366"/>
      <c r="M42" s="1366"/>
    </row>
    <row r="43" spans="2:14" ht="11.25" customHeight="1" x14ac:dyDescent="0.2">
      <c r="B43" s="1300" t="s">
        <v>1667</v>
      </c>
      <c r="C43" s="1368"/>
      <c r="D43" s="1369"/>
      <c r="E43" s="1300"/>
      <c r="F43" s="1300"/>
      <c r="G43" s="1300"/>
      <c r="H43" s="1300"/>
      <c r="I43" s="1300"/>
      <c r="J43" s="1300"/>
      <c r="K43" s="1370"/>
      <c r="L43" s="1370"/>
      <c r="M43" s="1300"/>
    </row>
    <row r="44" spans="2:14" ht="3.95" customHeight="1" x14ac:dyDescent="0.2">
      <c r="B44" s="1300"/>
      <c r="C44" s="1368"/>
      <c r="D44" s="1369"/>
      <c r="E44" s="1300"/>
      <c r="F44" s="1300"/>
      <c r="G44" s="1300"/>
      <c r="H44" s="1300"/>
      <c r="I44" s="1300"/>
      <c r="J44" s="1300"/>
      <c r="K44" s="1370"/>
      <c r="L44" s="1370"/>
      <c r="M44" s="1300"/>
    </row>
    <row r="45" spans="2:14" ht="11.25" customHeight="1" x14ac:dyDescent="0.2">
      <c r="B45" s="1371" t="s">
        <v>1840</v>
      </c>
      <c r="C45" s="1368"/>
      <c r="D45" s="1369"/>
      <c r="E45" s="1300"/>
      <c r="F45" s="1300"/>
      <c r="G45" s="1300"/>
      <c r="H45" s="1300"/>
      <c r="I45" s="1300"/>
      <c r="J45" s="1300"/>
      <c r="K45" s="1370"/>
      <c r="L45" s="1370"/>
      <c r="M45" s="1300"/>
    </row>
    <row r="46" spans="2:14" ht="3.95" customHeight="1" x14ac:dyDescent="0.2">
      <c r="B46" s="1371"/>
      <c r="C46" s="1368"/>
      <c r="D46" s="1369"/>
      <c r="E46" s="1300"/>
      <c r="F46" s="1300"/>
      <c r="G46" s="1300"/>
      <c r="H46" s="1300"/>
      <c r="I46" s="1300"/>
      <c r="J46" s="1300"/>
      <c r="K46" s="1370"/>
      <c r="L46" s="1370"/>
      <c r="M46" s="1300"/>
    </row>
    <row r="47" spans="2:14" ht="11.25" customHeight="1" x14ac:dyDescent="0.2">
      <c r="B47" s="1372" t="s">
        <v>1841</v>
      </c>
      <c r="C47" s="1368"/>
      <c r="D47" s="1369"/>
      <c r="E47" s="1300"/>
      <c r="F47" s="1300"/>
      <c r="G47" s="1300"/>
      <c r="H47" s="1300"/>
      <c r="I47" s="1300"/>
      <c r="J47" s="1300"/>
      <c r="K47" s="1370"/>
      <c r="L47" s="1370"/>
      <c r="M47" s="1300"/>
    </row>
    <row r="48" spans="2:14" ht="11.25" customHeight="1" x14ac:dyDescent="0.2">
      <c r="B48" s="1300" t="s">
        <v>1668</v>
      </c>
      <c r="G48" s="317"/>
      <c r="H48" s="317"/>
      <c r="I48" s="317"/>
      <c r="J48" s="317"/>
    </row>
    <row r="49" spans="2:13" ht="11.1" customHeight="1" x14ac:dyDescent="0.2">
      <c r="B49" s="1300"/>
      <c r="G49" s="317"/>
      <c r="H49" s="317"/>
      <c r="I49" s="317"/>
      <c r="J49" s="317"/>
    </row>
    <row r="50" spans="2:13" ht="11.1" customHeight="1" x14ac:dyDescent="0.2">
      <c r="B50" s="1300"/>
      <c r="G50" s="317"/>
      <c r="H50" s="317"/>
      <c r="I50" s="317"/>
      <c r="J50" s="317"/>
    </row>
    <row r="51" spans="2:13" ht="13.5" customHeight="1" x14ac:dyDescent="0.2">
      <c r="M51" s="1373"/>
    </row>
    <row r="52" spans="2:13" ht="13.5" customHeight="1" x14ac:dyDescent="0.2">
      <c r="M52" s="1373"/>
    </row>
    <row r="53" spans="2:13" ht="13.5" customHeight="1" x14ac:dyDescent="0.2">
      <c r="M53" s="1373"/>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45" bottom="0.45" header="0.25" footer="0.25"/>
  <pageSetup scale="79" firstPageNumber="38" orientation="landscape" useFirstPageNumber="1" r:id="rId1"/>
  <headerFooter alignWithMargins="0">
    <oddHeader>&amp;L&amp;8Page 42&amp;R&amp;8Page 42</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3"/>
  <sheetViews>
    <sheetView showGridLines="0" topLeftCell="A9" zoomScaleNormal="100" workbookViewId="0">
      <selection activeCell="B20" sqref="B2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75" t="str">
        <f>'Single Audit Cover'!A7</f>
        <v>Galesburg CUSD 205</v>
      </c>
      <c r="C1" s="2496"/>
      <c r="D1" s="2496"/>
      <c r="E1" s="2496"/>
      <c r="F1" s="2496"/>
      <c r="G1" s="2496"/>
      <c r="H1" s="2496"/>
      <c r="I1" s="2496"/>
      <c r="J1" s="2496"/>
      <c r="K1" s="2496"/>
      <c r="L1" s="2496"/>
      <c r="M1" s="2496"/>
    </row>
    <row r="2" spans="2:14" ht="15" x14ac:dyDescent="0.2">
      <c r="B2" s="2497">
        <f>'Single Audit Cover'!E7</f>
        <v>33048205026</v>
      </c>
      <c r="C2" s="2497"/>
      <c r="D2" s="2497"/>
      <c r="E2" s="2497"/>
      <c r="F2" s="2497"/>
      <c r="G2" s="2497"/>
      <c r="H2" s="2497"/>
      <c r="I2" s="2497"/>
      <c r="J2" s="2497"/>
      <c r="K2" s="2497"/>
      <c r="L2" s="2497"/>
      <c r="M2" s="2497"/>
      <c r="N2" s="1302"/>
    </row>
    <row r="3" spans="2:14" ht="15" x14ac:dyDescent="0.2">
      <c r="B3" s="2498" t="s">
        <v>1281</v>
      </c>
      <c r="C3" s="2498"/>
      <c r="D3" s="2498"/>
      <c r="E3" s="2498"/>
      <c r="F3" s="2498"/>
      <c r="G3" s="2498"/>
      <c r="H3" s="2498"/>
      <c r="I3" s="2498"/>
      <c r="J3" s="2498"/>
      <c r="K3" s="2498"/>
      <c r="L3" s="2498"/>
      <c r="M3" s="2498"/>
      <c r="N3" s="1302"/>
    </row>
    <row r="4" spans="2:14" ht="15" x14ac:dyDescent="0.2">
      <c r="B4" s="2499" t="str">
        <f>'Single Audit Cover'!A4</f>
        <v>Year Ending June 30, 2018</v>
      </c>
      <c r="C4" s="2499"/>
      <c r="D4" s="2499"/>
      <c r="E4" s="2499"/>
      <c r="F4" s="2499"/>
      <c r="G4" s="2499"/>
      <c r="H4" s="2499"/>
      <c r="I4" s="2499"/>
      <c r="J4" s="2499"/>
      <c r="K4" s="2499"/>
      <c r="L4" s="2499"/>
      <c r="M4" s="249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60" t="s">
        <v>2163</v>
      </c>
      <c r="C11" s="1338"/>
      <c r="D11" s="1339"/>
      <c r="E11" s="1340"/>
      <c r="F11" s="1340"/>
      <c r="G11" s="1340"/>
      <c r="H11" s="1340"/>
      <c r="I11" s="1340"/>
      <c r="J11" s="1340"/>
      <c r="K11" s="1340"/>
      <c r="L11" s="1340"/>
      <c r="M11" s="1340"/>
    </row>
    <row r="12" spans="2:14" ht="20.100000000000001" customHeight="1" x14ac:dyDescent="0.2">
      <c r="B12" s="1960" t="s">
        <v>2149</v>
      </c>
      <c r="C12" s="1341"/>
      <c r="D12" s="1342"/>
      <c r="E12" s="1343"/>
      <c r="F12" s="1343"/>
      <c r="G12" s="1343"/>
      <c r="H12" s="1343"/>
      <c r="I12" s="1343"/>
      <c r="J12" s="1343"/>
      <c r="K12" s="1343"/>
      <c r="L12" s="1340"/>
      <c r="M12" s="1343"/>
    </row>
    <row r="13" spans="2:14" ht="20.100000000000001" customHeight="1" x14ac:dyDescent="0.2">
      <c r="B13" s="1337" t="s">
        <v>2167</v>
      </c>
      <c r="C13" s="1341">
        <v>84.358000000000004</v>
      </c>
      <c r="D13" s="1342" t="s">
        <v>2168</v>
      </c>
      <c r="E13" s="1343">
        <v>0</v>
      </c>
      <c r="F13" s="1983">
        <v>58049</v>
      </c>
      <c r="G13" s="1343">
        <v>0</v>
      </c>
      <c r="H13" s="1343">
        <v>0</v>
      </c>
      <c r="I13" s="1983">
        <v>58049</v>
      </c>
      <c r="J13" s="1343">
        <v>0</v>
      </c>
      <c r="K13" s="1343">
        <v>0</v>
      </c>
      <c r="L13" s="1340">
        <f>+G13+I13+K13</f>
        <v>58049</v>
      </c>
      <c r="M13" s="1343">
        <v>74991</v>
      </c>
    </row>
    <row r="14" spans="2:14" ht="20.100000000000001" customHeight="1" x14ac:dyDescent="0.2">
      <c r="B14" s="1337"/>
      <c r="C14" s="1341"/>
      <c r="D14" s="1342"/>
      <c r="E14" s="1343"/>
      <c r="F14" s="1340"/>
      <c r="G14" s="1343"/>
      <c r="H14" s="1343"/>
      <c r="I14" s="1340"/>
      <c r="J14" s="1343"/>
      <c r="K14" s="1343"/>
      <c r="L14" s="1340"/>
      <c r="M14" s="1343"/>
    </row>
    <row r="15" spans="2:14" ht="20.100000000000001" customHeight="1" x14ac:dyDescent="0.2">
      <c r="B15" s="1964" t="s">
        <v>2169</v>
      </c>
      <c r="C15" s="1961">
        <v>84.01</v>
      </c>
      <c r="D15" s="1962" t="s">
        <v>2164</v>
      </c>
      <c r="E15" s="1963">
        <v>2049855</v>
      </c>
      <c r="F15" s="1963">
        <v>0</v>
      </c>
      <c r="G15" s="1963">
        <v>2049855</v>
      </c>
      <c r="H15" s="1963">
        <v>0</v>
      </c>
      <c r="I15" s="1963">
        <v>0</v>
      </c>
      <c r="J15" s="1963">
        <v>0</v>
      </c>
      <c r="K15" s="1963">
        <v>0</v>
      </c>
      <c r="L15" s="1959">
        <f>+G15+I15+K15+G16+I16+K16</f>
        <v>2064819</v>
      </c>
      <c r="M15" s="1963">
        <v>2363036</v>
      </c>
    </row>
    <row r="16" spans="2:14" ht="20.100000000000001" customHeight="1" x14ac:dyDescent="0.2">
      <c r="B16" s="1964"/>
      <c r="C16" s="1961">
        <v>84.367000000000004</v>
      </c>
      <c r="D16" s="1962" t="s">
        <v>2164</v>
      </c>
      <c r="E16" s="1963">
        <v>0</v>
      </c>
      <c r="F16" s="1998">
        <v>14964</v>
      </c>
      <c r="G16" s="1963">
        <v>0</v>
      </c>
      <c r="H16" s="1963">
        <v>0</v>
      </c>
      <c r="I16" s="1998">
        <v>14964</v>
      </c>
      <c r="J16" s="1998">
        <v>0</v>
      </c>
      <c r="K16" s="1963">
        <v>0</v>
      </c>
      <c r="L16" s="1959"/>
      <c r="M16" s="1963"/>
    </row>
    <row r="17" spans="2:14" ht="20.100000000000001" customHeight="1" x14ac:dyDescent="0.2">
      <c r="B17" s="1964"/>
      <c r="C17" s="1961">
        <v>84.01</v>
      </c>
      <c r="D17" s="1962" t="s">
        <v>2171</v>
      </c>
      <c r="E17" s="1963">
        <v>0</v>
      </c>
      <c r="F17" s="1998">
        <v>1984178</v>
      </c>
      <c r="G17" s="1963">
        <v>0</v>
      </c>
      <c r="H17" s="1963">
        <v>0</v>
      </c>
      <c r="I17" s="1998">
        <v>1984178</v>
      </c>
      <c r="J17" s="1998">
        <v>0</v>
      </c>
      <c r="K17" s="1963">
        <v>162719</v>
      </c>
      <c r="L17" s="1959">
        <f>SUM(G17:K19)</f>
        <v>2242412</v>
      </c>
      <c r="M17" s="1963">
        <v>2403478</v>
      </c>
    </row>
    <row r="18" spans="2:14" ht="20.100000000000001" customHeight="1" x14ac:dyDescent="0.2">
      <c r="B18" s="1964"/>
      <c r="C18" s="1961">
        <v>84.424000000000007</v>
      </c>
      <c r="D18" s="1962" t="s">
        <v>2171</v>
      </c>
      <c r="E18" s="1963">
        <v>0</v>
      </c>
      <c r="F18" s="1998">
        <v>42324</v>
      </c>
      <c r="G18" s="1963">
        <v>0</v>
      </c>
      <c r="H18" s="1963">
        <v>0</v>
      </c>
      <c r="I18" s="1998">
        <v>42324</v>
      </c>
      <c r="J18" s="1998">
        <v>0</v>
      </c>
      <c r="K18" s="1963">
        <v>0</v>
      </c>
      <c r="L18" s="1959"/>
      <c r="M18" s="1963"/>
    </row>
    <row r="19" spans="2:14" ht="20.100000000000001" customHeight="1" x14ac:dyDescent="0.2">
      <c r="B19" s="1964"/>
      <c r="C19" s="1961">
        <v>84.367000000000004</v>
      </c>
      <c r="D19" s="1962" t="s">
        <v>2171</v>
      </c>
      <c r="E19" s="1963">
        <v>0</v>
      </c>
      <c r="F19" s="1965">
        <v>53191</v>
      </c>
      <c r="G19" s="1963">
        <v>0</v>
      </c>
      <c r="H19" s="1963">
        <v>0</v>
      </c>
      <c r="I19" s="1965">
        <v>53191</v>
      </c>
      <c r="J19" s="1965">
        <v>0</v>
      </c>
      <c r="K19" s="1963">
        <v>0</v>
      </c>
      <c r="L19" s="1959"/>
      <c r="M19" s="1963"/>
    </row>
    <row r="20" spans="2:14" ht="20.100000000000001" customHeight="1" x14ac:dyDescent="0.2">
      <c r="B20" s="1964"/>
      <c r="C20" s="1961"/>
      <c r="D20" s="1962"/>
      <c r="E20" s="1963"/>
      <c r="F20" s="1966">
        <f>SUM(F15:F19)</f>
        <v>2094657</v>
      </c>
      <c r="G20" s="1963"/>
      <c r="H20" s="1963"/>
      <c r="I20" s="1966">
        <f>SUM(I15:I19)</f>
        <v>2094657</v>
      </c>
      <c r="J20" s="1966">
        <f>SUM(J15:J19)</f>
        <v>0</v>
      </c>
      <c r="K20" s="1963"/>
      <c r="L20" s="1959"/>
      <c r="M20" s="1963"/>
    </row>
    <row r="21" spans="2:14" ht="20.100000000000001" customHeight="1" x14ac:dyDescent="0.2">
      <c r="B21" s="1964"/>
      <c r="C21" s="1961"/>
      <c r="D21" s="1962"/>
      <c r="E21" s="1963"/>
      <c r="F21" s="1959"/>
      <c r="G21" s="1963"/>
      <c r="H21" s="1963"/>
      <c r="I21" s="1963"/>
      <c r="J21" s="1963"/>
      <c r="K21" s="1963"/>
      <c r="L21" s="1959"/>
      <c r="M21" s="1963"/>
    </row>
    <row r="22" spans="2:14" ht="20.100000000000001" customHeight="1" x14ac:dyDescent="0.2">
      <c r="B22" s="1964" t="s">
        <v>2170</v>
      </c>
      <c r="C22" s="1961">
        <v>84.01</v>
      </c>
      <c r="D22" s="1962" t="s">
        <v>2165</v>
      </c>
      <c r="E22" s="1963">
        <v>15020</v>
      </c>
      <c r="F22" s="1965">
        <v>0</v>
      </c>
      <c r="G22" s="1963">
        <v>15020</v>
      </c>
      <c r="H22" s="1963">
        <v>0</v>
      </c>
      <c r="I22" s="1965">
        <v>0</v>
      </c>
      <c r="J22" s="1965">
        <v>0</v>
      </c>
      <c r="K22" s="1963">
        <v>0</v>
      </c>
      <c r="L22" s="1959">
        <f t="shared" ref="L22:L27" si="0">+G22+I22+K22</f>
        <v>15020</v>
      </c>
      <c r="M22" s="1963">
        <v>15020</v>
      </c>
    </row>
    <row r="23" spans="2:14" ht="20.100000000000001" customHeight="1" x14ac:dyDescent="0.2">
      <c r="B23" s="1964"/>
      <c r="C23" s="1961"/>
      <c r="D23" s="1962"/>
      <c r="E23" s="1962"/>
      <c r="F23" s="1958"/>
      <c r="G23" s="1962"/>
      <c r="H23" s="1962"/>
      <c r="I23" s="1958"/>
      <c r="J23" s="1958"/>
      <c r="K23" s="1962"/>
      <c r="L23" s="1959"/>
      <c r="M23" s="1963"/>
    </row>
    <row r="24" spans="2:14" ht="20.100000000000001" customHeight="1" x14ac:dyDescent="0.2">
      <c r="B24" s="1960" t="s">
        <v>2197</v>
      </c>
      <c r="C24" s="1961"/>
      <c r="D24" s="1962"/>
      <c r="E24" s="1962"/>
      <c r="F24" s="1962"/>
      <c r="G24" s="1962"/>
      <c r="H24" s="1962"/>
      <c r="I24" s="1962"/>
      <c r="J24" s="1962"/>
      <c r="K24" s="1962"/>
      <c r="L24" s="1959"/>
      <c r="M24" s="1963"/>
    </row>
    <row r="25" spans="2:14" ht="20.100000000000001" customHeight="1" x14ac:dyDescent="0.2">
      <c r="B25" s="1975" t="s">
        <v>2191</v>
      </c>
      <c r="C25" s="1972">
        <v>84.173000000000002</v>
      </c>
      <c r="D25" s="1973" t="s">
        <v>2172</v>
      </c>
      <c r="E25" s="1974">
        <v>0</v>
      </c>
      <c r="F25" s="1982">
        <v>17404</v>
      </c>
      <c r="G25" s="1974">
        <v>0</v>
      </c>
      <c r="H25" s="1974">
        <v>0</v>
      </c>
      <c r="I25" s="1982">
        <v>17404</v>
      </c>
      <c r="J25" s="1982">
        <v>0</v>
      </c>
      <c r="K25" s="1974">
        <v>0</v>
      </c>
      <c r="L25" s="1970">
        <f t="shared" ref="L25" si="1">+G25+I25+K25</f>
        <v>17404</v>
      </c>
      <c r="M25" s="1974">
        <v>24711</v>
      </c>
    </row>
    <row r="26" spans="2:14" ht="20.100000000000001" customHeight="1" x14ac:dyDescent="0.2">
      <c r="B26" s="1975"/>
      <c r="C26" s="1972"/>
      <c r="D26" s="1973"/>
      <c r="E26" s="1974"/>
      <c r="F26" s="1974"/>
      <c r="G26" s="1974"/>
      <c r="H26" s="1974"/>
      <c r="I26" s="1974"/>
      <c r="J26" s="1974"/>
      <c r="K26" s="1974"/>
      <c r="L26" s="1970"/>
      <c r="M26" s="1974"/>
    </row>
    <row r="27" spans="2:14" ht="20.100000000000001" customHeight="1" x14ac:dyDescent="0.2">
      <c r="B27" s="1975" t="s">
        <v>2192</v>
      </c>
      <c r="C27" s="1972">
        <v>84.027000000000001</v>
      </c>
      <c r="D27" s="1973" t="s">
        <v>2173</v>
      </c>
      <c r="E27" s="1974">
        <v>0</v>
      </c>
      <c r="F27" s="1982">
        <v>1022867</v>
      </c>
      <c r="G27" s="1974">
        <v>0</v>
      </c>
      <c r="H27" s="1974">
        <v>0</v>
      </c>
      <c r="I27" s="1982">
        <v>1022867</v>
      </c>
      <c r="J27" s="1982">
        <v>0</v>
      </c>
      <c r="K27" s="1974">
        <v>0</v>
      </c>
      <c r="L27" s="1970">
        <f t="shared" si="0"/>
        <v>1022867</v>
      </c>
      <c r="M27" s="1974">
        <v>1027847</v>
      </c>
    </row>
    <row r="28" spans="2:14" ht="20.100000000000001" customHeight="1" x14ac:dyDescent="0.2">
      <c r="B28" s="1975"/>
      <c r="C28" s="1972"/>
      <c r="D28" s="1973"/>
      <c r="E28" s="1973"/>
      <c r="F28" s="1973"/>
      <c r="G28" s="1973"/>
      <c r="H28" s="1973"/>
      <c r="I28" s="1973"/>
      <c r="J28" s="1973"/>
      <c r="K28" s="1973"/>
      <c r="L28" s="1973"/>
      <c r="M28" s="1974"/>
    </row>
    <row r="29" spans="2:14" ht="20.100000000000001" customHeight="1" x14ac:dyDescent="0.2">
      <c r="B29" s="1975"/>
      <c r="C29" s="1972"/>
      <c r="D29" s="1973"/>
      <c r="E29" s="1973"/>
      <c r="F29" s="1973"/>
      <c r="G29" s="1973"/>
      <c r="H29" s="1973"/>
      <c r="I29" s="1973"/>
      <c r="J29" s="1973"/>
      <c r="K29" s="1973"/>
      <c r="L29" s="1970"/>
      <c r="M29" s="1974"/>
      <c r="N29" s="1344"/>
    </row>
    <row r="30" spans="2:14" ht="12.75" customHeight="1" x14ac:dyDescent="0.2">
      <c r="B30" s="1345"/>
      <c r="C30" s="1346"/>
      <c r="D30" s="1347"/>
      <c r="E30" s="1348"/>
      <c r="F30" s="1348"/>
      <c r="G30" s="1348"/>
      <c r="H30" s="1348"/>
      <c r="I30" s="1348"/>
      <c r="J30" s="1348"/>
      <c r="K30" s="1348"/>
      <c r="L30" s="1348"/>
      <c r="M30" s="1348"/>
      <c r="N30" s="1344"/>
    </row>
    <row r="31" spans="2:14" ht="13.5" customHeight="1" x14ac:dyDescent="0.2">
      <c r="B31" s="1282" t="s">
        <v>1837</v>
      </c>
      <c r="C31" s="1349"/>
      <c r="D31" s="1350"/>
      <c r="E31" s="1257"/>
      <c r="F31" s="1257"/>
      <c r="G31" s="1250"/>
      <c r="H31" s="1250"/>
      <c r="I31" s="1250"/>
      <c r="J31" s="1250"/>
      <c r="K31" s="1250"/>
      <c r="L31" s="1250"/>
      <c r="M31" s="1257"/>
      <c r="N31" s="1344"/>
    </row>
    <row r="32" spans="2:14" ht="8.25" customHeight="1" x14ac:dyDescent="0.2">
      <c r="B32" s="1282"/>
      <c r="C32" s="1349"/>
      <c r="D32" s="1350"/>
      <c r="E32" s="1257"/>
      <c r="F32" s="1257"/>
      <c r="G32" s="1250"/>
      <c r="H32" s="1250"/>
      <c r="I32" s="1250"/>
      <c r="J32" s="1250"/>
      <c r="K32" s="1250"/>
      <c r="L32" s="1250"/>
      <c r="M32" s="1257"/>
      <c r="N32" s="1344"/>
    </row>
    <row r="33" spans="2:13" x14ac:dyDescent="0.2">
      <c r="B33" s="1351" t="s">
        <v>1948</v>
      </c>
      <c r="C33" s="1352"/>
      <c r="D33" s="1353"/>
      <c r="E33" s="1354"/>
      <c r="F33" s="1354"/>
      <c r="G33" s="1354"/>
      <c r="H33" s="1354"/>
      <c r="I33" s="317"/>
      <c r="J33" s="317"/>
    </row>
    <row r="34" spans="2:13" x14ac:dyDescent="0.2">
      <c r="B34" s="1277"/>
      <c r="C34" s="1355"/>
      <c r="D34" s="1356"/>
      <c r="E34" s="1278"/>
      <c r="F34" s="1278"/>
      <c r="G34" s="317"/>
      <c r="H34" s="317"/>
      <c r="I34" s="317"/>
      <c r="J34" s="317"/>
    </row>
    <row r="35" spans="2:13" ht="13.5" customHeight="1" x14ac:dyDescent="0.2">
      <c r="B35" s="1276" t="s">
        <v>1308</v>
      </c>
      <c r="G35" s="317"/>
      <c r="H35" s="317"/>
      <c r="I35" s="317"/>
      <c r="J35" s="317"/>
    </row>
    <row r="36" spans="2:13" ht="13.5" customHeight="1" x14ac:dyDescent="0.2">
      <c r="B36" s="1359"/>
      <c r="C36" s="1360"/>
      <c r="D36" s="1361"/>
      <c r="E36" s="1297"/>
      <c r="F36" s="1297"/>
      <c r="G36" s="1297"/>
      <c r="H36" s="1297"/>
      <c r="I36" s="1297"/>
      <c r="J36" s="1297"/>
      <c r="K36" s="1362"/>
      <c r="L36" s="1362"/>
      <c r="M36" s="1297"/>
    </row>
    <row r="37" spans="2:13" ht="9.6" customHeight="1" x14ac:dyDescent="0.2">
      <c r="B37" s="1363"/>
      <c r="G37" s="317"/>
      <c r="H37" s="317"/>
      <c r="I37" s="317"/>
      <c r="J37" s="317"/>
    </row>
    <row r="38" spans="2:13" ht="11.25" customHeight="1" x14ac:dyDescent="0.2">
      <c r="B38" s="1364" t="s">
        <v>1838</v>
      </c>
      <c r="C38" s="1365"/>
      <c r="D38" s="1365"/>
      <c r="E38" s="1365"/>
      <c r="F38" s="1365"/>
      <c r="G38" s="1365"/>
      <c r="H38" s="1365"/>
      <c r="I38" s="1366"/>
      <c r="J38" s="1366"/>
      <c r="K38" s="1366"/>
      <c r="L38" s="1366"/>
      <c r="M38" s="1366"/>
    </row>
    <row r="39" spans="2:13" ht="11.25" customHeight="1" x14ac:dyDescent="0.2">
      <c r="B39" s="1367" t="s">
        <v>1666</v>
      </c>
      <c r="C39" s="1366"/>
      <c r="D39" s="1366"/>
      <c r="E39" s="1366"/>
      <c r="F39" s="1366"/>
      <c r="G39" s="1366"/>
      <c r="H39" s="1366"/>
      <c r="I39" s="1366"/>
      <c r="J39" s="1366"/>
      <c r="K39" s="1366"/>
      <c r="L39" s="1366"/>
      <c r="M39" s="1366"/>
    </row>
    <row r="40" spans="2:13" ht="3.95" customHeight="1" x14ac:dyDescent="0.2">
      <c r="B40" s="1367"/>
      <c r="C40" s="1366"/>
      <c r="D40" s="1366"/>
      <c r="E40" s="1366"/>
      <c r="F40" s="1366"/>
      <c r="G40" s="1366"/>
      <c r="H40" s="1366"/>
      <c r="I40" s="1366"/>
      <c r="J40" s="1366"/>
      <c r="K40" s="1366"/>
      <c r="L40" s="1366"/>
      <c r="M40" s="1366"/>
    </row>
    <row r="41" spans="2:13" ht="11.25" customHeight="1" x14ac:dyDescent="0.2">
      <c r="B41" s="1364" t="s">
        <v>1839</v>
      </c>
      <c r="C41" s="1366"/>
      <c r="D41" s="1366"/>
      <c r="E41" s="1366"/>
      <c r="F41" s="1366"/>
      <c r="G41" s="1366"/>
      <c r="H41" s="1366"/>
      <c r="I41" s="1366"/>
      <c r="J41" s="1366"/>
      <c r="K41" s="1366"/>
      <c r="L41" s="1366"/>
      <c r="M41" s="1366"/>
    </row>
    <row r="42" spans="2:13" ht="11.25" customHeight="1" x14ac:dyDescent="0.2">
      <c r="B42" s="1300" t="s">
        <v>1667</v>
      </c>
      <c r="C42" s="1368"/>
      <c r="D42" s="1369"/>
      <c r="E42" s="1300"/>
      <c r="F42" s="1300"/>
      <c r="G42" s="1300"/>
      <c r="H42" s="1300"/>
      <c r="I42" s="1300"/>
      <c r="J42" s="1300"/>
      <c r="K42" s="1370"/>
      <c r="L42" s="1370"/>
      <c r="M42" s="1300"/>
    </row>
    <row r="43" spans="2:13" ht="3.95" customHeight="1" x14ac:dyDescent="0.2">
      <c r="B43" s="1300"/>
      <c r="C43" s="1368"/>
      <c r="D43" s="1369"/>
      <c r="E43" s="1300"/>
      <c r="F43" s="1300"/>
      <c r="G43" s="1300"/>
      <c r="H43" s="1300"/>
      <c r="I43" s="1300"/>
      <c r="J43" s="1300"/>
      <c r="K43" s="1370"/>
      <c r="L43" s="1370"/>
      <c r="M43" s="1300"/>
    </row>
    <row r="44" spans="2:13" ht="11.25" customHeight="1" x14ac:dyDescent="0.2">
      <c r="B44" s="1371" t="s">
        <v>1840</v>
      </c>
      <c r="C44" s="1368"/>
      <c r="D44" s="1369"/>
      <c r="E44" s="1300"/>
      <c r="F44" s="1300"/>
      <c r="G44" s="1300"/>
      <c r="H44" s="1300"/>
      <c r="I44" s="1300"/>
      <c r="J44" s="1300"/>
      <c r="K44" s="1370"/>
      <c r="L44" s="1370"/>
      <c r="M44" s="1300"/>
    </row>
    <row r="45" spans="2:13" ht="3.95" customHeight="1" x14ac:dyDescent="0.2">
      <c r="B45" s="1371"/>
      <c r="C45" s="1368"/>
      <c r="D45" s="1369"/>
      <c r="E45" s="1300"/>
      <c r="F45" s="1300"/>
      <c r="G45" s="1300"/>
      <c r="H45" s="1300"/>
      <c r="I45" s="1300"/>
      <c r="J45" s="1300"/>
      <c r="K45" s="1370"/>
      <c r="L45" s="1370"/>
      <c r="M45" s="1300"/>
    </row>
    <row r="46" spans="2:13" ht="11.25" customHeight="1" x14ac:dyDescent="0.2">
      <c r="B46" s="1372" t="s">
        <v>1841</v>
      </c>
      <c r="C46" s="1368"/>
      <c r="D46" s="1369"/>
      <c r="E46" s="1300"/>
      <c r="F46" s="1300"/>
      <c r="G46" s="1300"/>
      <c r="H46" s="1300"/>
      <c r="I46" s="1300"/>
      <c r="J46" s="1300"/>
      <c r="K46" s="1370"/>
      <c r="L46" s="1370"/>
      <c r="M46" s="1300"/>
    </row>
    <row r="47" spans="2:13" ht="11.25" customHeight="1" x14ac:dyDescent="0.2">
      <c r="B47" s="1300" t="s">
        <v>1668</v>
      </c>
      <c r="G47" s="317"/>
      <c r="H47" s="317"/>
      <c r="I47" s="317"/>
      <c r="J47" s="317"/>
    </row>
    <row r="48" spans="2:13" ht="11.1" customHeight="1" x14ac:dyDescent="0.2">
      <c r="B48" s="1300"/>
      <c r="G48" s="317"/>
      <c r="H48" s="317"/>
      <c r="I48" s="317"/>
      <c r="J48" s="317"/>
    </row>
    <row r="49" spans="2:13" ht="11.1" customHeight="1" x14ac:dyDescent="0.2">
      <c r="B49" s="1300"/>
      <c r="G49" s="317"/>
      <c r="H49" s="317"/>
      <c r="I49" s="317"/>
      <c r="J49" s="317"/>
    </row>
    <row r="50" spans="2:13" ht="13.5" customHeight="1" x14ac:dyDescent="0.2">
      <c r="M50" s="1373"/>
    </row>
    <row r="51" spans="2:13" ht="13.5" customHeight="1" x14ac:dyDescent="0.2">
      <c r="M51" s="1373"/>
    </row>
    <row r="52" spans="2:13" ht="13.5" customHeight="1" x14ac:dyDescent="0.2">
      <c r="M52" s="1373"/>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45" bottom="0.45" header="0.25" footer="0.25"/>
  <pageSetup scale="80" firstPageNumber="38" orientation="landscape" useFirstPageNumber="1" r:id="rId1"/>
  <headerFooter alignWithMargins="0">
    <oddHeader>&amp;L&amp;8Page 43&amp;R&amp;8Page 43</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16" t="s">
        <v>1230</v>
      </c>
      <c r="B2" s="2116"/>
      <c r="C2" s="2116"/>
      <c r="D2" s="2116"/>
      <c r="E2" s="2116"/>
      <c r="F2" s="2116"/>
      <c r="G2" s="2116"/>
      <c r="H2" s="2116"/>
      <c r="I2" s="2116"/>
      <c r="J2" s="211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2082</v>
      </c>
      <c r="C9" s="179">
        <v>1</v>
      </c>
      <c r="D9" s="221" t="s">
        <v>1639</v>
      </c>
    </row>
    <row r="10" spans="1:11" s="181" customFormat="1" x14ac:dyDescent="0.2">
      <c r="A10" s="222"/>
      <c r="B10" s="223"/>
      <c r="C10" s="224"/>
      <c r="D10" s="225" t="s">
        <v>1722</v>
      </c>
    </row>
    <row r="11" spans="1:11" s="181" customFormat="1" x14ac:dyDescent="0.2">
      <c r="A11" s="219"/>
      <c r="B11" s="226" t="s">
        <v>2082</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30" t="s">
        <v>1731</v>
      </c>
      <c r="B35" s="2131"/>
      <c r="C35" s="2131"/>
      <c r="D35" s="2131"/>
      <c r="E35" s="2132"/>
      <c r="F35" s="2132"/>
      <c r="G35" s="2132"/>
      <c r="H35" s="2132"/>
      <c r="I35" s="213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30" t="s">
        <v>331</v>
      </c>
      <c r="B47" s="2133"/>
      <c r="C47" s="2133"/>
      <c r="D47" s="2133"/>
      <c r="E47" s="2134"/>
      <c r="F47" s="2134"/>
      <c r="G47" s="2134"/>
      <c r="H47" s="2134"/>
      <c r="I47" s="213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2082</v>
      </c>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37" t="s">
        <v>2129</v>
      </c>
      <c r="C57" s="2138"/>
      <c r="D57" s="2138"/>
      <c r="E57" s="2138"/>
      <c r="F57" s="2138"/>
      <c r="G57" s="2138"/>
      <c r="H57" s="2138"/>
      <c r="I57" s="2138"/>
      <c r="J57" s="2139"/>
    </row>
    <row r="58" spans="1:10" s="181" customFormat="1" x14ac:dyDescent="0.2">
      <c r="A58" s="253"/>
      <c r="B58" s="2140"/>
      <c r="C58" s="2141"/>
      <c r="D58" s="2141"/>
      <c r="E58" s="2141"/>
      <c r="F58" s="2141"/>
      <c r="G58" s="2141"/>
      <c r="H58" s="2141"/>
      <c r="I58" s="2141"/>
      <c r="J58" s="2142"/>
    </row>
    <row r="59" spans="1:10" s="181" customFormat="1" x14ac:dyDescent="0.2">
      <c r="A59" s="253"/>
      <c r="B59" s="2140"/>
      <c r="C59" s="2141"/>
      <c r="D59" s="2141"/>
      <c r="E59" s="2141"/>
      <c r="F59" s="2141"/>
      <c r="G59" s="2141"/>
      <c r="H59" s="2141"/>
      <c r="I59" s="2141"/>
      <c r="J59" s="2142"/>
    </row>
    <row r="60" spans="1:10" s="181" customFormat="1" x14ac:dyDescent="0.2">
      <c r="A60" s="253"/>
      <c r="B60" s="2140"/>
      <c r="C60" s="2141"/>
      <c r="D60" s="2141"/>
      <c r="E60" s="2141"/>
      <c r="F60" s="2141"/>
      <c r="G60" s="2141"/>
      <c r="H60" s="2141"/>
      <c r="I60" s="2141"/>
      <c r="J60" s="2142"/>
    </row>
    <row r="61" spans="1:10" s="181" customFormat="1" x14ac:dyDescent="0.2">
      <c r="A61" s="253"/>
      <c r="B61" s="2140"/>
      <c r="C61" s="2141"/>
      <c r="D61" s="2141"/>
      <c r="E61" s="2141"/>
      <c r="F61" s="2141"/>
      <c r="G61" s="2141"/>
      <c r="H61" s="2141"/>
      <c r="I61" s="2141"/>
      <c r="J61" s="2142"/>
    </row>
    <row r="62" spans="1:10" s="181" customFormat="1" x14ac:dyDescent="0.2">
      <c r="A62" s="253"/>
      <c r="B62" s="2140"/>
      <c r="C62" s="2141"/>
      <c r="D62" s="2141"/>
      <c r="E62" s="2141"/>
      <c r="F62" s="2141"/>
      <c r="G62" s="2141"/>
      <c r="H62" s="2141"/>
      <c r="I62" s="2141"/>
      <c r="J62" s="2142"/>
    </row>
    <row r="63" spans="1:10" s="181" customFormat="1" x14ac:dyDescent="0.2">
      <c r="A63" s="253"/>
      <c r="B63" s="2140"/>
      <c r="C63" s="2141"/>
      <c r="D63" s="2141"/>
      <c r="E63" s="2141"/>
      <c r="F63" s="2141"/>
      <c r="G63" s="2141"/>
      <c r="H63" s="2141"/>
      <c r="I63" s="2141"/>
      <c r="J63" s="2142"/>
    </row>
    <row r="64" spans="1:10" s="181" customFormat="1" x14ac:dyDescent="0.2">
      <c r="A64" s="253"/>
      <c r="B64" s="2140"/>
      <c r="C64" s="2141"/>
      <c r="D64" s="2141"/>
      <c r="E64" s="2141"/>
      <c r="F64" s="2141"/>
      <c r="G64" s="2141"/>
      <c r="H64" s="2141"/>
      <c r="I64" s="2141"/>
      <c r="J64" s="2142"/>
    </row>
    <row r="65" spans="1:10" s="181" customFormat="1" x14ac:dyDescent="0.2">
      <c r="A65" s="253"/>
      <c r="B65" s="2140"/>
      <c r="C65" s="2141"/>
      <c r="D65" s="2141"/>
      <c r="E65" s="2141"/>
      <c r="F65" s="2141"/>
      <c r="G65" s="2141"/>
      <c r="H65" s="2141"/>
      <c r="I65" s="2141"/>
      <c r="J65" s="2142"/>
    </row>
    <row r="66" spans="1:10" s="181" customFormat="1" x14ac:dyDescent="0.2">
      <c r="A66" s="253"/>
      <c r="B66" s="2140"/>
      <c r="C66" s="2141"/>
      <c r="D66" s="2141"/>
      <c r="E66" s="2141"/>
      <c r="F66" s="2141"/>
      <c r="G66" s="2141"/>
      <c r="H66" s="2141"/>
      <c r="I66" s="2141"/>
      <c r="J66" s="2142"/>
    </row>
    <row r="67" spans="1:10" s="181" customFormat="1" ht="9" customHeight="1" x14ac:dyDescent="0.2">
      <c r="A67" s="254"/>
      <c r="B67" s="2143"/>
      <c r="C67" s="2144"/>
      <c r="D67" s="2144"/>
      <c r="E67" s="2144"/>
      <c r="F67" s="2144"/>
      <c r="G67" s="2144"/>
      <c r="H67" s="2144"/>
      <c r="I67" s="2144"/>
      <c r="J67" s="214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30" t="s">
        <v>1390</v>
      </c>
      <c r="B70" s="2133"/>
      <c r="C70" s="2133"/>
      <c r="D70" s="2133"/>
      <c r="E70" s="2134"/>
      <c r="F70" s="2134"/>
      <c r="G70" s="2134"/>
      <c r="H70" s="2134"/>
      <c r="I70" s="213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v>43373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35" t="s">
        <v>1387</v>
      </c>
      <c r="B83" s="2135"/>
      <c r="C83" s="2135"/>
      <c r="D83" s="213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v>0</v>
      </c>
      <c r="F88" s="276">
        <v>0</v>
      </c>
      <c r="G88" s="276">
        <v>0</v>
      </c>
      <c r="H88" s="276">
        <v>0</v>
      </c>
      <c r="I88" s="276">
        <v>0</v>
      </c>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17"/>
      <c r="C102" s="2118"/>
      <c r="D102" s="2118"/>
      <c r="E102" s="2118"/>
      <c r="F102" s="2118"/>
      <c r="G102" s="2118"/>
      <c r="H102" s="2118"/>
      <c r="I102" s="2119"/>
    </row>
    <row r="103" spans="1:9" s="181" customFormat="1" ht="11.25" customHeight="1" x14ac:dyDescent="0.2">
      <c r="A103" s="316"/>
      <c r="B103" s="2120"/>
      <c r="C103" s="2121"/>
      <c r="D103" s="2121"/>
      <c r="E103" s="2121"/>
      <c r="F103" s="2121"/>
      <c r="G103" s="2121"/>
      <c r="H103" s="2121"/>
      <c r="I103" s="2122"/>
    </row>
    <row r="104" spans="1:9" s="181" customFormat="1" ht="11.25" customHeight="1" x14ac:dyDescent="0.2">
      <c r="A104" s="316"/>
      <c r="B104" s="2120"/>
      <c r="C104" s="2121"/>
      <c r="D104" s="2121"/>
      <c r="E104" s="2121"/>
      <c r="F104" s="2121"/>
      <c r="G104" s="2121"/>
      <c r="H104" s="2121"/>
      <c r="I104" s="2122"/>
    </row>
    <row r="105" spans="1:9" s="181" customFormat="1" x14ac:dyDescent="0.2">
      <c r="A105" s="316"/>
      <c r="B105" s="2120"/>
      <c r="C105" s="2121"/>
      <c r="D105" s="2121"/>
      <c r="E105" s="2121"/>
      <c r="F105" s="2121"/>
      <c r="G105" s="2121"/>
      <c r="H105" s="2121"/>
      <c r="I105" s="2122"/>
    </row>
    <row r="106" spans="1:9" s="181" customFormat="1" ht="11.25" customHeight="1" x14ac:dyDescent="0.2">
      <c r="A106" s="316"/>
      <c r="B106" s="2120"/>
      <c r="C106" s="2121"/>
      <c r="D106" s="2121"/>
      <c r="E106" s="2121"/>
      <c r="F106" s="2121"/>
      <c r="G106" s="2121"/>
      <c r="H106" s="2121"/>
      <c r="I106" s="2122"/>
    </row>
    <row r="107" spans="1:9" s="181" customFormat="1" ht="11.25" customHeight="1" x14ac:dyDescent="0.2">
      <c r="A107" s="316"/>
      <c r="B107" s="2120"/>
      <c r="C107" s="2121"/>
      <c r="D107" s="2121"/>
      <c r="E107" s="2121"/>
      <c r="F107" s="2121"/>
      <c r="G107" s="2121"/>
      <c r="H107" s="2121"/>
      <c r="I107" s="2122"/>
    </row>
    <row r="108" spans="1:9" s="181" customFormat="1" ht="11.25" customHeight="1" x14ac:dyDescent="0.2">
      <c r="A108" s="316"/>
      <c r="B108" s="2120"/>
      <c r="C108" s="2121"/>
      <c r="D108" s="2121"/>
      <c r="E108" s="2121"/>
      <c r="F108" s="2121"/>
      <c r="G108" s="2121"/>
      <c r="H108" s="2121"/>
      <c r="I108" s="2122"/>
    </row>
    <row r="109" spans="1:9" s="181" customFormat="1" ht="11.25" customHeight="1" x14ac:dyDescent="0.2">
      <c r="A109" s="316"/>
      <c r="B109" s="2120"/>
      <c r="C109" s="2121"/>
      <c r="D109" s="2121"/>
      <c r="E109" s="2121"/>
      <c r="F109" s="2121"/>
      <c r="G109" s="2121"/>
      <c r="H109" s="2121"/>
      <c r="I109" s="2122"/>
    </row>
    <row r="110" spans="1:9" s="181" customFormat="1" ht="11.25" customHeight="1" x14ac:dyDescent="0.2">
      <c r="A110" s="316"/>
      <c r="B110" s="2120"/>
      <c r="C110" s="2121"/>
      <c r="D110" s="2121"/>
      <c r="E110" s="2121"/>
      <c r="F110" s="2121"/>
      <c r="G110" s="2121"/>
      <c r="H110" s="2121"/>
      <c r="I110" s="2122"/>
    </row>
    <row r="111" spans="1:9" s="181" customFormat="1" ht="11.25" customHeight="1" x14ac:dyDescent="0.2">
      <c r="A111" s="316"/>
      <c r="B111" s="2120"/>
      <c r="C111" s="2121"/>
      <c r="D111" s="2121"/>
      <c r="E111" s="2121"/>
      <c r="F111" s="2121"/>
      <c r="G111" s="2121"/>
      <c r="H111" s="2121"/>
      <c r="I111" s="2122"/>
    </row>
    <row r="112" spans="1:9" s="181" customFormat="1" ht="11.25" customHeight="1" x14ac:dyDescent="0.2">
      <c r="A112" s="316"/>
      <c r="B112" s="2123"/>
      <c r="C112" s="2124"/>
      <c r="D112" s="2124"/>
      <c r="E112" s="2124"/>
      <c r="F112" s="2124"/>
      <c r="G112" s="2124"/>
      <c r="H112" s="2124"/>
      <c r="I112" s="212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26" t="s">
        <v>2074</v>
      </c>
      <c r="D114" s="212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27" t="s">
        <v>1397</v>
      </c>
      <c r="D117" s="2128"/>
      <c r="E117" s="2129"/>
      <c r="F117" s="2129"/>
      <c r="G117" s="2129"/>
      <c r="H117" s="2129"/>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3"/>
  <sheetViews>
    <sheetView showGridLines="0" topLeftCell="A10" zoomScaleNormal="100" workbookViewId="0">
      <selection activeCell="I5" sqref="I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75" t="str">
        <f>'Single Audit Cover'!A7</f>
        <v>Galesburg CUSD 205</v>
      </c>
      <c r="C1" s="2496"/>
      <c r="D1" s="2496"/>
      <c r="E1" s="2496"/>
      <c r="F1" s="2496"/>
      <c r="G1" s="2496"/>
      <c r="H1" s="2496"/>
      <c r="I1" s="2496"/>
      <c r="J1" s="2496"/>
      <c r="K1" s="2496"/>
      <c r="L1" s="2496"/>
      <c r="M1" s="2496"/>
    </row>
    <row r="2" spans="2:14" ht="15" x14ac:dyDescent="0.2">
      <c r="B2" s="2497">
        <f>'Single Audit Cover'!E7</f>
        <v>33048205026</v>
      </c>
      <c r="C2" s="2497"/>
      <c r="D2" s="2497"/>
      <c r="E2" s="2497"/>
      <c r="F2" s="2497"/>
      <c r="G2" s="2497"/>
      <c r="H2" s="2497"/>
      <c r="I2" s="2497"/>
      <c r="J2" s="2497"/>
      <c r="K2" s="2497"/>
      <c r="L2" s="2497"/>
      <c r="M2" s="2497"/>
      <c r="N2" s="1302"/>
    </row>
    <row r="3" spans="2:14" ht="15" x14ac:dyDescent="0.2">
      <c r="B3" s="2498" t="s">
        <v>1281</v>
      </c>
      <c r="C3" s="2498"/>
      <c r="D3" s="2498"/>
      <c r="E3" s="2498"/>
      <c r="F3" s="2498"/>
      <c r="G3" s="2498"/>
      <c r="H3" s="2498"/>
      <c r="I3" s="2498"/>
      <c r="J3" s="2498"/>
      <c r="K3" s="2498"/>
      <c r="L3" s="2498"/>
      <c r="M3" s="2498"/>
      <c r="N3" s="1302"/>
    </row>
    <row r="4" spans="2:14" ht="15" x14ac:dyDescent="0.2">
      <c r="B4" s="2499" t="str">
        <f>'Single Audit Cover'!A4</f>
        <v>Year Ending June 30, 2018</v>
      </c>
      <c r="C4" s="2499"/>
      <c r="D4" s="2499"/>
      <c r="E4" s="2499"/>
      <c r="F4" s="2499"/>
      <c r="G4" s="2499"/>
      <c r="H4" s="2499"/>
      <c r="I4" s="2499"/>
      <c r="J4" s="2499"/>
      <c r="K4" s="2499"/>
      <c r="L4" s="2499"/>
      <c r="M4" s="249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84" t="s">
        <v>2163</v>
      </c>
      <c r="C11" s="1985"/>
      <c r="D11" s="1986"/>
      <c r="E11" s="1987"/>
      <c r="F11" s="1987"/>
      <c r="G11" s="1987"/>
      <c r="H11" s="1987"/>
      <c r="I11" s="1987"/>
      <c r="J11" s="1987"/>
      <c r="K11" s="1987"/>
      <c r="L11" s="1987"/>
      <c r="M11" s="1987"/>
    </row>
    <row r="12" spans="2:14" ht="20.100000000000001" customHeight="1" x14ac:dyDescent="0.2">
      <c r="B12" s="1984" t="s">
        <v>2149</v>
      </c>
      <c r="C12" s="1988"/>
      <c r="D12" s="1989"/>
      <c r="E12" s="1990"/>
      <c r="F12" s="1990"/>
      <c r="G12" s="1990"/>
      <c r="H12" s="1990"/>
      <c r="I12" s="1990"/>
      <c r="J12" s="1990"/>
      <c r="K12" s="1990"/>
      <c r="L12" s="1987"/>
      <c r="M12" s="1990"/>
    </row>
    <row r="13" spans="2:14" ht="20.100000000000001" customHeight="1" x14ac:dyDescent="0.2">
      <c r="B13" s="1975" t="s">
        <v>2198</v>
      </c>
      <c r="C13" s="1972">
        <v>84.027000000000001</v>
      </c>
      <c r="D13" s="1973" t="s">
        <v>2166</v>
      </c>
      <c r="E13" s="1974">
        <v>55485</v>
      </c>
      <c r="F13" s="1997">
        <v>51705</v>
      </c>
      <c r="G13" s="1974">
        <v>55485</v>
      </c>
      <c r="H13" s="1974">
        <v>0</v>
      </c>
      <c r="I13" s="1974">
        <v>51705</v>
      </c>
      <c r="J13" s="1974">
        <v>0</v>
      </c>
      <c r="K13" s="1974">
        <v>0</v>
      </c>
      <c r="L13" s="1970">
        <f t="shared" ref="L13:L15" si="0">+G13+I13+K13</f>
        <v>107190</v>
      </c>
      <c r="M13" s="1974" t="s">
        <v>2151</v>
      </c>
    </row>
    <row r="14" spans="2:14" ht="20.100000000000001" customHeight="1" x14ac:dyDescent="0.2">
      <c r="B14" s="1975"/>
      <c r="C14" s="1972"/>
      <c r="D14" s="1973" t="s">
        <v>2182</v>
      </c>
      <c r="E14" s="1996">
        <v>0</v>
      </c>
      <c r="F14" s="1996">
        <v>354</v>
      </c>
      <c r="G14" s="1996">
        <v>0</v>
      </c>
      <c r="H14" s="1974">
        <v>0</v>
      </c>
      <c r="I14" s="1974">
        <v>354</v>
      </c>
      <c r="J14" s="1974">
        <v>0</v>
      </c>
      <c r="K14" s="1974">
        <v>0</v>
      </c>
      <c r="L14" s="1970">
        <f t="shared" si="0"/>
        <v>354</v>
      </c>
      <c r="M14" s="1974" t="s">
        <v>2151</v>
      </c>
    </row>
    <row r="15" spans="2:14" ht="20.100000000000001" customHeight="1" x14ac:dyDescent="0.2">
      <c r="B15" s="1975"/>
      <c r="C15" s="1972"/>
      <c r="D15" s="1973" t="s">
        <v>2174</v>
      </c>
      <c r="E15" s="1974">
        <v>0</v>
      </c>
      <c r="F15" s="1982">
        <v>35275</v>
      </c>
      <c r="G15" s="1974">
        <v>0</v>
      </c>
      <c r="H15" s="1974">
        <v>0</v>
      </c>
      <c r="I15" s="1976">
        <v>35275</v>
      </c>
      <c r="J15" s="1976">
        <v>0</v>
      </c>
      <c r="K15" s="1974">
        <v>0</v>
      </c>
      <c r="L15" s="1970">
        <f t="shared" si="0"/>
        <v>35275</v>
      </c>
      <c r="M15" s="1974" t="s">
        <v>2151</v>
      </c>
    </row>
    <row r="16" spans="2:14" ht="20.100000000000001" customHeight="1" x14ac:dyDescent="0.2">
      <c r="B16" s="1975"/>
      <c r="C16" s="1972"/>
      <c r="D16" s="1973"/>
      <c r="E16" s="1973"/>
      <c r="F16" s="1982">
        <f>SUM(F13:F15)</f>
        <v>87334</v>
      </c>
      <c r="G16" s="1973"/>
      <c r="H16" s="1973"/>
      <c r="I16" s="1982">
        <f>SUM(I13:I15)</f>
        <v>87334</v>
      </c>
      <c r="J16" s="1973"/>
      <c r="K16" s="1973"/>
      <c r="L16" s="1970"/>
      <c r="M16" s="1974"/>
    </row>
    <row r="17" spans="2:14" ht="20.100000000000001" customHeight="1" x14ac:dyDescent="0.2">
      <c r="B17" s="1975"/>
      <c r="C17" s="1972"/>
      <c r="D17" s="1973"/>
      <c r="E17" s="1973"/>
      <c r="F17" s="1999"/>
      <c r="G17" s="1973"/>
      <c r="H17" s="1973"/>
      <c r="I17" s="1999"/>
      <c r="J17" s="1973"/>
      <c r="K17" s="1973"/>
      <c r="L17" s="1970"/>
      <c r="M17" s="1974"/>
    </row>
    <row r="18" spans="2:14" ht="20.100000000000001" customHeight="1" x14ac:dyDescent="0.2">
      <c r="B18" s="1991" t="s">
        <v>2193</v>
      </c>
      <c r="C18" s="1988">
        <v>84.367000000000004</v>
      </c>
      <c r="D18" s="1989" t="s">
        <v>2176</v>
      </c>
      <c r="E18" s="1990">
        <v>158245</v>
      </c>
      <c r="F18" s="1990">
        <v>17125</v>
      </c>
      <c r="G18" s="1990">
        <v>158245</v>
      </c>
      <c r="H18" s="1990">
        <v>0</v>
      </c>
      <c r="I18" s="1990">
        <v>17125</v>
      </c>
      <c r="J18" s="1990">
        <v>0</v>
      </c>
      <c r="K18" s="1990">
        <v>0</v>
      </c>
      <c r="L18" s="1987">
        <f t="shared" ref="L18:L19" si="1">+G18+I18+K18</f>
        <v>175370</v>
      </c>
      <c r="M18" s="1990">
        <v>254129</v>
      </c>
    </row>
    <row r="19" spans="2:14" ht="20.100000000000001" customHeight="1" x14ac:dyDescent="0.2">
      <c r="B19" s="1991"/>
      <c r="C19" s="1988"/>
      <c r="D19" s="1989" t="s">
        <v>2177</v>
      </c>
      <c r="E19" s="1990">
        <v>0</v>
      </c>
      <c r="F19" s="1992">
        <v>279334</v>
      </c>
      <c r="G19" s="1990">
        <v>0</v>
      </c>
      <c r="H19" s="1990">
        <v>0</v>
      </c>
      <c r="I19" s="1992">
        <v>279334</v>
      </c>
      <c r="J19" s="1990">
        <v>0</v>
      </c>
      <c r="K19" s="1990">
        <v>30130</v>
      </c>
      <c r="L19" s="1987">
        <f t="shared" si="1"/>
        <v>309464</v>
      </c>
      <c r="M19" s="1990">
        <v>328233</v>
      </c>
    </row>
    <row r="20" spans="2:14" ht="20.100000000000001" customHeight="1" x14ac:dyDescent="0.2">
      <c r="B20" s="1991"/>
      <c r="C20" s="1988"/>
      <c r="D20" s="1989"/>
      <c r="E20" s="1990"/>
      <c r="F20" s="1993">
        <f>SUM(F18:F19)</f>
        <v>296459</v>
      </c>
      <c r="G20" s="1990"/>
      <c r="H20" s="1990"/>
      <c r="I20" s="1993">
        <f>SUM(I18:I19)</f>
        <v>296459</v>
      </c>
      <c r="J20" s="1990"/>
      <c r="K20" s="1990"/>
      <c r="L20" s="1987"/>
      <c r="M20" s="1990"/>
    </row>
    <row r="21" spans="2:14" ht="20.100000000000001" customHeight="1" x14ac:dyDescent="0.2">
      <c r="B21" s="1991"/>
      <c r="C21" s="1988"/>
      <c r="D21" s="1989"/>
      <c r="E21" s="1990"/>
      <c r="F21" s="1987"/>
      <c r="G21" s="1990"/>
      <c r="H21" s="1990"/>
      <c r="I21" s="1990"/>
      <c r="J21" s="1990"/>
      <c r="K21" s="1990"/>
      <c r="L21" s="1987"/>
      <c r="M21" s="1990"/>
    </row>
    <row r="22" spans="2:14" ht="20.100000000000001" customHeight="1" x14ac:dyDescent="0.2">
      <c r="B22" s="1984" t="s">
        <v>2175</v>
      </c>
      <c r="C22" s="1988"/>
      <c r="D22" s="1989"/>
      <c r="E22" s="1990"/>
      <c r="F22" s="1992">
        <f>F20+F16+' SEFA (2)'!F27+' SEFA (2)'!F25+' SEFA (2)'!F22+' SEFA (2)'!F20+' SEFA (2)'!F13+' SEFA'!F30</f>
        <v>5184965</v>
      </c>
      <c r="G22" s="1990"/>
      <c r="H22" s="1990"/>
      <c r="I22" s="1992">
        <f>I20+I16+' SEFA (2)'!I27+' SEFA (2)'!I25+' SEFA (2)'!I22+' SEFA (2)'!I20+' SEFA (2)'!I13+' SEFA'!I30</f>
        <v>5184965</v>
      </c>
      <c r="J22" s="1990"/>
      <c r="K22" s="1990"/>
      <c r="L22" s="1987"/>
      <c r="M22" s="1990"/>
    </row>
    <row r="23" spans="2:14" ht="20.100000000000001" customHeight="1" x14ac:dyDescent="0.2">
      <c r="B23" s="1991"/>
      <c r="C23" s="1988"/>
      <c r="D23" s="1989"/>
      <c r="E23" s="1990"/>
      <c r="F23" s="1990"/>
      <c r="G23" s="1990"/>
      <c r="H23" s="1990"/>
      <c r="I23" s="1990"/>
      <c r="J23" s="1990"/>
      <c r="K23" s="1990"/>
      <c r="L23" s="1987"/>
      <c r="M23" s="1990"/>
    </row>
    <row r="24" spans="2:14" ht="20.100000000000001" customHeight="1" x14ac:dyDescent="0.2">
      <c r="B24" s="1984" t="s">
        <v>2178</v>
      </c>
      <c r="C24" s="1988"/>
      <c r="D24" s="1988"/>
      <c r="E24" s="1990"/>
      <c r="F24" s="1990"/>
      <c r="G24" s="1990"/>
      <c r="H24" s="1990"/>
      <c r="I24" s="1990"/>
      <c r="J24" s="1990"/>
      <c r="K24" s="1990"/>
      <c r="L24" s="1987"/>
      <c r="M24" s="1990"/>
    </row>
    <row r="25" spans="2:14" ht="20.100000000000001" customHeight="1" x14ac:dyDescent="0.2">
      <c r="B25" s="1994" t="s">
        <v>2179</v>
      </c>
      <c r="C25" s="1988">
        <v>93.778000000000006</v>
      </c>
      <c r="D25" s="1989">
        <v>2017</v>
      </c>
      <c r="E25" s="1990">
        <v>19857</v>
      </c>
      <c r="F25" s="1990">
        <v>5776</v>
      </c>
      <c r="G25" s="1990">
        <v>19857</v>
      </c>
      <c r="H25" s="1990">
        <v>0</v>
      </c>
      <c r="I25" s="1990">
        <v>5776</v>
      </c>
      <c r="J25" s="1990">
        <v>0</v>
      </c>
      <c r="K25" s="1990">
        <v>0</v>
      </c>
      <c r="L25" s="1987">
        <f t="shared" ref="L25:L26" si="2">+G25+I25+K25</f>
        <v>25633</v>
      </c>
      <c r="M25" s="1990" t="s">
        <v>2151</v>
      </c>
    </row>
    <row r="26" spans="2:14" ht="20.100000000000001" customHeight="1" x14ac:dyDescent="0.2">
      <c r="B26" s="1991"/>
      <c r="C26" s="1988"/>
      <c r="D26" s="1989">
        <v>2018</v>
      </c>
      <c r="E26" s="1990">
        <v>0</v>
      </c>
      <c r="F26" s="1992">
        <v>28788</v>
      </c>
      <c r="G26" s="1990">
        <v>0</v>
      </c>
      <c r="H26" s="1990">
        <v>0</v>
      </c>
      <c r="I26" s="1992">
        <v>28788</v>
      </c>
      <c r="J26" s="1990">
        <v>0</v>
      </c>
      <c r="K26" s="1990">
        <v>0</v>
      </c>
      <c r="L26" s="1987">
        <f t="shared" si="2"/>
        <v>28788</v>
      </c>
      <c r="M26" s="1990" t="s">
        <v>2151</v>
      </c>
    </row>
    <row r="27" spans="2:14" ht="20.100000000000001" customHeight="1" x14ac:dyDescent="0.2">
      <c r="B27" s="1994" t="s">
        <v>2180</v>
      </c>
      <c r="C27" s="1988"/>
      <c r="D27" s="1989"/>
      <c r="E27" s="1990"/>
      <c r="F27" s="1993">
        <f>SUM(F25:F26)</f>
        <v>34564</v>
      </c>
      <c r="G27" s="1990"/>
      <c r="H27" s="1990"/>
      <c r="I27" s="1993">
        <f>SUM(I25:I26)</f>
        <v>34564</v>
      </c>
      <c r="J27" s="1990"/>
      <c r="K27" s="1990"/>
      <c r="L27" s="1987"/>
      <c r="M27" s="1990"/>
    </row>
    <row r="28" spans="2:14" ht="20.100000000000001" customHeight="1" x14ac:dyDescent="0.2">
      <c r="B28" s="1991"/>
      <c r="C28" s="1988"/>
      <c r="D28" s="1989"/>
      <c r="E28" s="1990"/>
      <c r="F28" s="1987"/>
      <c r="G28" s="1990"/>
      <c r="H28" s="1990"/>
      <c r="I28" s="1990"/>
      <c r="J28" s="1990"/>
      <c r="K28" s="1990"/>
      <c r="L28" s="1987"/>
      <c r="M28" s="1990"/>
    </row>
    <row r="29" spans="2:14" ht="20.100000000000001" customHeight="1" thickBot="1" x14ac:dyDescent="0.25">
      <c r="B29" s="1984" t="s">
        <v>2181</v>
      </c>
      <c r="C29" s="1988"/>
      <c r="D29" s="1989"/>
      <c r="E29" s="1990"/>
      <c r="F29" s="1995">
        <f>F22+F27</f>
        <v>5219529</v>
      </c>
      <c r="G29" s="1990"/>
      <c r="H29" s="1990"/>
      <c r="I29" s="1995">
        <f>I22+I27</f>
        <v>5219529</v>
      </c>
      <c r="J29" s="1990"/>
      <c r="K29" s="1990"/>
      <c r="L29" s="1987"/>
      <c r="M29" s="1990"/>
    </row>
    <row r="30" spans="2:14" ht="12.75" customHeight="1" thickTop="1" x14ac:dyDescent="0.2">
      <c r="B30" s="1345"/>
      <c r="C30" s="1346"/>
      <c r="D30" s="1347"/>
      <c r="E30" s="1348"/>
      <c r="F30" s="1348"/>
      <c r="G30" s="1348"/>
      <c r="H30" s="1348"/>
      <c r="I30" s="1348"/>
      <c r="J30" s="1348"/>
      <c r="K30" s="1348"/>
      <c r="L30" s="1348"/>
      <c r="M30" s="1348"/>
      <c r="N30" s="1344"/>
    </row>
    <row r="31" spans="2:14" ht="13.5" customHeight="1" x14ac:dyDescent="0.2">
      <c r="B31" s="1282" t="s">
        <v>1837</v>
      </c>
      <c r="C31" s="1349"/>
      <c r="D31" s="1350"/>
      <c r="E31" s="1257"/>
      <c r="F31" s="1257"/>
      <c r="G31" s="1250"/>
      <c r="H31" s="1250"/>
      <c r="I31" s="1250"/>
      <c r="J31" s="1250"/>
      <c r="K31" s="1250"/>
      <c r="L31" s="1250"/>
      <c r="M31" s="1257"/>
      <c r="N31" s="1344"/>
    </row>
    <row r="32" spans="2:14" ht="8.25" customHeight="1" x14ac:dyDescent="0.2">
      <c r="B32" s="1282"/>
      <c r="C32" s="1349"/>
      <c r="D32" s="1350"/>
      <c r="E32" s="1257"/>
      <c r="F32" s="1257"/>
      <c r="G32" s="1250"/>
      <c r="H32" s="1250"/>
      <c r="I32" s="1250"/>
      <c r="J32" s="1250"/>
      <c r="K32" s="1250"/>
      <c r="L32" s="1250"/>
      <c r="M32" s="1257"/>
      <c r="N32" s="1344"/>
    </row>
    <row r="33" spans="2:13" x14ac:dyDescent="0.2">
      <c r="B33" s="1351" t="s">
        <v>1948</v>
      </c>
      <c r="C33" s="1352"/>
      <c r="D33" s="1353"/>
      <c r="E33" s="1354"/>
      <c r="F33" s="1354"/>
      <c r="G33" s="1354"/>
      <c r="H33" s="1354"/>
      <c r="I33" s="317"/>
      <c r="J33" s="317"/>
    </row>
    <row r="34" spans="2:13" x14ac:dyDescent="0.2">
      <c r="B34" s="1277"/>
      <c r="C34" s="1355"/>
      <c r="D34" s="1356"/>
      <c r="E34" s="1278"/>
      <c r="F34" s="1278"/>
      <c r="G34" s="317"/>
      <c r="H34" s="317"/>
      <c r="I34" s="317"/>
      <c r="J34" s="317"/>
    </row>
    <row r="35" spans="2:13" ht="13.5" customHeight="1" x14ac:dyDescent="0.2">
      <c r="B35" s="1276" t="s">
        <v>1308</v>
      </c>
      <c r="G35" s="317"/>
      <c r="H35" s="317"/>
      <c r="I35" s="317"/>
      <c r="J35" s="317"/>
    </row>
    <row r="36" spans="2:13" ht="13.5" customHeight="1" x14ac:dyDescent="0.2">
      <c r="B36" s="1359"/>
      <c r="C36" s="1360"/>
      <c r="D36" s="1361"/>
      <c r="E36" s="1297"/>
      <c r="F36" s="1297"/>
      <c r="G36" s="1297"/>
      <c r="H36" s="1297"/>
      <c r="I36" s="1297"/>
      <c r="J36" s="1297"/>
      <c r="K36" s="1362"/>
      <c r="L36" s="1362"/>
      <c r="M36" s="1297"/>
    </row>
    <row r="37" spans="2:13" ht="9.6" customHeight="1" x14ac:dyDescent="0.2">
      <c r="B37" s="1363"/>
      <c r="G37" s="317"/>
      <c r="H37" s="317"/>
      <c r="I37" s="317"/>
      <c r="J37" s="317"/>
    </row>
    <row r="38" spans="2:13" ht="11.25" customHeight="1" x14ac:dyDescent="0.2">
      <c r="B38" s="1364" t="s">
        <v>1838</v>
      </c>
      <c r="C38" s="1365"/>
      <c r="D38" s="1365"/>
      <c r="E38" s="1365"/>
      <c r="F38" s="1365"/>
      <c r="G38" s="1365"/>
      <c r="H38" s="1365"/>
      <c r="I38" s="1366"/>
      <c r="J38" s="1366"/>
      <c r="K38" s="1366"/>
      <c r="L38" s="1366"/>
      <c r="M38" s="1366"/>
    </row>
    <row r="39" spans="2:13" ht="11.25" customHeight="1" x14ac:dyDescent="0.2">
      <c r="B39" s="1367" t="s">
        <v>1666</v>
      </c>
      <c r="C39" s="1366"/>
      <c r="D39" s="1366"/>
      <c r="E39" s="1366"/>
      <c r="F39" s="1366"/>
      <c r="G39" s="1366"/>
      <c r="H39" s="1366"/>
      <c r="I39" s="1366"/>
      <c r="J39" s="1366"/>
      <c r="K39" s="1366"/>
      <c r="L39" s="1366"/>
      <c r="M39" s="1366"/>
    </row>
    <row r="40" spans="2:13" ht="3.95" customHeight="1" x14ac:dyDescent="0.2">
      <c r="B40" s="1367"/>
      <c r="C40" s="1366"/>
      <c r="D40" s="1366"/>
      <c r="E40" s="1366"/>
      <c r="F40" s="1366"/>
      <c r="G40" s="1366"/>
      <c r="H40" s="1366"/>
      <c r="I40" s="1366"/>
      <c r="J40" s="1366"/>
      <c r="K40" s="1366"/>
      <c r="L40" s="1366"/>
      <c r="M40" s="1366"/>
    </row>
    <row r="41" spans="2:13" ht="11.25" customHeight="1" x14ac:dyDescent="0.2">
      <c r="B41" s="1364" t="s">
        <v>1839</v>
      </c>
      <c r="C41" s="1366"/>
      <c r="D41" s="1366"/>
      <c r="E41" s="1366"/>
      <c r="F41" s="1366"/>
      <c r="G41" s="1366"/>
      <c r="H41" s="1366"/>
      <c r="I41" s="1366"/>
      <c r="J41" s="1366"/>
      <c r="K41" s="1366"/>
      <c r="L41" s="1366"/>
      <c r="M41" s="1366"/>
    </row>
    <row r="42" spans="2:13" ht="11.25" customHeight="1" x14ac:dyDescent="0.2">
      <c r="B42" s="1300" t="s">
        <v>1667</v>
      </c>
      <c r="C42" s="1368"/>
      <c r="D42" s="1369"/>
      <c r="E42" s="1300"/>
      <c r="F42" s="1300"/>
      <c r="G42" s="1300"/>
      <c r="H42" s="1300"/>
      <c r="I42" s="1300"/>
      <c r="J42" s="1300"/>
      <c r="K42" s="1370"/>
      <c r="L42" s="1370"/>
      <c r="M42" s="1300"/>
    </row>
    <row r="43" spans="2:13" ht="3.95" customHeight="1" x14ac:dyDescent="0.2">
      <c r="B43" s="1300"/>
      <c r="C43" s="1368"/>
      <c r="D43" s="1369"/>
      <c r="E43" s="1300"/>
      <c r="F43" s="1300"/>
      <c r="G43" s="1300"/>
      <c r="H43" s="1300"/>
      <c r="I43" s="1300"/>
      <c r="J43" s="1300"/>
      <c r="K43" s="1370"/>
      <c r="L43" s="1370"/>
      <c r="M43" s="1300"/>
    </row>
    <row r="44" spans="2:13" ht="11.25" customHeight="1" x14ac:dyDescent="0.2">
      <c r="B44" s="1371" t="s">
        <v>1840</v>
      </c>
      <c r="C44" s="1368"/>
      <c r="D44" s="1369"/>
      <c r="E44" s="1300"/>
      <c r="F44" s="1300"/>
      <c r="G44" s="1300"/>
      <c r="H44" s="1300"/>
      <c r="I44" s="1300"/>
      <c r="J44" s="1300"/>
      <c r="K44" s="1370"/>
      <c r="L44" s="1370"/>
      <c r="M44" s="1300"/>
    </row>
    <row r="45" spans="2:13" ht="3.95" customHeight="1" x14ac:dyDescent="0.2">
      <c r="B45" s="1371"/>
      <c r="C45" s="1368"/>
      <c r="D45" s="1369"/>
      <c r="E45" s="1300"/>
      <c r="F45" s="1300"/>
      <c r="G45" s="1300"/>
      <c r="H45" s="1300"/>
      <c r="I45" s="1300"/>
      <c r="J45" s="1300"/>
      <c r="K45" s="1370"/>
      <c r="L45" s="1370"/>
      <c r="M45" s="1300"/>
    </row>
    <row r="46" spans="2:13" ht="11.25" customHeight="1" x14ac:dyDescent="0.2">
      <c r="B46" s="1372" t="s">
        <v>1841</v>
      </c>
      <c r="C46" s="1368"/>
      <c r="D46" s="1369"/>
      <c r="E46" s="1300"/>
      <c r="F46" s="1300"/>
      <c r="G46" s="1300"/>
      <c r="H46" s="1300"/>
      <c r="I46" s="1300"/>
      <c r="J46" s="1300"/>
      <c r="K46" s="1370"/>
      <c r="L46" s="1370"/>
      <c r="M46" s="1300"/>
    </row>
    <row r="47" spans="2:13" ht="11.25" customHeight="1" x14ac:dyDescent="0.2">
      <c r="B47" s="1300" t="s">
        <v>1668</v>
      </c>
      <c r="G47" s="317"/>
      <c r="H47" s="317"/>
      <c r="I47" s="317"/>
      <c r="J47" s="317"/>
    </row>
    <row r="48" spans="2:13" ht="11.1" customHeight="1" x14ac:dyDescent="0.2">
      <c r="B48" s="1300"/>
      <c r="G48" s="317"/>
      <c r="H48" s="317"/>
      <c r="I48" s="317"/>
      <c r="J48" s="317"/>
    </row>
    <row r="49" spans="2:13" ht="11.1" customHeight="1" x14ac:dyDescent="0.2">
      <c r="B49" s="1300"/>
      <c r="G49" s="317"/>
      <c r="H49" s="317"/>
      <c r="I49" s="317"/>
      <c r="J49" s="317"/>
    </row>
    <row r="50" spans="2:13" ht="13.5" customHeight="1" x14ac:dyDescent="0.2">
      <c r="M50" s="1373"/>
    </row>
    <row r="51" spans="2:13" ht="13.5" customHeight="1" x14ac:dyDescent="0.2">
      <c r="M51" s="1373"/>
    </row>
    <row r="52" spans="2:13" ht="13.5" customHeight="1" x14ac:dyDescent="0.2">
      <c r="M52" s="1373"/>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45" bottom="0.45" header="0.25" footer="0.25"/>
  <pageSetup scale="80" firstPageNumber="38" orientation="landscape" useFirstPageNumber="1" r:id="rId1"/>
  <headerFooter alignWithMargins="0">
    <oddHeader>&amp;L&amp;8Page 44&amp;R&amp;8Page 44</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7"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509" t="str">
        <f>'Single Audit Cover'!A7</f>
        <v>Galesburg CUSD 205</v>
      </c>
      <c r="B1" s="2509"/>
      <c r="C1" s="2509"/>
      <c r="D1" s="2509"/>
      <c r="E1" s="2509"/>
      <c r="F1" s="2509"/>
    </row>
    <row r="2" spans="1:7" ht="13.5" customHeight="1" x14ac:dyDescent="0.2">
      <c r="A2" s="2497">
        <f>'Single Audit Cover'!E7</f>
        <v>33048205026</v>
      </c>
      <c r="B2" s="2497"/>
      <c r="C2" s="2497"/>
      <c r="D2" s="2497"/>
      <c r="E2" s="2497"/>
      <c r="F2" s="2497"/>
      <c r="G2" s="1275"/>
    </row>
    <row r="3" spans="1:7" ht="15.75" customHeight="1" x14ac:dyDescent="0.2">
      <c r="A3" s="2510" t="s">
        <v>1333</v>
      </c>
      <c r="B3" s="2510"/>
      <c r="C3" s="2510"/>
      <c r="D3" s="2510"/>
      <c r="E3" s="2510"/>
      <c r="F3" s="2510"/>
    </row>
    <row r="4" spans="1:7" ht="13.5" customHeight="1" x14ac:dyDescent="0.2">
      <c r="A4" s="2511" t="str">
        <f>'Single Audit Cover'!A4</f>
        <v>Year Ending June 30, 2018</v>
      </c>
      <c r="B4" s="2511"/>
      <c r="C4" s="2511"/>
      <c r="D4" s="2511"/>
      <c r="E4" s="2511"/>
      <c r="F4" s="2511"/>
    </row>
    <row r="5" spans="1:7" ht="8.25" customHeight="1" x14ac:dyDescent="0.2">
      <c r="C5" s="317"/>
      <c r="D5" s="317"/>
    </row>
    <row r="6" spans="1:7" ht="13.5" customHeight="1" x14ac:dyDescent="0.2">
      <c r="A6" s="1276" t="s">
        <v>1831</v>
      </c>
      <c r="C6" s="317"/>
      <c r="D6" s="317"/>
    </row>
    <row r="7" spans="1:7" ht="60.95" customHeight="1" x14ac:dyDescent="0.2">
      <c r="A7" s="2508" t="s">
        <v>2183</v>
      </c>
      <c r="B7" s="2508"/>
      <c r="C7" s="2508"/>
      <c r="D7" s="2508"/>
      <c r="E7" s="2508"/>
      <c r="F7" s="2508"/>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t="s">
        <v>2082</v>
      </c>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21.75" customHeight="1" x14ac:dyDescent="0.2">
      <c r="A13" s="2508" t="s">
        <v>2184</v>
      </c>
      <c r="B13" s="2508"/>
      <c r="C13" s="2508"/>
      <c r="D13" s="2508"/>
      <c r="E13" s="2508"/>
      <c r="F13" s="2508"/>
    </row>
    <row r="14" spans="1:7" ht="9.75" customHeight="1" x14ac:dyDescent="0.2">
      <c r="C14" s="1260"/>
      <c r="D14" s="1260"/>
    </row>
    <row r="15" spans="1:7" ht="13.5" customHeight="1" x14ac:dyDescent="0.2">
      <c r="C15" s="1870" t="s">
        <v>1332</v>
      </c>
      <c r="D15" s="2506" t="s">
        <v>1331</v>
      </c>
      <c r="E15" s="2506"/>
      <c r="F15" s="2506"/>
    </row>
    <row r="16" spans="1:7" ht="13.5" customHeight="1" x14ac:dyDescent="0.2">
      <c r="A16" s="1282"/>
      <c r="B16" s="1276" t="s">
        <v>1330</v>
      </c>
      <c r="C16" s="1870" t="s">
        <v>1329</v>
      </c>
      <c r="D16" s="2507" t="s">
        <v>1670</v>
      </c>
      <c r="E16" s="2507"/>
      <c r="F16" s="2507"/>
    </row>
    <row r="17" spans="1:6" ht="20.45" customHeight="1" x14ac:dyDescent="0.2">
      <c r="A17" s="1283"/>
      <c r="B17" s="1284"/>
      <c r="C17" s="1285"/>
      <c r="D17" s="2501"/>
      <c r="E17" s="2501"/>
      <c r="F17" s="2501"/>
    </row>
    <row r="18" spans="1:6" ht="20.65" customHeight="1" x14ac:dyDescent="0.2">
      <c r="A18" s="1283"/>
      <c r="B18" s="2000" t="s">
        <v>2185</v>
      </c>
      <c r="C18" s="1285"/>
      <c r="D18" s="2501"/>
      <c r="E18" s="2501"/>
      <c r="F18" s="2501"/>
    </row>
    <row r="19" spans="1:6" ht="20.65" customHeight="1" x14ac:dyDescent="0.2">
      <c r="A19" s="1283"/>
      <c r="B19" s="1284"/>
      <c r="C19" s="1285"/>
      <c r="D19" s="2501"/>
      <c r="E19" s="2501"/>
      <c r="F19" s="2501"/>
    </row>
    <row r="20" spans="1:6" ht="20.65" customHeight="1" x14ac:dyDescent="0.2">
      <c r="A20" s="1283"/>
      <c r="B20" s="1284"/>
      <c r="C20" s="1285"/>
      <c r="D20" s="2501"/>
      <c r="E20" s="2501"/>
      <c r="F20" s="2501"/>
    </row>
    <row r="21" spans="1:6" ht="20.65" customHeight="1" x14ac:dyDescent="0.2">
      <c r="A21" s="1283"/>
      <c r="B21" s="1284"/>
      <c r="C21" s="1285"/>
      <c r="D21" s="2501"/>
      <c r="E21" s="2501"/>
      <c r="F21" s="2501"/>
    </row>
    <row r="22" spans="1:6" ht="20.65" customHeight="1" x14ac:dyDescent="0.2">
      <c r="A22" s="1283"/>
      <c r="B22" s="1284"/>
      <c r="C22" s="1285"/>
      <c r="D22" s="2501"/>
      <c r="E22" s="2501"/>
      <c r="F22" s="2501"/>
    </row>
    <row r="23" spans="1:6" ht="20.65" customHeight="1" x14ac:dyDescent="0.2">
      <c r="A23" s="1283"/>
      <c r="B23" s="1284"/>
      <c r="C23" s="1285"/>
      <c r="D23" s="2501"/>
      <c r="E23" s="2501"/>
      <c r="F23" s="2501"/>
    </row>
    <row r="24" spans="1:6" ht="20.65" customHeight="1" x14ac:dyDescent="0.2">
      <c r="A24" s="1283"/>
      <c r="B24" s="1284"/>
      <c r="C24" s="1285"/>
      <c r="D24" s="2501"/>
      <c r="E24" s="2501"/>
      <c r="F24" s="2501"/>
    </row>
    <row r="25" spans="1:6" ht="20.65" customHeight="1" x14ac:dyDescent="0.2">
      <c r="A25" s="1283"/>
      <c r="B25" s="1284"/>
      <c r="C25" s="1285"/>
      <c r="D25" s="2501"/>
      <c r="E25" s="2501"/>
      <c r="F25" s="2501"/>
    </row>
    <row r="26" spans="1:6" ht="20.65" customHeight="1" x14ac:dyDescent="0.2">
      <c r="A26" s="1283"/>
      <c r="B26" s="1284"/>
      <c r="C26" s="1285"/>
      <c r="D26" s="2501"/>
      <c r="E26" s="2501"/>
      <c r="F26" s="2501"/>
    </row>
    <row r="27" spans="1:6" ht="20.65" customHeight="1" x14ac:dyDescent="0.2">
      <c r="A27" s="1283"/>
      <c r="B27" s="1284"/>
      <c r="C27" s="1285"/>
      <c r="D27" s="2501"/>
      <c r="E27" s="2501"/>
      <c r="F27" s="2501"/>
    </row>
    <row r="28" spans="1:6" ht="20.65" customHeight="1" x14ac:dyDescent="0.2">
      <c r="A28" s="1283"/>
      <c r="B28" s="1284"/>
      <c r="C28" s="1285"/>
      <c r="D28" s="2501"/>
      <c r="E28" s="2501"/>
      <c r="F28" s="2501"/>
    </row>
    <row r="29" spans="1:6" ht="20.65" customHeight="1" x14ac:dyDescent="0.2">
      <c r="A29" s="1283"/>
      <c r="B29" s="1284"/>
      <c r="C29" s="1285"/>
      <c r="D29" s="2501"/>
      <c r="E29" s="2501"/>
      <c r="F29" s="2501"/>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502" t="s">
        <v>2186</v>
      </c>
      <c r="B32" s="2502"/>
      <c r="C32" s="2502"/>
      <c r="D32" s="2502"/>
      <c r="E32" s="2502"/>
      <c r="F32" s="2502"/>
    </row>
    <row r="33" spans="1:6" ht="13.5" customHeight="1" x14ac:dyDescent="0.2">
      <c r="A33" s="328" t="s">
        <v>1509</v>
      </c>
      <c r="B33" s="328"/>
      <c r="C33" s="1288">
        <v>129679</v>
      </c>
      <c r="D33" s="1927"/>
      <c r="E33" s="1286"/>
    </row>
    <row r="34" spans="1:6" ht="13.5" customHeight="1" x14ac:dyDescent="0.2">
      <c r="A34" s="328" t="s">
        <v>1946</v>
      </c>
      <c r="B34" s="328"/>
      <c r="C34" s="1289">
        <v>32328</v>
      </c>
      <c r="D34" s="1927" t="s">
        <v>1671</v>
      </c>
      <c r="E34" s="2503">
        <f>+C33+C34</f>
        <v>162007</v>
      </c>
      <c r="F34" s="2504"/>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v>0</v>
      </c>
      <c r="D38" s="1927"/>
      <c r="E38" s="1286"/>
    </row>
    <row r="39" spans="1:6" ht="14.25" customHeight="1" x14ac:dyDescent="0.2">
      <c r="A39" s="328"/>
      <c r="B39" s="328" t="s">
        <v>1511</v>
      </c>
      <c r="C39" s="1292">
        <v>0</v>
      </c>
      <c r="D39" s="1927"/>
      <c r="E39" s="1286"/>
    </row>
    <row r="40" spans="1:6" ht="14.25" customHeight="1" x14ac:dyDescent="0.2">
      <c r="A40" s="328"/>
      <c r="B40" s="328" t="s">
        <v>1512</v>
      </c>
      <c r="C40" s="1292">
        <v>0</v>
      </c>
      <c r="D40" s="1927"/>
      <c r="E40" s="1286"/>
    </row>
    <row r="41" spans="1:6" ht="14.25" customHeight="1" x14ac:dyDescent="0.2">
      <c r="A41" s="328"/>
      <c r="B41" s="328" t="s">
        <v>1513</v>
      </c>
      <c r="C41" s="1292">
        <v>0</v>
      </c>
      <c r="D41" s="1927"/>
      <c r="E41" s="1286"/>
    </row>
    <row r="42" spans="1:6" ht="14.25" customHeight="1" x14ac:dyDescent="0.2">
      <c r="A42" s="328" t="s">
        <v>1514</v>
      </c>
      <c r="B42" s="328"/>
      <c r="C42" s="1925">
        <v>0</v>
      </c>
      <c r="D42" s="1927"/>
      <c r="E42" s="1286"/>
    </row>
    <row r="43" spans="1:6" ht="14.25" customHeight="1" x14ac:dyDescent="0.2">
      <c r="A43" s="328" t="s">
        <v>1515</v>
      </c>
      <c r="B43" s="328"/>
      <c r="C43" s="1293" t="s">
        <v>401</v>
      </c>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505" t="s">
        <v>1672</v>
      </c>
      <c r="C49" s="2505"/>
      <c r="D49" s="2505"/>
      <c r="E49" s="1399"/>
    </row>
    <row r="50" spans="1:5" s="1300" customFormat="1" ht="3.75" customHeight="1" x14ac:dyDescent="0.2">
      <c r="A50" s="1299"/>
      <c r="B50" s="1869"/>
      <c r="C50" s="1869"/>
      <c r="D50" s="1869"/>
      <c r="E50" s="1399"/>
    </row>
    <row r="51" spans="1:5" s="1300" customFormat="1" ht="20.25" customHeight="1" x14ac:dyDescent="0.2">
      <c r="A51" s="1301">
        <v>6</v>
      </c>
      <c r="B51" s="2500" t="s">
        <v>1632</v>
      </c>
      <c r="C51" s="2500"/>
      <c r="D51" s="2500"/>
    </row>
    <row r="52" spans="1:5" ht="14.25" customHeight="1" x14ac:dyDescent="0.2">
      <c r="A52" s="1301"/>
      <c r="B52" s="2500"/>
      <c r="C52" s="2500"/>
      <c r="D52" s="250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45&amp;R&amp;8Page 45</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1" zoomScale="110" zoomScaleNormal="110" workbookViewId="0">
      <selection activeCell="E52" sqref="E52"/>
    </sheetView>
  </sheetViews>
  <sheetFormatPr defaultColWidth="9.140625" defaultRowHeight="12.75" x14ac:dyDescent="0.2"/>
  <cols>
    <col min="1" max="1" width="1.42578125" style="1300" customWidth="1"/>
    <col min="2" max="2" width="24.42578125" style="1357" customWidth="1"/>
    <col min="3" max="3" width="29.5703125" style="317" customWidth="1"/>
    <col min="4" max="4" width="12.28515625" style="317" customWidth="1"/>
    <col min="5" max="5" width="5.28515625" style="1258" customWidth="1"/>
    <col min="6" max="8" width="5.28515625" style="317" customWidth="1"/>
    <col min="9" max="9" width="13.1406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23" t="str">
        <f>'Single Audit Cover'!A7</f>
        <v>Galesburg CUSD 205</v>
      </c>
      <c r="C1" s="2524"/>
      <c r="D1" s="2524"/>
      <c r="E1" s="2524"/>
      <c r="F1" s="2524"/>
      <c r="G1" s="2524"/>
      <c r="H1" s="2524"/>
      <c r="I1" s="2524"/>
      <c r="J1" s="1422"/>
    </row>
    <row r="2" spans="2:10" s="317" customFormat="1" ht="12.75" customHeight="1" x14ac:dyDescent="0.2">
      <c r="B2" s="2525">
        <f>'Single Audit Cover'!E7</f>
        <v>33048205026</v>
      </c>
      <c r="C2" s="2526"/>
      <c r="D2" s="2526"/>
      <c r="E2" s="2526"/>
      <c r="F2" s="2526"/>
      <c r="G2" s="2526"/>
      <c r="H2" s="2526"/>
      <c r="I2" s="2526"/>
      <c r="J2" s="1422"/>
    </row>
    <row r="3" spans="2:10" s="317" customFormat="1" ht="12.75" customHeight="1" x14ac:dyDescent="0.2">
      <c r="B3" s="2527" t="s">
        <v>1347</v>
      </c>
      <c r="C3" s="2528"/>
      <c r="D3" s="2528"/>
      <c r="E3" s="2528"/>
      <c r="F3" s="2528"/>
      <c r="G3" s="2528"/>
      <c r="H3" s="2528"/>
      <c r="I3" s="2528"/>
      <c r="J3" s="1423"/>
    </row>
    <row r="4" spans="2:10" s="317" customFormat="1" ht="12.75" customHeight="1" x14ac:dyDescent="0.2">
      <c r="B4" s="2527" t="str">
        <f>'Single Audit Cover'!A4</f>
        <v>Year Ending June 30, 2018</v>
      </c>
      <c r="C4" s="2528"/>
      <c r="D4" s="2528"/>
      <c r="E4" s="2528"/>
      <c r="F4" s="2528"/>
      <c r="G4" s="2528"/>
      <c r="H4" s="2528"/>
      <c r="I4" s="2528"/>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27" t="s">
        <v>1346</v>
      </c>
      <c r="C7" s="2528"/>
      <c r="D7" s="2528"/>
      <c r="E7" s="2528"/>
      <c r="F7" s="2528"/>
      <c r="G7" s="2528"/>
      <c r="H7" s="2528"/>
      <c r="I7" s="2528"/>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529" t="s">
        <v>2187</v>
      </c>
      <c r="D11" s="2529"/>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2082</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2082</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2082</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2082</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2082</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530" t="s">
        <v>2188</v>
      </c>
      <c r="E29" s="2530"/>
      <c r="F29" s="2530"/>
      <c r="G29" s="2530"/>
      <c r="H29" s="2530"/>
      <c r="I29" s="2530"/>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2082</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531" t="s">
        <v>1851</v>
      </c>
      <c r="D37" s="2532"/>
      <c r="E37" s="2532"/>
      <c r="F37" s="2533"/>
      <c r="G37" s="2531" t="s">
        <v>1674</v>
      </c>
      <c r="H37" s="2532"/>
      <c r="I37" s="2533"/>
    </row>
    <row r="38" spans="2:9" ht="16.5" customHeight="1" x14ac:dyDescent="0.2">
      <c r="B38" s="1444" t="s">
        <v>2189</v>
      </c>
      <c r="C38" s="2519" t="s">
        <v>2190</v>
      </c>
      <c r="D38" s="2520"/>
      <c r="E38" s="2520"/>
      <c r="F38" s="2521"/>
      <c r="G38" s="2534">
        <v>1127605</v>
      </c>
      <c r="H38" s="2535"/>
      <c r="I38" s="2536"/>
    </row>
    <row r="39" spans="2:9" ht="16.5" customHeight="1" x14ac:dyDescent="0.2">
      <c r="B39" s="1444">
        <v>84.367000000000004</v>
      </c>
      <c r="C39" s="2519" t="s">
        <v>782</v>
      </c>
      <c r="D39" s="2520"/>
      <c r="E39" s="2520"/>
      <c r="F39" s="2521"/>
      <c r="G39" s="2522">
        <v>296459</v>
      </c>
      <c r="H39" s="2522"/>
      <c r="I39" s="2522"/>
    </row>
    <row r="40" spans="2:9" ht="16.5" customHeight="1" x14ac:dyDescent="0.2">
      <c r="B40" s="1444"/>
      <c r="C40" s="2519"/>
      <c r="D40" s="2520"/>
      <c r="E40" s="2520"/>
      <c r="F40" s="2521"/>
      <c r="G40" s="2522"/>
      <c r="H40" s="2522"/>
      <c r="I40" s="2522"/>
    </row>
    <row r="41" spans="2:9" ht="16.5" customHeight="1" x14ac:dyDescent="0.2">
      <c r="B41" s="1444"/>
      <c r="C41" s="2519"/>
      <c r="D41" s="2520"/>
      <c r="E41" s="2520"/>
      <c r="F41" s="2521"/>
      <c r="G41" s="2522"/>
      <c r="H41" s="2522"/>
      <c r="I41" s="2522"/>
    </row>
    <row r="42" spans="2:9" ht="16.5" customHeight="1" x14ac:dyDescent="0.2">
      <c r="B42" s="1444"/>
      <c r="C42" s="2519"/>
      <c r="D42" s="2520"/>
      <c r="E42" s="2520"/>
      <c r="F42" s="2521"/>
      <c r="G42" s="2522"/>
      <c r="H42" s="2522"/>
      <c r="I42" s="2522"/>
    </row>
    <row r="43" spans="2:9" ht="16.5" customHeight="1" x14ac:dyDescent="0.2">
      <c r="B43" s="1444"/>
      <c r="C43" s="2512" t="s">
        <v>1675</v>
      </c>
      <c r="D43" s="2513"/>
      <c r="E43" s="2513"/>
      <c r="F43" s="2514"/>
      <c r="G43" s="2515">
        <f>SUM(G38:I42)</f>
        <v>1424064</v>
      </c>
      <c r="H43" s="2515"/>
      <c r="I43" s="2515"/>
    </row>
    <row r="44" spans="2:9" ht="12.75" customHeight="1" x14ac:dyDescent="0.2"/>
    <row r="45" spans="2:9" ht="12.75" customHeight="1" x14ac:dyDescent="0.2">
      <c r="B45" s="1435" t="s">
        <v>1949</v>
      </c>
      <c r="D45" s="2516">
        <v>5219529</v>
      </c>
      <c r="E45" s="2517"/>
    </row>
    <row r="46" spans="2:9" ht="5.25" customHeight="1" x14ac:dyDescent="0.2">
      <c r="B46" s="1445"/>
      <c r="D46" s="1446"/>
      <c r="E46" s="1447"/>
    </row>
    <row r="47" spans="2:9" ht="12.75" customHeight="1" x14ac:dyDescent="0.2">
      <c r="B47" s="1300" t="s">
        <v>1676</v>
      </c>
      <c r="C47" s="1300"/>
      <c r="D47" s="1448">
        <f>+G43/D45</f>
        <v>0.27283381316590061</v>
      </c>
      <c r="E47" s="1449"/>
      <c r="F47" s="1450"/>
      <c r="I47" s="1451"/>
    </row>
    <row r="48" spans="2:9" ht="9.9499999999999993" customHeight="1" x14ac:dyDescent="0.2"/>
    <row r="49" spans="1:9" x14ac:dyDescent="0.2">
      <c r="B49" s="1368" t="s">
        <v>1335</v>
      </c>
      <c r="C49" s="1282"/>
      <c r="D49" s="1282"/>
      <c r="E49" s="2518">
        <v>750000</v>
      </c>
      <c r="F49" s="2518"/>
      <c r="G49" s="2518"/>
      <c r="H49" s="322"/>
    </row>
    <row r="51" spans="1:9" ht="13.5" customHeight="1" x14ac:dyDescent="0.2">
      <c r="B51" s="1368" t="s">
        <v>1334</v>
      </c>
      <c r="C51" s="1282"/>
      <c r="E51" s="1438" t="s">
        <v>2082</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46&amp;R&amp;8Page 46</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T20" sqref="T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3" t="str">
        <f>'Single Audit Cover'!A7</f>
        <v>Galesburg CUSD 205</v>
      </c>
      <c r="C1" s="2523"/>
      <c r="D1" s="2523"/>
      <c r="E1" s="2523"/>
      <c r="F1" s="2523"/>
      <c r="G1" s="2523"/>
      <c r="H1" s="2523"/>
      <c r="I1" s="2523"/>
      <c r="J1" s="2523"/>
      <c r="K1" s="2523"/>
      <c r="L1" s="1374"/>
      <c r="M1" s="1374"/>
    </row>
    <row r="2" spans="1:13" ht="12" customHeight="1" x14ac:dyDescent="0.2">
      <c r="B2" s="2525">
        <f>'Single Audit Cover'!E7</f>
        <v>33048205026</v>
      </c>
      <c r="C2" s="2525"/>
      <c r="D2" s="2525"/>
      <c r="E2" s="2525"/>
      <c r="F2" s="2525"/>
      <c r="G2" s="2525"/>
      <c r="H2" s="2525"/>
      <c r="I2" s="2525"/>
      <c r="J2" s="2525"/>
      <c r="K2" s="2525"/>
      <c r="L2" s="1375"/>
      <c r="M2" s="1376"/>
    </row>
    <row r="3" spans="1:13" ht="10.35" customHeight="1" x14ac:dyDescent="0.2">
      <c r="B3" s="2539" t="s">
        <v>1347</v>
      </c>
      <c r="C3" s="2539"/>
      <c r="D3" s="2539"/>
      <c r="E3" s="2539"/>
      <c r="F3" s="2539"/>
      <c r="G3" s="2539"/>
      <c r="H3" s="2539"/>
      <c r="I3" s="2539"/>
      <c r="J3" s="2539"/>
      <c r="K3" s="2539"/>
      <c r="L3" s="1377"/>
      <c r="M3" s="1377"/>
    </row>
    <row r="4" spans="1:13" ht="14.25" customHeight="1" x14ac:dyDescent="0.2">
      <c r="B4" s="2540" t="str">
        <f>'Single Audit Cover'!A4</f>
        <v>Year Ending June 30, 2018</v>
      </c>
      <c r="C4" s="2540"/>
      <c r="D4" s="2540"/>
      <c r="E4" s="2540"/>
      <c r="F4" s="2540"/>
      <c r="G4" s="2540"/>
      <c r="H4" s="2540"/>
      <c r="I4" s="2540"/>
      <c r="J4" s="2540"/>
      <c r="K4" s="2540"/>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40" t="s">
        <v>1363</v>
      </c>
      <c r="C7" s="2540"/>
      <c r="D7" s="2541"/>
      <c r="E7" s="2541"/>
      <c r="F7" s="2541"/>
      <c r="G7" s="2541"/>
      <c r="H7" s="2541"/>
      <c r="I7" s="2541"/>
      <c r="J7" s="2541"/>
      <c r="K7" s="2541"/>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42" t="s">
        <v>2185</v>
      </c>
      <c r="C14" s="2543"/>
      <c r="D14" s="2543"/>
      <c r="E14" s="2543"/>
      <c r="F14" s="2543"/>
      <c r="G14" s="2543"/>
      <c r="H14" s="2543"/>
      <c r="I14" s="2543"/>
      <c r="J14" s="2543"/>
      <c r="K14" s="254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38"/>
      <c r="C17" s="2538"/>
      <c r="D17" s="2538"/>
      <c r="E17" s="2538"/>
      <c r="F17" s="2538"/>
      <c r="G17" s="2538"/>
      <c r="H17" s="2538"/>
      <c r="I17" s="2538"/>
      <c r="J17" s="2538"/>
      <c r="K17" s="2538"/>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44"/>
      <c r="C20" s="2544"/>
      <c r="D20" s="2538"/>
      <c r="E20" s="2538"/>
      <c r="F20" s="2538"/>
      <c r="G20" s="2538"/>
      <c r="H20" s="2538"/>
      <c r="I20" s="2538"/>
      <c r="J20" s="2538"/>
      <c r="K20" s="2538"/>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38"/>
      <c r="C23" s="2538"/>
      <c r="D23" s="2538"/>
      <c r="E23" s="2538"/>
      <c r="F23" s="2538"/>
      <c r="G23" s="2538"/>
      <c r="H23" s="2538"/>
      <c r="I23" s="2538"/>
      <c r="J23" s="2538"/>
      <c r="K23" s="2538"/>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38"/>
      <c r="C26" s="2538"/>
      <c r="D26" s="2538"/>
      <c r="E26" s="2538"/>
      <c r="F26" s="2538"/>
      <c r="G26" s="2538"/>
      <c r="H26" s="2538"/>
      <c r="I26" s="2538"/>
      <c r="J26" s="2538"/>
      <c r="K26" s="2538"/>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37"/>
      <c r="C29" s="2537"/>
      <c r="D29" s="2538"/>
      <c r="E29" s="2538"/>
      <c r="F29" s="2538"/>
      <c r="G29" s="2538"/>
      <c r="H29" s="2538"/>
      <c r="I29" s="2538"/>
      <c r="J29" s="2538"/>
      <c r="K29" s="2538"/>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37"/>
      <c r="C32" s="2537"/>
      <c r="D32" s="2538"/>
      <c r="E32" s="2538"/>
      <c r="F32" s="2538"/>
      <c r="G32" s="2538"/>
      <c r="H32" s="2538"/>
      <c r="I32" s="2538"/>
      <c r="J32" s="2538"/>
      <c r="K32" s="2538"/>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47&amp;R&amp;8Page 47</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O22" sqref="O2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9" t="str">
        <f>'Single Audit Cover'!A7</f>
        <v>Galesburg CUSD 205</v>
      </c>
      <c r="C1" s="2549"/>
      <c r="D1" s="2549"/>
      <c r="E1" s="2549"/>
      <c r="F1" s="2549"/>
      <c r="G1" s="2549"/>
      <c r="H1" s="2549"/>
      <c r="I1" s="2549"/>
      <c r="J1" s="2549"/>
      <c r="K1" s="2549"/>
      <c r="L1" s="1465"/>
    </row>
    <row r="2" spans="1:12" ht="12.75" customHeight="1" x14ac:dyDescent="0.2">
      <c r="B2" s="2550">
        <f>'Single Audit Cover'!E7</f>
        <v>33048205026</v>
      </c>
      <c r="C2" s="2550"/>
      <c r="D2" s="2550"/>
      <c r="E2" s="2550"/>
      <c r="F2" s="2550"/>
      <c r="G2" s="2550"/>
      <c r="H2" s="2550"/>
      <c r="I2" s="2550"/>
      <c r="J2" s="2550"/>
      <c r="K2" s="2550"/>
      <c r="L2" s="1466"/>
    </row>
    <row r="3" spans="1:12" ht="12.75" customHeight="1" x14ac:dyDescent="0.2">
      <c r="B3" s="2539" t="s">
        <v>1347</v>
      </c>
      <c r="C3" s="2539"/>
      <c r="D3" s="2539"/>
      <c r="E3" s="2539"/>
      <c r="F3" s="2539"/>
      <c r="G3" s="2539"/>
      <c r="H3" s="2539"/>
      <c r="I3" s="2539"/>
      <c r="J3" s="2539"/>
      <c r="K3" s="2539"/>
      <c r="L3" s="1377"/>
    </row>
    <row r="4" spans="1:12" ht="12.75" customHeight="1" x14ac:dyDescent="0.2">
      <c r="B4" s="2539" t="str">
        <f>'Single Audit Cover'!A4</f>
        <v>Year Ending June 30, 2018</v>
      </c>
      <c r="C4" s="2539"/>
      <c r="D4" s="2539"/>
      <c r="E4" s="2539"/>
      <c r="F4" s="2539"/>
      <c r="G4" s="2539"/>
      <c r="H4" s="2539"/>
      <c r="I4" s="2539"/>
      <c r="J4" s="2539"/>
      <c r="K4" s="2539"/>
      <c r="L4" s="1377"/>
    </row>
    <row r="5" spans="1:12" ht="5.25" customHeight="1" x14ac:dyDescent="0.2">
      <c r="B5" s="1260" t="s">
        <v>1231</v>
      </c>
      <c r="C5" s="1260"/>
      <c r="L5" s="322"/>
    </row>
    <row r="6" spans="1:12" ht="30.75" customHeight="1" x14ac:dyDescent="0.2">
      <c r="A6" s="322"/>
      <c r="B6" s="2551" t="s">
        <v>1375</v>
      </c>
      <c r="C6" s="2551"/>
      <c r="D6" s="2551"/>
      <c r="E6" s="2551"/>
      <c r="F6" s="2551"/>
      <c r="G6" s="2551"/>
      <c r="H6" s="2551"/>
      <c r="I6" s="2551"/>
      <c r="J6" s="2551"/>
      <c r="K6" s="2551"/>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530"/>
      <c r="G12" s="2530"/>
      <c r="H12" s="2530"/>
      <c r="I12" s="2530"/>
      <c r="J12" s="2530"/>
      <c r="K12" s="253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45"/>
      <c r="E14" s="2545"/>
      <c r="F14" s="2545"/>
      <c r="H14" s="1475" t="s">
        <v>1370</v>
      </c>
      <c r="I14" s="2546"/>
      <c r="J14" s="2546"/>
      <c r="K14" s="2546"/>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46"/>
      <c r="E16" s="2546"/>
      <c r="F16" s="2546"/>
      <c r="G16" s="2546"/>
      <c r="H16" s="2546"/>
      <c r="I16" s="2546"/>
      <c r="J16" s="2546"/>
      <c r="K16" s="2546"/>
      <c r="L16" s="322"/>
    </row>
    <row r="17" spans="2:12" ht="13.5" customHeight="1" x14ac:dyDescent="0.2">
      <c r="B17" s="1387" t="s">
        <v>1368</v>
      </c>
      <c r="C17" s="1387"/>
      <c r="D17" s="2547"/>
      <c r="E17" s="2547"/>
      <c r="F17" s="2547"/>
      <c r="G17" s="2547"/>
      <c r="H17" s="2547"/>
      <c r="I17" s="2547"/>
      <c r="J17" s="2547"/>
      <c r="K17" s="254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48" t="s">
        <v>2185</v>
      </c>
      <c r="C20" s="2548"/>
      <c r="D20" s="2548"/>
      <c r="E20" s="2548"/>
      <c r="F20" s="2548"/>
      <c r="G20" s="2548"/>
      <c r="H20" s="2548"/>
      <c r="I20" s="2548"/>
      <c r="J20" s="2548"/>
      <c r="K20" s="2548"/>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38"/>
      <c r="C23" s="2538"/>
      <c r="D23" s="2538"/>
      <c r="E23" s="2538"/>
      <c r="F23" s="2538"/>
      <c r="G23" s="2538"/>
      <c r="H23" s="2538"/>
      <c r="I23" s="2538"/>
      <c r="J23" s="2538"/>
      <c r="K23" s="2538"/>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38"/>
      <c r="C26" s="2538"/>
      <c r="D26" s="2538"/>
      <c r="E26" s="2538"/>
      <c r="F26" s="2538"/>
      <c r="G26" s="2538"/>
      <c r="H26" s="2538"/>
      <c r="I26" s="2538"/>
      <c r="J26" s="2538"/>
      <c r="K26" s="2538"/>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38"/>
      <c r="C29" s="2538"/>
      <c r="D29" s="2538"/>
      <c r="E29" s="2538"/>
      <c r="F29" s="2538"/>
      <c r="G29" s="2538"/>
      <c r="H29" s="2538"/>
      <c r="I29" s="2538"/>
      <c r="J29" s="2538"/>
      <c r="K29" s="2538"/>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38"/>
      <c r="C32" s="2538"/>
      <c r="D32" s="2538"/>
      <c r="E32" s="2538"/>
      <c r="F32" s="2538"/>
      <c r="G32" s="2538"/>
      <c r="H32" s="2538"/>
      <c r="I32" s="2538"/>
      <c r="J32" s="2538"/>
      <c r="K32" s="2538"/>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38"/>
      <c r="C35" s="2538"/>
      <c r="D35" s="2538"/>
      <c r="E35" s="2538"/>
      <c r="F35" s="2538"/>
      <c r="G35" s="2538"/>
      <c r="H35" s="2538"/>
      <c r="I35" s="2538"/>
      <c r="J35" s="2538"/>
      <c r="K35" s="2538"/>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38"/>
      <c r="C38" s="2538"/>
      <c r="D38" s="2538"/>
      <c r="E38" s="2538"/>
      <c r="F38" s="2538"/>
      <c r="G38" s="2538"/>
      <c r="H38" s="2538"/>
      <c r="I38" s="2538"/>
      <c r="J38" s="2538"/>
      <c r="K38" s="2538"/>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38"/>
      <c r="C41" s="2538"/>
      <c r="D41" s="2538"/>
      <c r="E41" s="2538"/>
      <c r="F41" s="2538"/>
      <c r="G41" s="2538"/>
      <c r="H41" s="2538"/>
      <c r="I41" s="2538"/>
      <c r="J41" s="2538"/>
      <c r="K41" s="2538"/>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48&amp;R&amp;8Page 48</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D17" sqref="D1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523" t="str">
        <f>'Single Audit Cover'!A7</f>
        <v>Galesburg CUSD 205</v>
      </c>
      <c r="C1" s="2523"/>
      <c r="D1" s="2523"/>
      <c r="E1" s="1491"/>
    </row>
    <row r="2" spans="2:5" s="1282" customFormat="1" ht="12.75" customHeight="1" x14ac:dyDescent="0.2">
      <c r="B2" s="2525">
        <f>'Single Audit Cover'!E7</f>
        <v>33048205026</v>
      </c>
      <c r="C2" s="2525"/>
      <c r="D2" s="2525"/>
      <c r="E2" s="1492"/>
    </row>
    <row r="3" spans="2:5" ht="12.75" customHeight="1" x14ac:dyDescent="0.2">
      <c r="B3" s="2539" t="s">
        <v>1866</v>
      </c>
      <c r="C3" s="2539"/>
      <c r="D3" s="2539"/>
      <c r="E3" s="1274"/>
    </row>
    <row r="4" spans="2:5" s="1282" customFormat="1" ht="12.75" customHeight="1" x14ac:dyDescent="0.2">
      <c r="B4" s="2552" t="str">
        <f>'Single Audit Cover'!A4</f>
        <v>Year Ending June 30, 2018</v>
      </c>
      <c r="C4" s="2552"/>
      <c r="D4" s="2552"/>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2001" t="s">
        <v>2194</v>
      </c>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49&amp;R&amp;8Page 49</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46" t="s">
        <v>404</v>
      </c>
      <c r="B1" s="2146"/>
      <c r="C1" s="2146"/>
      <c r="D1" s="2146"/>
      <c r="E1" s="2146"/>
      <c r="F1" s="2146"/>
      <c r="G1" s="2146"/>
      <c r="H1" s="2146"/>
      <c r="I1" s="2146"/>
      <c r="J1" s="2146"/>
      <c r="K1" s="2146"/>
      <c r="L1" s="2146"/>
      <c r="M1" s="214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425420116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2.7300000000000001E-2</v>
      </c>
      <c r="E10" s="356" t="s">
        <v>1062</v>
      </c>
      <c r="F10" s="355">
        <v>5.0000000000000001E-3</v>
      </c>
      <c r="G10" s="356" t="s">
        <v>1062</v>
      </c>
      <c r="H10" s="355">
        <v>2E-3</v>
      </c>
      <c r="I10" s="356" t="s">
        <v>1063</v>
      </c>
      <c r="J10" s="1754">
        <f>ROUND(D10+F10+H10,5)</f>
        <v>3.4299999999999997E-2</v>
      </c>
      <c r="K10" s="222"/>
      <c r="L10" s="355">
        <v>5.0000000000000001E-4</v>
      </c>
      <c r="M10" s="222"/>
    </row>
    <row r="11" spans="1:14" ht="7.5" customHeight="1" x14ac:dyDescent="0.2">
      <c r="B11" s="222"/>
      <c r="C11" s="222"/>
      <c r="D11" s="2156" t="str">
        <f>IF(SUM(J10)&lt;=0.0999999,"","Enter the Tax Rates by moving the decimal two places to the left.")</f>
        <v/>
      </c>
      <c r="E11" s="2157"/>
      <c r="F11" s="2157"/>
      <c r="G11" s="2157"/>
      <c r="H11" s="2157"/>
      <c r="I11" s="2157"/>
      <c r="J11" s="215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45453020</v>
      </c>
      <c r="E16" s="356"/>
      <c r="F16" s="1755">
        <f>SUM('Acct Summary 7-8'!C17,'Acct Summary 7-8'!D17,'Acct Summary 7-8'!F17)</f>
        <v>38906657</v>
      </c>
      <c r="G16" s="356"/>
      <c r="H16" s="1755">
        <f>SUM(D16-F16)</f>
        <v>6546363</v>
      </c>
      <c r="I16" s="222"/>
      <c r="J16" s="1755">
        <f>SUM('Acct Summary 7-8'!C81,'Acct Summary 7-8'!D81,'Acct Summary 7-8'!F81,'Acct Summary 7-8'!I81)</f>
        <v>22277022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58707976.008000001</v>
      </c>
      <c r="I31" s="368"/>
      <c r="J31" s="222"/>
      <c r="K31" s="222"/>
      <c r="L31" s="222"/>
      <c r="M31" s="222"/>
    </row>
    <row r="32" spans="1:13" ht="13.35" customHeight="1" x14ac:dyDescent="0.2">
      <c r="B32" s="369" t="s">
        <v>2082</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46407741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47"/>
      <c r="C54" s="2148"/>
      <c r="D54" s="2148"/>
      <c r="E54" s="2148"/>
      <c r="F54" s="2148"/>
      <c r="G54" s="2148"/>
      <c r="H54" s="2148"/>
      <c r="I54" s="2148"/>
      <c r="J54" s="2148"/>
      <c r="K54" s="2148"/>
      <c r="L54" s="2149"/>
      <c r="M54" s="380"/>
    </row>
    <row r="55" spans="1:13" ht="12.75" customHeight="1" x14ac:dyDescent="0.2">
      <c r="B55" s="2150"/>
      <c r="C55" s="2151"/>
      <c r="D55" s="2151"/>
      <c r="E55" s="2151"/>
      <c r="F55" s="2151"/>
      <c r="G55" s="2151"/>
      <c r="H55" s="2151"/>
      <c r="I55" s="2151"/>
      <c r="J55" s="2151"/>
      <c r="K55" s="2151"/>
      <c r="L55" s="2152"/>
      <c r="M55" s="380"/>
    </row>
    <row r="56" spans="1:13" ht="12.75" customHeight="1" x14ac:dyDescent="0.2">
      <c r="B56" s="2150"/>
      <c r="C56" s="2151"/>
      <c r="D56" s="2151"/>
      <c r="E56" s="2151"/>
      <c r="F56" s="2151"/>
      <c r="G56" s="2151"/>
      <c r="H56" s="2151"/>
      <c r="I56" s="2151"/>
      <c r="J56" s="2151"/>
      <c r="K56" s="2151"/>
      <c r="L56" s="2152"/>
      <c r="M56" s="222"/>
    </row>
    <row r="57" spans="1:13" ht="12.75" customHeight="1" x14ac:dyDescent="0.2">
      <c r="B57" s="2150"/>
      <c r="C57" s="2151"/>
      <c r="D57" s="2151"/>
      <c r="E57" s="2151"/>
      <c r="F57" s="2151"/>
      <c r="G57" s="2151"/>
      <c r="H57" s="2151"/>
      <c r="I57" s="2151"/>
      <c r="J57" s="2151"/>
      <c r="K57" s="2151"/>
      <c r="L57" s="2152"/>
      <c r="M57" s="222"/>
    </row>
    <row r="58" spans="1:13" x14ac:dyDescent="0.2">
      <c r="B58" s="2153"/>
      <c r="C58" s="2154"/>
      <c r="D58" s="2154"/>
      <c r="E58" s="2154"/>
      <c r="F58" s="2154"/>
      <c r="G58" s="2154"/>
      <c r="H58" s="2154"/>
      <c r="I58" s="2154"/>
      <c r="J58" s="2154"/>
      <c r="K58" s="2154"/>
      <c r="L58" s="215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58"/>
      <c r="D61" s="215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O31" sqref="O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61"/>
      <c r="B1" s="2162"/>
      <c r="C1" s="2162"/>
      <c r="D1" s="384"/>
      <c r="E1" s="384"/>
      <c r="F1" s="384"/>
      <c r="G1" s="384"/>
      <c r="H1" s="384"/>
      <c r="I1" s="384"/>
      <c r="J1" s="384"/>
      <c r="K1" s="384"/>
      <c r="L1" s="384"/>
      <c r="M1" s="384"/>
      <c r="N1" s="384"/>
      <c r="O1" s="2161"/>
      <c r="P1" s="2162"/>
      <c r="Q1" s="2162"/>
    </row>
    <row r="2" spans="1:18" ht="15" x14ac:dyDescent="0.2">
      <c r="A2" s="2165" t="s">
        <v>577</v>
      </c>
      <c r="B2" s="2165"/>
      <c r="C2" s="2165"/>
      <c r="D2" s="2165"/>
      <c r="E2" s="2165"/>
      <c r="F2" s="2165"/>
      <c r="G2" s="2165"/>
      <c r="H2" s="2165"/>
      <c r="I2" s="2165"/>
      <c r="J2" s="2165"/>
      <c r="K2" s="2165"/>
      <c r="L2" s="2165"/>
      <c r="M2" s="2165"/>
      <c r="N2" s="2165"/>
      <c r="O2" s="2165"/>
      <c r="P2" s="2165"/>
      <c r="Q2" s="2165"/>
      <c r="R2" s="2165"/>
    </row>
    <row r="3" spans="1:18" ht="12.75" x14ac:dyDescent="0.2">
      <c r="A3" s="2166" t="s">
        <v>1480</v>
      </c>
      <c r="B3" s="2166"/>
      <c r="C3" s="2166"/>
      <c r="D3" s="2166"/>
      <c r="E3" s="2166"/>
      <c r="F3" s="2166"/>
      <c r="G3" s="2166"/>
      <c r="H3" s="2166"/>
      <c r="I3" s="2166"/>
      <c r="J3" s="2166"/>
      <c r="K3" s="2166"/>
      <c r="L3" s="2166"/>
      <c r="M3" s="2166"/>
      <c r="N3" s="2166"/>
      <c r="O3" s="2166"/>
      <c r="P3" s="2166"/>
      <c r="Q3" s="2166"/>
      <c r="R3" s="2166"/>
    </row>
    <row r="4" spans="1:18" x14ac:dyDescent="0.2">
      <c r="A4" s="2167" t="s">
        <v>1635</v>
      </c>
      <c r="B4" s="2167"/>
      <c r="C4" s="2167"/>
      <c r="D4" s="2167"/>
      <c r="E4" s="2167"/>
      <c r="F4" s="2167"/>
      <c r="G4" s="2167"/>
      <c r="H4" s="2167"/>
      <c r="I4" s="2167"/>
      <c r="J4" s="2167"/>
      <c r="K4" s="2167"/>
      <c r="L4" s="2167"/>
      <c r="M4" s="2167"/>
      <c r="N4" s="2167"/>
      <c r="O4" s="2167"/>
      <c r="P4" s="2167"/>
      <c r="Q4" s="2167"/>
      <c r="R4" s="216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Galesburg CUSD 205</v>
      </c>
      <c r="E7" s="391"/>
      <c r="G7" s="252"/>
      <c r="H7" s="387"/>
      <c r="I7" s="387"/>
      <c r="J7" s="387"/>
      <c r="K7" s="387"/>
      <c r="L7" s="329"/>
      <c r="M7" s="329"/>
      <c r="N7" s="329"/>
      <c r="O7" s="329"/>
      <c r="P7" s="329"/>
    </row>
    <row r="8" spans="1:18" ht="12.75" x14ac:dyDescent="0.2">
      <c r="A8" s="329"/>
      <c r="B8" s="329"/>
      <c r="C8" s="389" t="s">
        <v>1187</v>
      </c>
      <c r="D8" s="392">
        <f>COVER!A13</f>
        <v>33048205026</v>
      </c>
      <c r="E8" s="393"/>
      <c r="G8" s="329"/>
      <c r="H8" s="329"/>
      <c r="I8" s="329"/>
      <c r="J8" s="329"/>
      <c r="K8" s="329"/>
      <c r="L8" s="329"/>
      <c r="M8" s="329"/>
      <c r="N8" s="329"/>
      <c r="O8" s="329"/>
      <c r="P8" s="329"/>
    </row>
    <row r="9" spans="1:18" ht="12.75" x14ac:dyDescent="0.2">
      <c r="A9" s="329"/>
      <c r="B9" s="329"/>
      <c r="C9" s="389" t="s">
        <v>737</v>
      </c>
      <c r="D9" s="394" t="str">
        <f>COVER!A15</f>
        <v>Knox and Warren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22277022</v>
      </c>
      <c r="I12" s="404"/>
      <c r="J12" s="404"/>
      <c r="K12" s="405">
        <f>TRUNC((H12/H13*100000),5)/100000</f>
        <v>0.49011093210000001</v>
      </c>
      <c r="L12" s="406"/>
      <c r="M12" s="360" t="s">
        <v>1206</v>
      </c>
      <c r="N12" s="360"/>
      <c r="O12" s="407">
        <v>0.35</v>
      </c>
      <c r="P12" s="218"/>
      <c r="Q12" s="218"/>
    </row>
    <row r="13" spans="1:18" s="408" customFormat="1" ht="12.75" x14ac:dyDescent="0.2">
      <c r="A13" s="218"/>
      <c r="B13" s="401"/>
      <c r="C13" s="2163" t="s">
        <v>1391</v>
      </c>
      <c r="D13" s="2164"/>
      <c r="E13" s="218"/>
      <c r="F13" s="409" t="s">
        <v>826</v>
      </c>
      <c r="G13" s="402"/>
      <c r="H13" s="403">
        <f>SUM('Acct Summary 7-8'!C8+'Acct Summary 7-8'!D8+'Acct Summary 7-8'!F8+'Acct Summary 7-8'!I8)+H14</f>
        <v>45453020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38906657</v>
      </c>
      <c r="I17" s="404"/>
      <c r="J17" s="416"/>
      <c r="K17" s="405">
        <f>TRUNC((H17/H18*100000),5)/100000</f>
        <v>0.85597518049999999</v>
      </c>
      <c r="L17" s="406"/>
      <c r="M17" s="417" t="s">
        <v>1233</v>
      </c>
      <c r="O17" s="418" t="str">
        <f>IF(AND(O16="2", J20 &gt; 2),"1",IF(AND(O16 = "1", J20 &gt; 2),"2",IF(AND(O16="1", J20 &gt;1),"1","0")))</f>
        <v>0</v>
      </c>
      <c r="P17" s="218"/>
    </row>
    <row r="18" spans="1:18" s="408" customFormat="1" ht="11.25" x14ac:dyDescent="0.2">
      <c r="A18" s="218"/>
      <c r="B18" s="401"/>
      <c r="C18" s="2163" t="s">
        <v>1384</v>
      </c>
      <c r="D18" s="2164"/>
      <c r="E18" s="218"/>
      <c r="F18" s="419" t="s">
        <v>827</v>
      </c>
      <c r="G18" s="402"/>
      <c r="H18" s="403">
        <f>SUM('Acct Summary 7-8'!C8+'Acct Summary 7-8'!D8+'Acct Summary 7-8'!F8+'Acct Summary 7-8'!I8)+H19</f>
        <v>45453020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60" t="s">
        <v>1479</v>
      </c>
      <c r="D24" s="2160"/>
      <c r="E24" s="218"/>
      <c r="F24" s="218" t="s">
        <v>465</v>
      </c>
      <c r="G24" s="402"/>
      <c r="H24" s="403">
        <f>SUM('Assets-Liab 5-6'!C4+'Assets-Liab 5-6'!D4+'Assets-Liab 5-6'!F4+'Assets-Liab 5-6'!I4+'Assets-Liab 5-6'!C5+'Assets-Liab 5-6'!D5+'Assets-Liab 5-6'!F5+'Assets-Liab 5-6'!I5)</f>
        <v>22728581</v>
      </c>
      <c r="I24" s="422"/>
      <c r="J24" s="422"/>
      <c r="K24" s="423">
        <f>TRUNC(((H24/H25*100000)/100000),2)</f>
        <v>210.3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108074.04721999999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12403123.48198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46407741</v>
      </c>
      <c r="I32" s="420"/>
      <c r="J32" s="420"/>
      <c r="K32" s="423">
        <f>TRUNC(100-((((H32/H33*100))*100)/100),2)</f>
        <v>20.95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58707976.008000001</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8" zoomScaleNormal="98" workbookViewId="0">
      <pane ySplit="2" topLeftCell="A18" activePane="bottomLeft" state="frozen"/>
      <selection activeCell="A47" sqref="A47"/>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6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6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70" t="s">
        <v>1030</v>
      </c>
      <c r="B3" s="2171"/>
      <c r="C3" s="1581"/>
      <c r="D3" s="1582"/>
      <c r="E3" s="1582"/>
      <c r="F3" s="1582"/>
      <c r="G3" s="1582"/>
      <c r="H3" s="1582"/>
      <c r="I3" s="1582"/>
      <c r="J3" s="1582"/>
      <c r="K3" s="1582"/>
      <c r="L3" s="1582"/>
      <c r="M3" s="1583"/>
      <c r="N3" s="1584"/>
    </row>
    <row r="4" spans="1:14" ht="13.5" customHeight="1" x14ac:dyDescent="0.2">
      <c r="A4" s="463" t="s">
        <v>1750</v>
      </c>
      <c r="B4" s="464"/>
      <c r="C4" s="465">
        <v>2219577</v>
      </c>
      <c r="D4" s="466">
        <v>2400288</v>
      </c>
      <c r="E4" s="466">
        <v>862827</v>
      </c>
      <c r="F4" s="466">
        <v>2939242</v>
      </c>
      <c r="G4" s="466">
        <v>1633714</v>
      </c>
      <c r="H4" s="466">
        <v>466506</v>
      </c>
      <c r="I4" s="466">
        <v>1835560</v>
      </c>
      <c r="J4" s="467">
        <v>1220445</v>
      </c>
      <c r="K4" s="466">
        <v>810886</v>
      </c>
      <c r="L4" s="466">
        <v>415390</v>
      </c>
      <c r="M4" s="468"/>
      <c r="N4" s="469"/>
    </row>
    <row r="5" spans="1:14" x14ac:dyDescent="0.2">
      <c r="A5" s="463" t="s">
        <v>1049</v>
      </c>
      <c r="B5" s="470">
        <v>120</v>
      </c>
      <c r="C5" s="465">
        <v>13333914</v>
      </c>
      <c r="D5" s="466"/>
      <c r="E5" s="466">
        <v>2754317</v>
      </c>
      <c r="F5" s="466"/>
      <c r="G5" s="466"/>
      <c r="H5" s="466"/>
      <c r="I5" s="466"/>
      <c r="J5" s="467"/>
      <c r="K5" s="471"/>
      <c r="L5" s="472">
        <v>10000</v>
      </c>
      <c r="M5" s="468"/>
      <c r="N5" s="469"/>
    </row>
    <row r="6" spans="1:14" ht="13.5" customHeight="1" x14ac:dyDescent="0.2">
      <c r="A6" s="473" t="s">
        <v>437</v>
      </c>
      <c r="B6" s="470">
        <v>130</v>
      </c>
      <c r="C6" s="465">
        <v>5739511</v>
      </c>
      <c r="D6" s="466">
        <v>1017646</v>
      </c>
      <c r="E6" s="466">
        <v>1150082</v>
      </c>
      <c r="F6" s="466">
        <v>407052</v>
      </c>
      <c r="G6" s="471">
        <v>340991</v>
      </c>
      <c r="H6" s="471"/>
      <c r="I6" s="466">
        <v>101760</v>
      </c>
      <c r="J6" s="474">
        <v>980502</v>
      </c>
      <c r="K6" s="471">
        <v>101760</v>
      </c>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1958772</v>
      </c>
      <c r="D8" s="467"/>
      <c r="E8" s="467">
        <v>451356</v>
      </c>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23251774</v>
      </c>
      <c r="D13" s="1759">
        <f t="shared" ref="D13:L13" si="0">SUM(D4:D12)</f>
        <v>3417934</v>
      </c>
      <c r="E13" s="1759">
        <f t="shared" si="0"/>
        <v>5218582</v>
      </c>
      <c r="F13" s="1759">
        <f t="shared" si="0"/>
        <v>3346294</v>
      </c>
      <c r="G13" s="1759">
        <f t="shared" si="0"/>
        <v>1974705</v>
      </c>
      <c r="H13" s="1759">
        <f t="shared" si="0"/>
        <v>466506</v>
      </c>
      <c r="I13" s="1759">
        <f t="shared" si="0"/>
        <v>1937320</v>
      </c>
      <c r="J13" s="1759">
        <f t="shared" si="0"/>
        <v>2200947</v>
      </c>
      <c r="K13" s="1759">
        <f t="shared" si="0"/>
        <v>912646</v>
      </c>
      <c r="L13" s="1759">
        <f t="shared" si="0"/>
        <v>425390</v>
      </c>
      <c r="M13" s="468"/>
      <c r="N13" s="469"/>
    </row>
    <row r="14" spans="1:14" ht="18" customHeight="1" thickTop="1" x14ac:dyDescent="0.2">
      <c r="A14" s="2172" t="s">
        <v>149</v>
      </c>
      <c r="B14" s="2173"/>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881764</v>
      </c>
      <c r="N16" s="484"/>
    </row>
    <row r="17" spans="1:14" s="485" customFormat="1" ht="12.75" customHeight="1" x14ac:dyDescent="0.2">
      <c r="A17" s="482" t="s">
        <v>1470</v>
      </c>
      <c r="B17" s="483">
        <v>230</v>
      </c>
      <c r="C17" s="477"/>
      <c r="D17" s="477"/>
      <c r="E17" s="477"/>
      <c r="F17" s="477"/>
      <c r="G17" s="477"/>
      <c r="H17" s="477"/>
      <c r="I17" s="477"/>
      <c r="J17" s="477"/>
      <c r="K17" s="477"/>
      <c r="L17" s="477"/>
      <c r="M17" s="467">
        <v>57996516</v>
      </c>
      <c r="N17" s="484"/>
    </row>
    <row r="18" spans="1:14" s="485" customFormat="1" ht="12.75" customHeight="1" x14ac:dyDescent="0.2">
      <c r="A18" s="482" t="s">
        <v>1471</v>
      </c>
      <c r="B18" s="483">
        <v>240</v>
      </c>
      <c r="C18" s="477"/>
      <c r="D18" s="477"/>
      <c r="E18" s="477"/>
      <c r="F18" s="477"/>
      <c r="G18" s="477"/>
      <c r="H18" s="477"/>
      <c r="I18" s="477"/>
      <c r="J18" s="477"/>
      <c r="K18" s="477"/>
      <c r="L18" s="477"/>
      <c r="M18" s="467">
        <v>13708734</v>
      </c>
      <c r="N18" s="484"/>
    </row>
    <row r="19" spans="1:14" s="485" customFormat="1" ht="12.75" customHeight="1" x14ac:dyDescent="0.2">
      <c r="A19" s="482" t="s">
        <v>1472</v>
      </c>
      <c r="B19" s="483">
        <v>250</v>
      </c>
      <c r="C19" s="477"/>
      <c r="D19" s="477"/>
      <c r="E19" s="477"/>
      <c r="F19" s="477"/>
      <c r="G19" s="477"/>
      <c r="H19" s="477"/>
      <c r="I19" s="477"/>
      <c r="J19" s="477"/>
      <c r="K19" s="477"/>
      <c r="L19" s="477"/>
      <c r="M19" s="467">
        <v>1354054</v>
      </c>
      <c r="N19" s="484"/>
    </row>
    <row r="20" spans="1:14" s="485" customFormat="1" ht="12.75" customHeight="1" x14ac:dyDescent="0.2">
      <c r="A20" s="482" t="s">
        <v>1473</v>
      </c>
      <c r="B20" s="483">
        <v>260</v>
      </c>
      <c r="C20" s="477"/>
      <c r="D20" s="477"/>
      <c r="E20" s="477"/>
      <c r="F20" s="477"/>
      <c r="G20" s="477"/>
      <c r="H20" s="477"/>
      <c r="I20" s="477"/>
      <c r="J20" s="477"/>
      <c r="K20" s="477"/>
      <c r="L20" s="477"/>
      <c r="M20" s="467">
        <v>113757</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4213983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42193758</v>
      </c>
    </row>
    <row r="23" spans="1:14" ht="13.5" customHeight="1" thickBot="1" x14ac:dyDescent="0.25">
      <c r="A23" s="1758" t="s">
        <v>664</v>
      </c>
      <c r="B23" s="1763"/>
      <c r="C23" s="468"/>
      <c r="D23" s="468"/>
      <c r="E23" s="468"/>
      <c r="F23" s="468"/>
      <c r="G23" s="468"/>
      <c r="H23" s="468"/>
      <c r="I23" s="468"/>
      <c r="J23" s="468"/>
      <c r="K23" s="468"/>
      <c r="L23" s="468"/>
      <c r="M23" s="1710">
        <f>SUM(M15:M22)</f>
        <v>74054825</v>
      </c>
      <c r="N23" s="1710">
        <f>SUM(N21:N22)</f>
        <v>46407741</v>
      </c>
    </row>
    <row r="24" spans="1:14" ht="18" customHeight="1" thickTop="1" x14ac:dyDescent="0.2">
      <c r="A24" s="2174" t="s">
        <v>619</v>
      </c>
      <c r="B24" s="2175"/>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443403</v>
      </c>
      <c r="D27" s="467">
        <v>102146</v>
      </c>
      <c r="E27" s="467"/>
      <c r="F27" s="467">
        <v>21532</v>
      </c>
      <c r="G27" s="467"/>
      <c r="H27" s="467">
        <v>81602</v>
      </c>
      <c r="I27" s="467"/>
      <c r="J27" s="467">
        <v>15679</v>
      </c>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2685829</v>
      </c>
      <c r="D30" s="474">
        <v>20212</v>
      </c>
      <c r="E30" s="467"/>
      <c r="F30" s="467">
        <v>3339</v>
      </c>
      <c r="G30" s="467">
        <v>63716</v>
      </c>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v>5066467</v>
      </c>
      <c r="D32" s="492">
        <v>888915</v>
      </c>
      <c r="E32" s="474">
        <v>1004599</v>
      </c>
      <c r="F32" s="474">
        <v>355566</v>
      </c>
      <c r="G32" s="474">
        <v>297857</v>
      </c>
      <c r="H32" s="474"/>
      <c r="I32" s="474">
        <v>88891</v>
      </c>
      <c r="J32" s="474">
        <v>856470</v>
      </c>
      <c r="K32" s="479">
        <v>88891</v>
      </c>
      <c r="L32" s="468"/>
      <c r="M32" s="468"/>
      <c r="N32" s="468"/>
    </row>
    <row r="33" spans="1:14" ht="13.5" customHeight="1" x14ac:dyDescent="0.2">
      <c r="A33" s="493" t="s">
        <v>321</v>
      </c>
      <c r="B33" s="491">
        <v>493</v>
      </c>
      <c r="C33" s="467"/>
      <c r="D33" s="467"/>
      <c r="E33" s="467"/>
      <c r="F33" s="467"/>
      <c r="G33" s="467"/>
      <c r="H33" s="467"/>
      <c r="I33" s="467"/>
      <c r="J33" s="467"/>
      <c r="K33" s="467"/>
      <c r="L33" s="467">
        <v>425390</v>
      </c>
      <c r="M33" s="468"/>
      <c r="N33" s="469"/>
    </row>
    <row r="34" spans="1:14" ht="13.5" customHeight="1" thickBot="1" x14ac:dyDescent="0.25">
      <c r="A34" s="1760" t="s">
        <v>675</v>
      </c>
      <c r="B34" s="1761"/>
      <c r="C34" s="1762">
        <f>SUM(C25:C33)</f>
        <v>8195699</v>
      </c>
      <c r="D34" s="1762">
        <f t="shared" ref="D34:K34" si="1">SUM(D25:D33)</f>
        <v>1011273</v>
      </c>
      <c r="E34" s="1762">
        <f t="shared" si="1"/>
        <v>1004599</v>
      </c>
      <c r="F34" s="1762">
        <f t="shared" si="1"/>
        <v>380437</v>
      </c>
      <c r="G34" s="1762">
        <f t="shared" si="1"/>
        <v>361573</v>
      </c>
      <c r="H34" s="1762">
        <f t="shared" si="1"/>
        <v>81602</v>
      </c>
      <c r="I34" s="1762">
        <f t="shared" si="1"/>
        <v>88891</v>
      </c>
      <c r="J34" s="1762">
        <f t="shared" si="1"/>
        <v>872149</v>
      </c>
      <c r="K34" s="1762">
        <f t="shared" si="1"/>
        <v>88891</v>
      </c>
      <c r="L34" s="1743">
        <f>SUM(L33)</f>
        <v>425390</v>
      </c>
      <c r="M34" s="468"/>
      <c r="N34" s="480"/>
    </row>
    <row r="35" spans="1:14" ht="18" customHeight="1" thickTop="1" x14ac:dyDescent="0.2">
      <c r="A35" s="2176" t="s">
        <v>550</v>
      </c>
      <c r="B35" s="2177"/>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46407741</v>
      </c>
    </row>
    <row r="37" spans="1:14" ht="13.5" thickBot="1" x14ac:dyDescent="0.25">
      <c r="A37" s="1758" t="s">
        <v>674</v>
      </c>
      <c r="B37" s="1763"/>
      <c r="C37" s="477"/>
      <c r="D37" s="477"/>
      <c r="E37" s="477"/>
      <c r="F37" s="477"/>
      <c r="G37" s="477"/>
      <c r="H37" s="477"/>
      <c r="I37" s="477"/>
      <c r="J37" s="477"/>
      <c r="K37" s="477"/>
      <c r="L37" s="480"/>
      <c r="M37" s="468"/>
      <c r="N37" s="1710">
        <f>SUM(N36:N36)</f>
        <v>46407741</v>
      </c>
    </row>
    <row r="38" spans="1:14" s="329" customFormat="1" ht="13.5" customHeight="1" thickTop="1" x14ac:dyDescent="0.2">
      <c r="A38" s="496" t="s">
        <v>440</v>
      </c>
      <c r="B38" s="483">
        <v>714</v>
      </c>
      <c r="C38" s="466">
        <v>511622</v>
      </c>
      <c r="D38" s="466">
        <v>0</v>
      </c>
      <c r="E38" s="466">
        <v>1783081</v>
      </c>
      <c r="F38" s="466">
        <v>0</v>
      </c>
      <c r="G38" s="466">
        <v>21791</v>
      </c>
      <c r="H38" s="466">
        <v>0</v>
      </c>
      <c r="I38" s="466">
        <v>0</v>
      </c>
      <c r="J38" s="466">
        <v>0</v>
      </c>
      <c r="K38" s="466">
        <v>0</v>
      </c>
      <c r="L38" s="466">
        <v>0</v>
      </c>
      <c r="M38" s="497"/>
      <c r="N38" s="497"/>
    </row>
    <row r="39" spans="1:14" s="329" customFormat="1" ht="13.5" customHeight="1" x14ac:dyDescent="0.2">
      <c r="A39" s="496" t="s">
        <v>360</v>
      </c>
      <c r="B39" s="483">
        <v>730</v>
      </c>
      <c r="C39" s="466">
        <f>'Acct Summary 7-8'!C81-C38</f>
        <v>14544453</v>
      </c>
      <c r="D39" s="466">
        <f>'Acct Summary 7-8'!D81-D38</f>
        <v>2406661</v>
      </c>
      <c r="E39" s="466">
        <f>'Acct Summary 7-8'!E81-E38</f>
        <v>2430902</v>
      </c>
      <c r="F39" s="466">
        <f>'Acct Summary 7-8'!F81-F38</f>
        <v>2965857</v>
      </c>
      <c r="G39" s="466">
        <f>'Acct Summary 7-8'!G81-G38</f>
        <v>1591341</v>
      </c>
      <c r="H39" s="466">
        <f>'Acct Summary 7-8'!H81-H38</f>
        <v>384904</v>
      </c>
      <c r="I39" s="466">
        <f>'Acct Summary 7-8'!I81-I38</f>
        <v>1848429</v>
      </c>
      <c r="J39" s="466">
        <f>'Acct Summary 7-8'!J81-J38</f>
        <v>1328798</v>
      </c>
      <c r="K39" s="466">
        <f>'Acct Summary 7-8'!K81-K38</f>
        <v>823755</v>
      </c>
      <c r="L39" s="466">
        <f>'Acct Summary 7-8'!L81-L38</f>
        <v>0</v>
      </c>
      <c r="M39" s="497"/>
      <c r="N39" s="497"/>
    </row>
    <row r="40" spans="1:14" s="329" customFormat="1" ht="13.5" customHeight="1" x14ac:dyDescent="0.2">
      <c r="A40" s="498" t="s">
        <v>150</v>
      </c>
      <c r="B40" s="499"/>
      <c r="C40" s="500"/>
      <c r="D40" s="500"/>
      <c r="E40" s="500"/>
      <c r="F40" s="500"/>
      <c r="G40" s="500"/>
      <c r="H40" s="500"/>
      <c r="I40" s="500"/>
      <c r="J40" s="500"/>
      <c r="K40" s="500"/>
      <c r="L40" s="500"/>
      <c r="M40" s="467">
        <f>M23</f>
        <v>74054825</v>
      </c>
      <c r="N40" s="497"/>
    </row>
    <row r="41" spans="1:14" ht="13.5" customHeight="1" thickBot="1" x14ac:dyDescent="0.25">
      <c r="A41" s="1758" t="s">
        <v>676</v>
      </c>
      <c r="B41" s="1728"/>
      <c r="C41" s="1710">
        <f>(SUM(C34,C37,C38,C39))</f>
        <v>23251774</v>
      </c>
      <c r="D41" s="1710">
        <f t="shared" ref="D41:L41" si="2">SUM(D34,D37,D38:D39)</f>
        <v>3417934</v>
      </c>
      <c r="E41" s="1710">
        <f t="shared" si="2"/>
        <v>5218582</v>
      </c>
      <c r="F41" s="1710">
        <f t="shared" si="2"/>
        <v>3346294</v>
      </c>
      <c r="G41" s="1710">
        <f t="shared" si="2"/>
        <v>1974705</v>
      </c>
      <c r="H41" s="1710">
        <f t="shared" si="2"/>
        <v>466506</v>
      </c>
      <c r="I41" s="1710">
        <f t="shared" si="2"/>
        <v>1937320</v>
      </c>
      <c r="J41" s="1710">
        <f t="shared" si="2"/>
        <v>2200947</v>
      </c>
      <c r="K41" s="1710">
        <f t="shared" si="2"/>
        <v>912646</v>
      </c>
      <c r="L41" s="1710">
        <f t="shared" si="2"/>
        <v>425390</v>
      </c>
      <c r="M41" s="1710">
        <f>SUM(M40)</f>
        <v>74054825</v>
      </c>
      <c r="N41" s="1710">
        <f>SUM(N37)</f>
        <v>46407741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notes are an intergral part of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8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8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98" t="s">
        <v>1237</v>
      </c>
      <c r="B3" s="2199"/>
      <c r="C3" s="1595"/>
      <c r="D3" s="1596"/>
      <c r="E3" s="1596"/>
      <c r="F3" s="1596"/>
      <c r="G3" s="1596"/>
      <c r="H3" s="1596"/>
      <c r="I3" s="1596"/>
      <c r="J3" s="1596"/>
      <c r="K3" s="1597"/>
      <c r="L3" s="506"/>
    </row>
    <row r="4" spans="1:13" ht="15.75" customHeight="1" x14ac:dyDescent="0.2">
      <c r="A4" s="1953" t="s">
        <v>1579</v>
      </c>
      <c r="B4" s="1954">
        <v>1000</v>
      </c>
      <c r="C4" s="1764">
        <f>'Revenues 9-14'!C109</f>
        <v>14231266</v>
      </c>
      <c r="D4" s="1764">
        <f>'Revenues 9-14'!D109</f>
        <v>2199136</v>
      </c>
      <c r="E4" s="1764">
        <f>'Revenues 9-14'!E109</f>
        <v>4580339</v>
      </c>
      <c r="F4" s="1764">
        <f>'Revenues 9-14'!F109</f>
        <v>2161544</v>
      </c>
      <c r="G4" s="1764">
        <f>'Revenues 9-14'!G109</f>
        <v>1195313</v>
      </c>
      <c r="H4" s="1764">
        <f>'Revenues 9-14'!H109</f>
        <v>669582</v>
      </c>
      <c r="I4" s="1764">
        <f>'Revenues 9-14'!I109</f>
        <v>234232</v>
      </c>
      <c r="J4" s="1764">
        <f>'Revenues 9-14'!J109</f>
        <v>1686134</v>
      </c>
      <c r="K4" s="1764">
        <f>'Revenues 9-14'!K109</f>
        <v>218836</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19883888</v>
      </c>
      <c r="D6" s="1765">
        <f>'Revenues 9-14'!D173</f>
        <v>0</v>
      </c>
      <c r="E6" s="1765">
        <f>'Revenues 9-14'!E173</f>
        <v>0</v>
      </c>
      <c r="F6" s="1765">
        <f>'Revenues 9-14'!F173</f>
        <v>1485204</v>
      </c>
      <c r="G6" s="1765">
        <f>'Revenues 9-14'!G173</f>
        <v>0</v>
      </c>
      <c r="H6" s="1765">
        <f>'Revenues 9-14'!H173</f>
        <v>0</v>
      </c>
      <c r="I6" s="1765">
        <f>'Revenues 9-14'!I173</f>
        <v>0</v>
      </c>
      <c r="J6" s="1765">
        <f>'Revenues 9-14'!J173</f>
        <v>0</v>
      </c>
      <c r="K6" s="1765">
        <f>'Revenues 9-14'!K173</f>
        <v>238000</v>
      </c>
      <c r="L6" s="347"/>
      <c r="M6" s="513"/>
    </row>
    <row r="7" spans="1:13" ht="15.75" customHeight="1" x14ac:dyDescent="0.2">
      <c r="A7" s="1598" t="s">
        <v>1582</v>
      </c>
      <c r="B7" s="1600">
        <v>4000</v>
      </c>
      <c r="C7" s="1765">
        <f>'Revenues 9-14'!C274</f>
        <v>5257750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39372904</v>
      </c>
      <c r="D8" s="1710">
        <f t="shared" ref="D8:K8" si="0">SUM(D4:D7)</f>
        <v>2199136</v>
      </c>
      <c r="E8" s="1710">
        <f t="shared" si="0"/>
        <v>4580339</v>
      </c>
      <c r="F8" s="1710">
        <f t="shared" si="0"/>
        <v>3646748</v>
      </c>
      <c r="G8" s="1710">
        <f t="shared" si="0"/>
        <v>1195313</v>
      </c>
      <c r="H8" s="1710">
        <f t="shared" si="0"/>
        <v>669582</v>
      </c>
      <c r="I8" s="1710">
        <f t="shared" si="0"/>
        <v>234232</v>
      </c>
      <c r="J8" s="1710">
        <f t="shared" si="0"/>
        <v>1686134</v>
      </c>
      <c r="K8" s="1710">
        <f t="shared" si="0"/>
        <v>456836</v>
      </c>
      <c r="L8" s="347"/>
    </row>
    <row r="9" spans="1:13" ht="15.75" thickTop="1" x14ac:dyDescent="0.2">
      <c r="A9" s="514" t="s">
        <v>1752</v>
      </c>
      <c r="B9" s="515">
        <v>3998</v>
      </c>
      <c r="C9" s="481">
        <v>17775428</v>
      </c>
      <c r="D9" s="516"/>
      <c r="E9" s="481"/>
      <c r="F9" s="481"/>
      <c r="G9" s="517"/>
      <c r="H9" s="481"/>
      <c r="I9" s="509" t="s">
        <v>1231</v>
      </c>
      <c r="J9" s="478"/>
      <c r="K9" s="481"/>
      <c r="L9" s="347"/>
    </row>
    <row r="10" spans="1:13" s="519" customFormat="1" ht="13.5" thickBot="1" x14ac:dyDescent="0.25">
      <c r="A10" s="1758" t="s">
        <v>1235</v>
      </c>
      <c r="B10" s="1731"/>
      <c r="C10" s="1710">
        <f>SUM(C8:C9)</f>
        <v>57148332</v>
      </c>
      <c r="D10" s="1710">
        <f t="shared" ref="D10:K10" si="1">SUM(D8:D9)</f>
        <v>2199136</v>
      </c>
      <c r="E10" s="1710">
        <f t="shared" si="1"/>
        <v>4580339</v>
      </c>
      <c r="F10" s="1710">
        <f t="shared" si="1"/>
        <v>3646748</v>
      </c>
      <c r="G10" s="1710">
        <f t="shared" si="1"/>
        <v>1195313</v>
      </c>
      <c r="H10" s="1710">
        <f t="shared" si="1"/>
        <v>669582</v>
      </c>
      <c r="I10" s="1710">
        <f t="shared" si="1"/>
        <v>234232</v>
      </c>
      <c r="J10" s="1710">
        <f t="shared" si="1"/>
        <v>1686134</v>
      </c>
      <c r="K10" s="1710">
        <f t="shared" si="1"/>
        <v>456836</v>
      </c>
      <c r="L10" s="518"/>
    </row>
    <row r="11" spans="1:13" s="519" customFormat="1" ht="16.7" customHeight="1" thickTop="1" x14ac:dyDescent="0.2">
      <c r="A11" s="2172" t="s">
        <v>1238</v>
      </c>
      <c r="B11" s="2173"/>
      <c r="C11" s="1592"/>
      <c r="D11" s="1593"/>
      <c r="E11" s="1593"/>
      <c r="F11" s="1593"/>
      <c r="G11" s="1593"/>
      <c r="H11" s="1593"/>
      <c r="I11" s="1593"/>
      <c r="J11" s="1593"/>
      <c r="K11" s="1594"/>
      <c r="L11" s="518"/>
    </row>
    <row r="12" spans="1:13" ht="15.75" customHeight="1" x14ac:dyDescent="0.2">
      <c r="A12" s="1598" t="s">
        <v>476</v>
      </c>
      <c r="B12" s="1600">
        <v>1000</v>
      </c>
      <c r="C12" s="1764">
        <f>'Expenditures 15-22'!K33</f>
        <v>23856138</v>
      </c>
      <c r="D12" s="520" t="s">
        <v>1231</v>
      </c>
      <c r="E12" s="468" t="s">
        <v>1231</v>
      </c>
      <c r="F12" s="468" t="s">
        <v>1231</v>
      </c>
      <c r="G12" s="1764">
        <f>'Expenditures 15-22'!K229</f>
        <v>514009</v>
      </c>
      <c r="H12" s="521"/>
      <c r="I12" s="468" t="s">
        <v>1231</v>
      </c>
      <c r="J12" s="468" t="s">
        <v>1231</v>
      </c>
      <c r="K12" s="521" t="s">
        <v>1231</v>
      </c>
      <c r="L12" s="347"/>
    </row>
    <row r="13" spans="1:13" ht="15.75" customHeight="1" x14ac:dyDescent="0.2">
      <c r="A13" s="1598" t="s">
        <v>477</v>
      </c>
      <c r="B13" s="1600">
        <v>2000</v>
      </c>
      <c r="C13" s="1765">
        <f>'Expenditures 15-22'!K74</f>
        <v>10570882</v>
      </c>
      <c r="D13" s="1765">
        <f>'Expenditures 15-22'!K129</f>
        <v>1882440</v>
      </c>
      <c r="E13" s="469" t="s">
        <v>1231</v>
      </c>
      <c r="F13" s="1765">
        <f>'Expenditures 15-22'!K184</f>
        <v>1936174</v>
      </c>
      <c r="G13" s="1765">
        <f>'Expenditures 15-22'!K279</f>
        <v>586114</v>
      </c>
      <c r="H13" s="1765">
        <f>'Expenditures 15-22'!K303</f>
        <v>756437</v>
      </c>
      <c r="I13" s="468" t="s">
        <v>1231</v>
      </c>
      <c r="J13" s="1765">
        <f>'Expenditures 15-22'!K330</f>
        <v>1057584</v>
      </c>
      <c r="K13" s="1769">
        <f>'Expenditures 15-22'!K352</f>
        <v>11634</v>
      </c>
      <c r="L13" s="347"/>
    </row>
    <row r="14" spans="1:13" ht="15.75" customHeight="1" x14ac:dyDescent="0.2">
      <c r="A14" s="1598" t="s">
        <v>469</v>
      </c>
      <c r="B14" s="1600">
        <v>3000</v>
      </c>
      <c r="C14" s="1765">
        <f>'Expenditures 15-22'!K75</f>
        <v>212984</v>
      </c>
      <c r="D14" s="1765">
        <f>'Expenditures 15-22'!K130</f>
        <v>0</v>
      </c>
      <c r="E14" s="520" t="s">
        <v>1231</v>
      </c>
      <c r="F14" s="1765">
        <f>'Expenditures 15-22'!K185</f>
        <v>0</v>
      </c>
      <c r="G14" s="1765">
        <f>'Expenditures 15-22'!K280</f>
        <v>887</v>
      </c>
      <c r="H14" s="512"/>
      <c r="I14" s="468" t="s">
        <v>1231</v>
      </c>
      <c r="J14" s="468" t="s">
        <v>1231</v>
      </c>
      <c r="K14" s="512" t="s">
        <v>1231</v>
      </c>
      <c r="L14" s="347"/>
    </row>
    <row r="15" spans="1:13" ht="15.75" customHeight="1" x14ac:dyDescent="0.2">
      <c r="A15" s="1598" t="s">
        <v>109</v>
      </c>
      <c r="B15" s="1600">
        <v>4000</v>
      </c>
      <c r="C15" s="1765">
        <f>'Expenditures 15-22'!K102</f>
        <v>448039</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4559581</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35088043</v>
      </c>
      <c r="D17" s="1710">
        <f t="shared" si="2"/>
        <v>1882440</v>
      </c>
      <c r="E17" s="1710">
        <f t="shared" si="2"/>
        <v>4559581</v>
      </c>
      <c r="F17" s="1710">
        <f t="shared" si="2"/>
        <v>1936174</v>
      </c>
      <c r="G17" s="1710">
        <f t="shared" si="2"/>
        <v>1101010</v>
      </c>
      <c r="H17" s="1710">
        <f t="shared" si="2"/>
        <v>756437</v>
      </c>
      <c r="I17" s="468"/>
      <c r="J17" s="1710">
        <f>SUM(J12:J16)</f>
        <v>1057584</v>
      </c>
      <c r="K17" s="1710">
        <f>SUM(K12:K16)</f>
        <v>11634</v>
      </c>
      <c r="L17" s="347"/>
    </row>
    <row r="18" spans="1:12" ht="15" customHeight="1" thickTop="1" x14ac:dyDescent="0.2">
      <c r="A18" s="1766" t="s">
        <v>1753</v>
      </c>
      <c r="B18" s="1767">
        <v>4180</v>
      </c>
      <c r="C18" s="1764">
        <f t="shared" ref="C18:H18" si="3">C9</f>
        <v>17775428</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52863471</v>
      </c>
      <c r="D19" s="1710">
        <f t="shared" si="4"/>
        <v>1882440</v>
      </c>
      <c r="E19" s="1710">
        <f t="shared" si="4"/>
        <v>4559581</v>
      </c>
      <c r="F19" s="1710">
        <f t="shared" si="4"/>
        <v>1936174</v>
      </c>
      <c r="G19" s="1710">
        <f t="shared" si="4"/>
        <v>1101010</v>
      </c>
      <c r="H19" s="1710">
        <f t="shared" si="4"/>
        <v>756437</v>
      </c>
      <c r="I19" s="468"/>
      <c r="J19" s="1710">
        <f>SUM(J17:J18)</f>
        <v>1057584</v>
      </c>
      <c r="K19" s="1710">
        <f>SUM(K17:K18)</f>
        <v>11634</v>
      </c>
      <c r="L19" s="347"/>
    </row>
    <row r="20" spans="1:12" ht="16.5" thickTop="1" thickBot="1" x14ac:dyDescent="0.25">
      <c r="A20" s="2188" t="s">
        <v>1754</v>
      </c>
      <c r="B20" s="2189"/>
      <c r="C20" s="1768">
        <f>C8-C17</f>
        <v>4284861</v>
      </c>
      <c r="D20" s="1768">
        <f t="shared" ref="D20:K20" si="5">D8-D17</f>
        <v>316696</v>
      </c>
      <c r="E20" s="1768">
        <f t="shared" si="5"/>
        <v>20758</v>
      </c>
      <c r="F20" s="1768">
        <f t="shared" si="5"/>
        <v>1710574</v>
      </c>
      <c r="G20" s="1768">
        <f t="shared" si="5"/>
        <v>94303</v>
      </c>
      <c r="H20" s="1768">
        <f t="shared" si="5"/>
        <v>-86855</v>
      </c>
      <c r="I20" s="1768">
        <f t="shared" si="5"/>
        <v>234232</v>
      </c>
      <c r="J20" s="1768">
        <f t="shared" si="5"/>
        <v>628550</v>
      </c>
      <c r="K20" s="1768">
        <f t="shared" si="5"/>
        <v>445202</v>
      </c>
      <c r="L20" s="347"/>
    </row>
    <row r="21" spans="1:12" ht="16.7" customHeight="1" thickTop="1" x14ac:dyDescent="0.2">
      <c r="A21" s="2200" t="s">
        <v>616</v>
      </c>
      <c r="B21" s="2201"/>
      <c r="C21" s="1592"/>
      <c r="D21" s="1593"/>
      <c r="E21" s="1593"/>
      <c r="F21" s="1593"/>
      <c r="G21" s="1593"/>
      <c r="H21" s="1593"/>
      <c r="I21" s="1593"/>
      <c r="J21" s="1593"/>
      <c r="K21" s="1594"/>
      <c r="L21" s="524"/>
    </row>
    <row r="22" spans="1:12" ht="15.75" customHeight="1" collapsed="1" x14ac:dyDescent="0.2">
      <c r="A22" s="2196" t="s">
        <v>617</v>
      </c>
      <c r="B22" s="2197"/>
      <c r="C22" s="477"/>
      <c r="D22" s="477"/>
      <c r="E22" s="477"/>
      <c r="F22" s="477"/>
      <c r="G22" s="477"/>
      <c r="H22" s="477"/>
      <c r="I22" s="477"/>
      <c r="J22" s="477"/>
      <c r="K22" s="477"/>
      <c r="L22" s="347"/>
    </row>
    <row r="23" spans="1:12" s="485" customFormat="1" ht="15.75" customHeight="1" x14ac:dyDescent="0.2">
      <c r="A23" s="2192" t="s">
        <v>311</v>
      </c>
      <c r="B23" s="2193"/>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94" t="s">
        <v>1038</v>
      </c>
      <c r="B32" s="2195"/>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202" t="s">
        <v>392</v>
      </c>
      <c r="B44" s="2203"/>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96" t="s">
        <v>110</v>
      </c>
      <c r="B45" s="2197"/>
      <c r="C45" s="528"/>
      <c r="D45" s="528"/>
      <c r="E45" s="528"/>
      <c r="F45" s="528"/>
      <c r="G45" s="528"/>
      <c r="H45" s="528"/>
      <c r="I45" s="528"/>
      <c r="J45" s="528"/>
      <c r="K45" s="528"/>
      <c r="L45" s="347"/>
    </row>
    <row r="46" spans="1:12" s="485" customFormat="1" ht="15.75" customHeight="1" x14ac:dyDescent="0.2">
      <c r="A46" s="2204" t="s">
        <v>111</v>
      </c>
      <c r="B46" s="2205"/>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78" t="s">
        <v>460</v>
      </c>
      <c r="B76" s="2179"/>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80" t="s">
        <v>1239</v>
      </c>
      <c r="B77" s="2181"/>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84" t="s">
        <v>618</v>
      </c>
      <c r="B78" s="2185"/>
      <c r="C78" s="1724">
        <f t="shared" ref="C78:K78" si="9">C20+C77</f>
        <v>4284861</v>
      </c>
      <c r="D78" s="1724">
        <f t="shared" si="9"/>
        <v>316696</v>
      </c>
      <c r="E78" s="1724">
        <f t="shared" si="9"/>
        <v>20758</v>
      </c>
      <c r="F78" s="1724">
        <f t="shared" si="9"/>
        <v>1710574</v>
      </c>
      <c r="G78" s="1724">
        <f t="shared" si="9"/>
        <v>94303</v>
      </c>
      <c r="H78" s="1724">
        <f t="shared" si="9"/>
        <v>-86855</v>
      </c>
      <c r="I78" s="1724">
        <f t="shared" si="9"/>
        <v>234232</v>
      </c>
      <c r="J78" s="1724">
        <f t="shared" si="9"/>
        <v>628550</v>
      </c>
      <c r="K78" s="1724">
        <f t="shared" si="9"/>
        <v>445202</v>
      </c>
      <c r="L78" s="533"/>
    </row>
    <row r="79" spans="1:12" ht="13.5" thickTop="1" x14ac:dyDescent="0.2">
      <c r="A79" s="1516" t="s">
        <v>2070</v>
      </c>
      <c r="B79" s="534"/>
      <c r="C79" s="478">
        <v>10771214</v>
      </c>
      <c r="D79" s="535">
        <v>2089965</v>
      </c>
      <c r="E79" s="535">
        <v>4193225</v>
      </c>
      <c r="F79" s="535">
        <v>1255283</v>
      </c>
      <c r="G79" s="535">
        <v>1518829</v>
      </c>
      <c r="H79" s="535">
        <v>471759</v>
      </c>
      <c r="I79" s="535">
        <v>1614197</v>
      </c>
      <c r="J79" s="535">
        <v>700248</v>
      </c>
      <c r="K79" s="535">
        <v>378553</v>
      </c>
      <c r="L79" s="347"/>
    </row>
    <row r="80" spans="1:12" x14ac:dyDescent="0.2">
      <c r="A80" s="2190" t="s">
        <v>1895</v>
      </c>
      <c r="B80" s="2191"/>
      <c r="C80" s="467"/>
      <c r="D80" s="467"/>
      <c r="E80" s="467"/>
      <c r="F80" s="467"/>
      <c r="G80" s="467"/>
      <c r="H80" s="467"/>
      <c r="I80" s="467"/>
      <c r="J80" s="467"/>
      <c r="K80" s="467"/>
      <c r="L80" s="347"/>
    </row>
    <row r="81" spans="1:12" ht="13.5" thickBot="1" x14ac:dyDescent="0.25">
      <c r="A81" s="2182" t="s">
        <v>2071</v>
      </c>
      <c r="B81" s="2183"/>
      <c r="C81" s="1710">
        <f>(SUM(C78:C80))</f>
        <v>15056075</v>
      </c>
      <c r="D81" s="1710">
        <f>SUM(D78:D80)</f>
        <v>2406661</v>
      </c>
      <c r="E81" s="1710">
        <f t="shared" ref="E81:K81" si="10">SUM(E78:E80)</f>
        <v>4213983</v>
      </c>
      <c r="F81" s="1710">
        <f t="shared" si="10"/>
        <v>2965857</v>
      </c>
      <c r="G81" s="1710">
        <f t="shared" si="10"/>
        <v>1613132</v>
      </c>
      <c r="H81" s="1710">
        <f t="shared" si="10"/>
        <v>384904</v>
      </c>
      <c r="I81" s="1710">
        <f t="shared" si="10"/>
        <v>1848429</v>
      </c>
      <c r="J81" s="1710">
        <f t="shared" si="10"/>
        <v>1328798</v>
      </c>
      <c r="K81" s="1710">
        <f t="shared" si="10"/>
        <v>823755</v>
      </c>
      <c r="L81" s="347"/>
    </row>
    <row r="82" spans="1:12" ht="0.75" customHeight="1" thickTop="1" thickBot="1" x14ac:dyDescent="0.25">
      <c r="A82" s="536" t="s">
        <v>361</v>
      </c>
      <c r="B82" s="537"/>
      <c r="C82" s="538">
        <f>(C81-C79)</f>
        <v>4284861</v>
      </c>
      <c r="D82" s="538">
        <f t="shared" ref="D82:K82" si="11">(D81-D79)</f>
        <v>316696</v>
      </c>
      <c r="E82" s="538">
        <f t="shared" si="11"/>
        <v>20758</v>
      </c>
      <c r="F82" s="538">
        <f t="shared" si="11"/>
        <v>1710574</v>
      </c>
      <c r="G82" s="538">
        <f t="shared" si="11"/>
        <v>94303</v>
      </c>
      <c r="H82" s="538">
        <f t="shared" si="11"/>
        <v>-86855</v>
      </c>
      <c r="I82" s="538">
        <f t="shared" si="11"/>
        <v>234232</v>
      </c>
      <c r="J82" s="538">
        <f t="shared" si="11"/>
        <v>628550</v>
      </c>
      <c r="K82" s="538">
        <f t="shared" si="11"/>
        <v>445202</v>
      </c>
    </row>
    <row r="83" spans="1:12" ht="14.25" hidden="1" thickTop="1" thickBot="1" x14ac:dyDescent="0.25">
      <c r="A83" s="539" t="s">
        <v>362</v>
      </c>
      <c r="B83" s="464"/>
      <c r="C83" s="540">
        <f>C82/C81</f>
        <v>0.28459349465249079</v>
      </c>
      <c r="D83" s="540">
        <f t="shared" ref="D83:K83" si="12">D82/D81</f>
        <v>0.13159144557542587</v>
      </c>
      <c r="E83" s="540">
        <f t="shared" si="12"/>
        <v>4.9259809543607553E-3</v>
      </c>
      <c r="F83" s="540">
        <f t="shared" si="12"/>
        <v>0.57675538638579005</v>
      </c>
      <c r="G83" s="540">
        <f t="shared" si="12"/>
        <v>5.8459568094861428E-2</v>
      </c>
      <c r="H83" s="540">
        <f t="shared" si="12"/>
        <v>-0.22565366948641738</v>
      </c>
      <c r="I83" s="540">
        <f t="shared" si="12"/>
        <v>0.12671950072196445</v>
      </c>
      <c r="J83" s="540">
        <f t="shared" si="12"/>
        <v>0.47302148257297194</v>
      </c>
      <c r="K83" s="540">
        <f t="shared" si="12"/>
        <v>0.54045438267446022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notes are an intergral part of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86" t="s">
        <v>1902</v>
      </c>
      <c r="B1" s="452"/>
      <c r="C1" s="453" t="s">
        <v>445</v>
      </c>
      <c r="D1" s="453" t="s">
        <v>446</v>
      </c>
      <c r="E1" s="453" t="s">
        <v>447</v>
      </c>
      <c r="F1" s="453" t="s">
        <v>448</v>
      </c>
      <c r="G1" s="453" t="s">
        <v>449</v>
      </c>
      <c r="H1" s="453" t="s">
        <v>450</v>
      </c>
      <c r="I1" s="453" t="s">
        <v>451</v>
      </c>
      <c r="J1" s="453" t="s">
        <v>452</v>
      </c>
      <c r="K1" s="453" t="s">
        <v>780</v>
      </c>
    </row>
    <row r="2" spans="1:12" ht="36" x14ac:dyDescent="0.2">
      <c r="A2" s="218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11539751</v>
      </c>
      <c r="D5" s="481">
        <v>2113503</v>
      </c>
      <c r="E5" s="466">
        <v>2570280</v>
      </c>
      <c r="F5" s="548">
        <v>845402</v>
      </c>
      <c r="G5" s="466">
        <v>470496</v>
      </c>
      <c r="H5" s="466"/>
      <c r="I5" s="466">
        <v>211360</v>
      </c>
      <c r="J5" s="467">
        <v>1678533</v>
      </c>
      <c r="K5" s="466">
        <v>211360</v>
      </c>
    </row>
    <row r="6" spans="1:12" ht="15" x14ac:dyDescent="0.2">
      <c r="A6" s="463" t="s">
        <v>1761</v>
      </c>
      <c r="B6" s="470">
        <v>1130</v>
      </c>
      <c r="C6" s="466">
        <v>211363</v>
      </c>
      <c r="D6" s="466"/>
      <c r="E6" s="475"/>
      <c r="F6" s="475"/>
      <c r="G6" s="468"/>
      <c r="H6" s="468"/>
      <c r="I6" s="468"/>
      <c r="J6" s="468"/>
      <c r="K6" s="468"/>
    </row>
    <row r="7" spans="1:12" x14ac:dyDescent="0.2">
      <c r="A7" s="463" t="s">
        <v>112</v>
      </c>
      <c r="B7" s="549">
        <v>1140</v>
      </c>
      <c r="C7" s="466">
        <v>169075</v>
      </c>
      <c r="D7" s="466"/>
      <c r="E7" s="468"/>
      <c r="F7" s="467"/>
      <c r="G7" s="467"/>
      <c r="H7" s="467"/>
      <c r="I7" s="468"/>
      <c r="J7" s="468"/>
      <c r="K7" s="468"/>
    </row>
    <row r="8" spans="1:12" x14ac:dyDescent="0.2">
      <c r="A8" s="463" t="s">
        <v>433</v>
      </c>
      <c r="B8" s="470">
        <v>1150</v>
      </c>
      <c r="C8" s="475"/>
      <c r="D8" s="475"/>
      <c r="E8" s="477"/>
      <c r="F8" s="477"/>
      <c r="G8" s="481">
        <v>632215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11920189</v>
      </c>
      <c r="D12" s="1729">
        <f t="shared" si="0"/>
        <v>2113503</v>
      </c>
      <c r="E12" s="1729">
        <f t="shared" si="0"/>
        <v>2570280</v>
      </c>
      <c r="F12" s="1729">
        <f t="shared" si="0"/>
        <v>845402</v>
      </c>
      <c r="G12" s="1729">
        <f t="shared" si="0"/>
        <v>1102711</v>
      </c>
      <c r="H12" s="1729">
        <f t="shared" si="0"/>
        <v>0</v>
      </c>
      <c r="I12" s="1729">
        <f t="shared" si="0"/>
        <v>211360</v>
      </c>
      <c r="J12" s="1729">
        <f t="shared" si="0"/>
        <v>1678533</v>
      </c>
      <c r="K12" s="1710">
        <f t="shared" si="0"/>
        <v>211360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6432</v>
      </c>
      <c r="D14" s="466">
        <v>1140</v>
      </c>
      <c r="E14" s="466">
        <v>1523</v>
      </c>
      <c r="F14" s="466">
        <v>456</v>
      </c>
      <c r="G14" s="466">
        <v>890</v>
      </c>
      <c r="H14" s="466"/>
      <c r="I14" s="466">
        <v>114</v>
      </c>
      <c r="J14" s="467">
        <v>638</v>
      </c>
      <c r="K14" s="466">
        <v>114</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1386953</v>
      </c>
      <c r="D16" s="466"/>
      <c r="E16" s="466"/>
      <c r="F16" s="466"/>
      <c r="G16" s="466">
        <v>58000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1393385</v>
      </c>
      <c r="D18" s="1732">
        <f t="shared" ref="D18:K18" si="1">SUM(D14:D17)</f>
        <v>1140</v>
      </c>
      <c r="E18" s="1732">
        <f t="shared" si="1"/>
        <v>1523</v>
      </c>
      <c r="F18" s="1732">
        <f t="shared" si="1"/>
        <v>456</v>
      </c>
      <c r="G18" s="1732">
        <f t="shared" si="1"/>
        <v>58890</v>
      </c>
      <c r="H18" s="1732">
        <f t="shared" si="1"/>
        <v>0</v>
      </c>
      <c r="I18" s="1732">
        <f t="shared" si="1"/>
        <v>114</v>
      </c>
      <c r="J18" s="1732">
        <f t="shared" si="1"/>
        <v>638</v>
      </c>
      <c r="K18" s="1733">
        <f t="shared" si="1"/>
        <v>114</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36692</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v>59325</v>
      </c>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96017</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119331</v>
      </c>
      <c r="D65" s="466">
        <v>28842</v>
      </c>
      <c r="E65" s="466">
        <v>29517</v>
      </c>
      <c r="F65" s="467">
        <v>27867</v>
      </c>
      <c r="G65" s="466">
        <v>21375</v>
      </c>
      <c r="H65" s="466">
        <v>6678</v>
      </c>
      <c r="I65" s="466">
        <v>22758</v>
      </c>
      <c r="J65" s="467">
        <v>6963</v>
      </c>
      <c r="K65" s="466">
        <v>7362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119331</v>
      </c>
      <c r="D67" s="1710">
        <f t="shared" ref="D67:K67" si="2">SUM(D65:D66)</f>
        <v>28842</v>
      </c>
      <c r="E67" s="1710">
        <f t="shared" si="2"/>
        <v>29517</v>
      </c>
      <c r="F67" s="1710">
        <f t="shared" si="2"/>
        <v>27867</v>
      </c>
      <c r="G67" s="1710">
        <f t="shared" si="2"/>
        <v>21375</v>
      </c>
      <c r="H67" s="1710">
        <f t="shared" si="2"/>
        <v>6678</v>
      </c>
      <c r="I67" s="1710">
        <f t="shared" si="2"/>
        <v>22758</v>
      </c>
      <c r="J67" s="1710">
        <f t="shared" si="2"/>
        <v>6963</v>
      </c>
      <c r="K67" s="1710">
        <f t="shared" si="2"/>
        <v>7362</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165339</v>
      </c>
      <c r="D69" s="468"/>
      <c r="E69" s="468"/>
      <c r="F69" s="468"/>
      <c r="G69" s="468"/>
      <c r="H69" s="468"/>
      <c r="I69" s="468"/>
      <c r="J69" s="468"/>
      <c r="K69" s="468"/>
    </row>
    <row r="70" spans="1:11" ht="12.75" customHeight="1" x14ac:dyDescent="0.2">
      <c r="A70" s="463" t="s">
        <v>1054</v>
      </c>
      <c r="B70" s="470">
        <v>1612</v>
      </c>
      <c r="C70" s="551">
        <v>10775</v>
      </c>
      <c r="D70" s="468"/>
      <c r="E70" s="468"/>
      <c r="F70" s="468"/>
      <c r="G70" s="468"/>
      <c r="H70" s="468"/>
      <c r="I70" s="468"/>
      <c r="J70" s="468"/>
      <c r="K70" s="468"/>
    </row>
    <row r="71" spans="1:11" ht="12.75" customHeight="1" x14ac:dyDescent="0.2">
      <c r="A71" s="463" t="s">
        <v>291</v>
      </c>
      <c r="B71" s="470">
        <v>1613</v>
      </c>
      <c r="C71" s="551">
        <v>163599</v>
      </c>
      <c r="D71" s="468"/>
      <c r="E71" s="468"/>
      <c r="F71" s="468"/>
      <c r="G71" s="468"/>
      <c r="H71" s="468"/>
      <c r="I71" s="468"/>
      <c r="J71" s="468"/>
      <c r="K71" s="468"/>
    </row>
    <row r="72" spans="1:11" ht="12.75" customHeight="1" x14ac:dyDescent="0.2">
      <c r="A72" s="463" t="s">
        <v>24</v>
      </c>
      <c r="B72" s="470">
        <v>1614</v>
      </c>
      <c r="C72" s="551">
        <v>2090</v>
      </c>
      <c r="D72" s="468"/>
      <c r="E72" s="468"/>
      <c r="F72" s="468"/>
      <c r="G72" s="468"/>
      <c r="H72" s="468"/>
      <c r="I72" s="468"/>
      <c r="J72" s="468"/>
      <c r="K72" s="468"/>
    </row>
    <row r="73" spans="1:11" ht="12.75" customHeight="1" x14ac:dyDescent="0.2">
      <c r="A73" s="463" t="s">
        <v>1055</v>
      </c>
      <c r="B73" s="470">
        <v>1620</v>
      </c>
      <c r="C73" s="551">
        <v>9040</v>
      </c>
      <c r="D73" s="468"/>
      <c r="E73" s="468"/>
      <c r="F73" s="468"/>
      <c r="G73" s="468"/>
      <c r="H73" s="468"/>
      <c r="I73" s="468"/>
      <c r="J73" s="468"/>
      <c r="K73" s="468"/>
    </row>
    <row r="74" spans="1:11" ht="12.75" customHeight="1" x14ac:dyDescent="0.2">
      <c r="A74" s="463" t="s">
        <v>25</v>
      </c>
      <c r="B74" s="470">
        <v>1690</v>
      </c>
      <c r="C74" s="551">
        <v>12475</v>
      </c>
      <c r="D74" s="468"/>
      <c r="E74" s="468"/>
      <c r="F74" s="468"/>
      <c r="G74" s="468"/>
      <c r="H74" s="468"/>
      <c r="I74" s="468"/>
      <c r="J74" s="468"/>
      <c r="K74" s="468"/>
    </row>
    <row r="75" spans="1:11" ht="12.75" customHeight="1" thickBot="1" x14ac:dyDescent="0.25">
      <c r="A75" s="1730" t="s">
        <v>569</v>
      </c>
      <c r="B75" s="1731"/>
      <c r="C75" s="1710">
        <f>SUM(C69:C74)</f>
        <v>363318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83066</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34555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28566</v>
      </c>
      <c r="D81" s="466"/>
      <c r="E81" s="468"/>
      <c r="F81" s="468"/>
      <c r="G81" s="468"/>
      <c r="H81" s="468"/>
      <c r="I81" s="468"/>
      <c r="J81" s="468"/>
      <c r="K81" s="468"/>
    </row>
    <row r="82" spans="1:11" ht="12.75" customHeight="1" thickBot="1" x14ac:dyDescent="0.25">
      <c r="A82" s="1730" t="s">
        <v>259</v>
      </c>
      <c r="B82" s="1731"/>
      <c r="C82" s="1729">
        <f>SUM(C77:C81)</f>
        <v>146187</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134398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134398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49515</v>
      </c>
      <c r="E95" s="521"/>
      <c r="F95" s="521"/>
      <c r="G95" s="521"/>
      <c r="H95" s="521"/>
      <c r="I95" s="521"/>
      <c r="J95" s="521"/>
      <c r="K95" s="521"/>
    </row>
    <row r="96" spans="1:11" ht="12.75" customHeight="1" x14ac:dyDescent="0.2">
      <c r="A96" s="463" t="s">
        <v>409</v>
      </c>
      <c r="B96" s="470">
        <v>1920</v>
      </c>
      <c r="C96" s="551">
        <v>12164</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v>1191802</v>
      </c>
      <c r="G99" s="466">
        <v>12337</v>
      </c>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49870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1979019</v>
      </c>
      <c r="F103" s="468"/>
      <c r="G103" s="468"/>
      <c r="H103" s="489">
        <v>662904</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155</v>
      </c>
      <c r="D106" s="489"/>
      <c r="E106" s="467"/>
      <c r="F106" s="467"/>
      <c r="G106" s="467"/>
      <c r="H106" s="467"/>
      <c r="I106" s="521"/>
      <c r="J106" s="467"/>
      <c r="K106" s="467"/>
    </row>
    <row r="107" spans="1:12" ht="12.75" customHeight="1" x14ac:dyDescent="0.2">
      <c r="A107" s="463" t="s">
        <v>80</v>
      </c>
      <c r="B107" s="470">
        <v>1999</v>
      </c>
      <c r="C107" s="551">
        <v>92269</v>
      </c>
      <c r="D107" s="466">
        <v>6136</v>
      </c>
      <c r="E107" s="466"/>
      <c r="F107" s="466"/>
      <c r="G107" s="466"/>
      <c r="H107" s="466"/>
      <c r="I107" s="466"/>
      <c r="J107" s="467"/>
      <c r="K107" s="466"/>
    </row>
    <row r="108" spans="1:12" ht="12.75" customHeight="1" thickBot="1" x14ac:dyDescent="0.25">
      <c r="A108" s="1730" t="s">
        <v>508</v>
      </c>
      <c r="B108" s="1734"/>
      <c r="C108" s="1729">
        <f>SUM(C95:C107)</f>
        <v>154458</v>
      </c>
      <c r="D108" s="1729">
        <f t="shared" ref="D108:K108" si="3">SUM(D95:D107)</f>
        <v>55651</v>
      </c>
      <c r="E108" s="1729">
        <f t="shared" si="3"/>
        <v>1979019</v>
      </c>
      <c r="F108" s="1729">
        <f t="shared" si="3"/>
        <v>1191802</v>
      </c>
      <c r="G108" s="1729">
        <f t="shared" si="3"/>
        <v>12337</v>
      </c>
      <c r="H108" s="1729">
        <f t="shared" si="3"/>
        <v>662904</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14231266</v>
      </c>
      <c r="D109" s="1737">
        <f t="shared" si="4"/>
        <v>2199136</v>
      </c>
      <c r="E109" s="1737">
        <f t="shared" si="4"/>
        <v>4580339</v>
      </c>
      <c r="F109" s="1737">
        <f t="shared" si="4"/>
        <v>2161544</v>
      </c>
      <c r="G109" s="1737">
        <f t="shared" si="4"/>
        <v>1195313</v>
      </c>
      <c r="H109" s="1737">
        <f t="shared" si="4"/>
        <v>669582</v>
      </c>
      <c r="I109" s="1737">
        <f t="shared" si="4"/>
        <v>234232</v>
      </c>
      <c r="J109" s="1737">
        <f t="shared" si="4"/>
        <v>1686134</v>
      </c>
      <c r="K109" s="1724">
        <f t="shared" si="4"/>
        <v>218836</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17863688</v>
      </c>
      <c r="D117" s="481"/>
      <c r="E117" s="466"/>
      <c r="F117" s="481">
        <v>570722</v>
      </c>
      <c r="G117" s="481"/>
      <c r="H117" s="466"/>
      <c r="I117" s="468"/>
      <c r="J117" s="467"/>
      <c r="K117" s="466">
        <v>238000</v>
      </c>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17863688</v>
      </c>
      <c r="D121" s="1729">
        <f t="shared" si="5"/>
        <v>0</v>
      </c>
      <c r="E121" s="1729">
        <f t="shared" si="5"/>
        <v>0</v>
      </c>
      <c r="F121" s="1729">
        <f t="shared" si="5"/>
        <v>570722</v>
      </c>
      <c r="G121" s="1729">
        <f t="shared" si="5"/>
        <v>0</v>
      </c>
      <c r="H121" s="1729">
        <f t="shared" si="5"/>
        <v>0</v>
      </c>
      <c r="I121" s="468"/>
      <c r="J121" s="1729">
        <f>SUM(J117:J120)</f>
        <v>0</v>
      </c>
      <c r="K121" s="1710">
        <f>SUM(K117:K120)</f>
        <v>238000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222357</v>
      </c>
      <c r="D124" s="561"/>
      <c r="E124" s="468"/>
      <c r="F124" s="548"/>
      <c r="G124" s="468"/>
      <c r="H124" s="468"/>
      <c r="I124" s="468"/>
      <c r="J124" s="468"/>
      <c r="K124" s="468"/>
    </row>
    <row r="125" spans="1:11" ht="12.75" customHeight="1" x14ac:dyDescent="0.2">
      <c r="A125" s="463" t="s">
        <v>1521</v>
      </c>
      <c r="B125" s="562">
        <v>3105</v>
      </c>
      <c r="C125" s="466">
        <v>153767</v>
      </c>
      <c r="D125" s="561"/>
      <c r="E125" s="468"/>
      <c r="F125" s="466"/>
      <c r="G125" s="468"/>
      <c r="H125" s="468"/>
      <c r="I125" s="468"/>
      <c r="J125" s="468"/>
      <c r="K125" s="468"/>
    </row>
    <row r="126" spans="1:11" ht="12.75" customHeight="1" x14ac:dyDescent="0.2">
      <c r="A126" s="463" t="s">
        <v>922</v>
      </c>
      <c r="B126" s="562">
        <v>3110</v>
      </c>
      <c r="C126" s="551">
        <v>4072</v>
      </c>
      <c r="D126" s="466"/>
      <c r="E126" s="468"/>
      <c r="F126" s="466"/>
      <c r="G126" s="468"/>
      <c r="H126" s="468"/>
      <c r="I126" s="468"/>
      <c r="J126" s="468"/>
      <c r="K126" s="468"/>
    </row>
    <row r="127" spans="1:11" ht="12.75" customHeight="1" x14ac:dyDescent="0.2">
      <c r="A127" s="463" t="s">
        <v>107</v>
      </c>
      <c r="B127" s="562">
        <v>3120</v>
      </c>
      <c r="C127" s="466">
        <v>4050</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11246</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395492</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4282</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4282</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60113</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60113</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26792</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24410</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513148</v>
      </c>
      <c r="G151" s="467"/>
      <c r="H151" s="468"/>
      <c r="I151" s="468"/>
      <c r="J151" s="468"/>
      <c r="K151" s="468"/>
    </row>
    <row r="152" spans="1:11" ht="12.75" customHeight="1" x14ac:dyDescent="0.2">
      <c r="A152" s="463" t="s">
        <v>1117</v>
      </c>
      <c r="B152" s="562">
        <v>3510</v>
      </c>
      <c r="C152" s="551"/>
      <c r="D152" s="466"/>
      <c r="E152" s="561"/>
      <c r="F152" s="466">
        <v>401334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914482</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v>118072</v>
      </c>
      <c r="D157" s="468"/>
      <c r="E157" s="561"/>
      <c r="F157" s="576"/>
      <c r="G157" s="576"/>
      <c r="H157" s="468"/>
      <c r="I157" s="468"/>
      <c r="J157" s="468"/>
      <c r="K157" s="468"/>
    </row>
    <row r="158" spans="1:11" ht="12.75" customHeight="1" thickTop="1" thickBot="1" x14ac:dyDescent="0.25">
      <c r="A158" s="1522" t="s">
        <v>1111</v>
      </c>
      <c r="B158" s="574">
        <v>3705</v>
      </c>
      <c r="C158" s="576">
        <v>1212451</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178588</v>
      </c>
      <c r="D171" s="580"/>
      <c r="E171" s="580"/>
      <c r="F171" s="580"/>
      <c r="G171" s="581"/>
      <c r="H171" s="582"/>
      <c r="I171" s="581"/>
      <c r="J171" s="581"/>
      <c r="K171" s="582"/>
    </row>
    <row r="172" spans="1:11" ht="12.75" customHeight="1" thickTop="1" thickBot="1" x14ac:dyDescent="0.25">
      <c r="A172" s="2206" t="s">
        <v>418</v>
      </c>
      <c r="B172" s="2207"/>
      <c r="C172" s="1744">
        <f t="shared" ref="C172:K172" si="6">SUM(C131,C140,C144,C145:C149,C154,C155:C170,C171)</f>
        <v>2020200</v>
      </c>
      <c r="D172" s="1744">
        <f t="shared" si="6"/>
        <v>0</v>
      </c>
      <c r="E172" s="1744">
        <f t="shared" si="6"/>
        <v>0</v>
      </c>
      <c r="F172" s="1744">
        <f t="shared" si="6"/>
        <v>914482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19883888</v>
      </c>
      <c r="D173" s="1737">
        <f>SUM(D121,D172)</f>
        <v>0</v>
      </c>
      <c r="E173" s="1737">
        <f>SUM(E121,E172)</f>
        <v>0</v>
      </c>
      <c r="F173" s="1737">
        <f t="shared" ref="F173:K173" si="7">SUM(F121,F172)</f>
        <v>1485204</v>
      </c>
      <c r="G173" s="1737">
        <f t="shared" si="7"/>
        <v>0</v>
      </c>
      <c r="H173" s="1737">
        <f t="shared" si="7"/>
        <v>0</v>
      </c>
      <c r="I173" s="1737">
        <f t="shared" si="7"/>
        <v>0</v>
      </c>
      <c r="J173" s="1737">
        <f t="shared" si="7"/>
        <v>0</v>
      </c>
      <c r="K173" s="1724">
        <f t="shared" si="7"/>
        <v>238000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208" t="s">
        <v>1572</v>
      </c>
      <c r="B175" s="220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212" t="s">
        <v>1764</v>
      </c>
      <c r="B178" s="2213"/>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216" t="s">
        <v>1763</v>
      </c>
      <c r="B179" s="221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214" t="s">
        <v>818</v>
      </c>
      <c r="B184" s="2215"/>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210" t="s">
        <v>1903</v>
      </c>
      <c r="B185" s="2211"/>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58049</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58049</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1175861</v>
      </c>
      <c r="D194" s="468"/>
      <c r="E194" s="561"/>
      <c r="F194" s="468"/>
      <c r="G194" s="585"/>
      <c r="H194" s="468"/>
      <c r="I194" s="468"/>
      <c r="J194" s="468"/>
      <c r="K194" s="468"/>
    </row>
    <row r="195" spans="1:11" ht="12.75" customHeight="1" x14ac:dyDescent="0.2">
      <c r="A195" s="463" t="s">
        <v>1107</v>
      </c>
      <c r="B195" s="470">
        <v>4215</v>
      </c>
      <c r="C195" s="551">
        <v>5432</v>
      </c>
      <c r="D195" s="468"/>
      <c r="E195" s="561"/>
      <c r="F195" s="468"/>
      <c r="G195" s="585"/>
      <c r="H195" s="468"/>
      <c r="I195" s="468"/>
      <c r="J195" s="468"/>
      <c r="K195" s="468"/>
    </row>
    <row r="196" spans="1:11" ht="12.75" customHeight="1" x14ac:dyDescent="0.2">
      <c r="A196" s="463" t="s">
        <v>1119</v>
      </c>
      <c r="B196" s="470">
        <v>4220</v>
      </c>
      <c r="C196" s="551">
        <v>264895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1446188</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2094657</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2094657</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17404</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1022867</v>
      </c>
      <c r="D220" s="466"/>
      <c r="E220" s="468"/>
      <c r="F220" s="466"/>
      <c r="G220" s="466"/>
      <c r="H220" s="468"/>
      <c r="I220" s="468"/>
      <c r="J220" s="468"/>
      <c r="K220" s="468"/>
    </row>
    <row r="221" spans="1:11" ht="12.75" customHeight="1" x14ac:dyDescent="0.2">
      <c r="A221" s="463" t="s">
        <v>1114</v>
      </c>
      <c r="B221" s="470">
        <v>4625</v>
      </c>
      <c r="C221" s="551">
        <v>87334</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1127605</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296459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34564</v>
      </c>
      <c r="D270" s="576"/>
      <c r="E270" s="468"/>
      <c r="F270" s="576"/>
      <c r="G270" s="576"/>
      <c r="H270" s="468"/>
      <c r="I270" s="468"/>
      <c r="J270" s="468"/>
      <c r="K270" s="468"/>
    </row>
    <row r="271" spans="1:11" ht="12.75" customHeight="1" thickTop="1" thickBot="1" x14ac:dyDescent="0.25">
      <c r="A271" s="463" t="s">
        <v>395</v>
      </c>
      <c r="B271" s="470">
        <v>4992</v>
      </c>
      <c r="C271" s="575">
        <v>200228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5257750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5257750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39372904</v>
      </c>
      <c r="D275" s="1737">
        <f t="shared" si="12"/>
        <v>2199136</v>
      </c>
      <c r="E275" s="1737">
        <f t="shared" si="12"/>
        <v>4580339</v>
      </c>
      <c r="F275" s="1737">
        <f t="shared" si="12"/>
        <v>3646748</v>
      </c>
      <c r="G275" s="1737">
        <f t="shared" si="12"/>
        <v>1195313</v>
      </c>
      <c r="H275" s="1737">
        <f t="shared" si="12"/>
        <v>669582</v>
      </c>
      <c r="I275" s="1737">
        <f t="shared" si="12"/>
        <v>234232</v>
      </c>
      <c r="J275" s="1737">
        <f t="shared" si="12"/>
        <v>1686134</v>
      </c>
      <c r="K275" s="1724">
        <f t="shared" si="12"/>
        <v>456836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notes are an intergral part of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8" zoomScaleNormal="98" workbookViewId="0">
      <pane ySplit="2" topLeftCell="A48" activePane="bottomLeft" state="frozen"/>
      <selection activeCell="A47" sqref="A47"/>
      <selection pane="bottomLeft" activeCell="H67" sqref="H6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86"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1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24" t="s">
        <v>315</v>
      </c>
      <c r="B3" s="2225"/>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12814931</v>
      </c>
      <c r="D5" s="466">
        <v>1198399</v>
      </c>
      <c r="E5" s="466">
        <v>44084</v>
      </c>
      <c r="F5" s="466">
        <v>296956</v>
      </c>
      <c r="G5" s="466">
        <v>551344</v>
      </c>
      <c r="H5" s="466">
        <v>19033</v>
      </c>
      <c r="I5" s="467">
        <v>6107</v>
      </c>
      <c r="J5" s="467"/>
      <c r="K5" s="1693">
        <f>SUM(C5:J5)</f>
        <v>14930854</v>
      </c>
      <c r="L5" s="466">
        <v>14919808</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811695</v>
      </c>
      <c r="D7" s="467">
        <v>184998</v>
      </c>
      <c r="E7" s="467">
        <v>4031</v>
      </c>
      <c r="F7" s="467">
        <v>14824</v>
      </c>
      <c r="G7" s="467"/>
      <c r="H7" s="467"/>
      <c r="I7" s="467"/>
      <c r="J7" s="467"/>
      <c r="K7" s="1693">
        <f t="shared" ref="K7:K32" si="0">SUM(C7:J7)</f>
        <v>1015548</v>
      </c>
      <c r="L7" s="466">
        <v>1049057</v>
      </c>
    </row>
    <row r="8" spans="1:14" x14ac:dyDescent="0.2">
      <c r="A8" s="1526" t="s">
        <v>166</v>
      </c>
      <c r="B8" s="615">
        <v>1200</v>
      </c>
      <c r="C8" s="466">
        <v>4470217</v>
      </c>
      <c r="D8" s="466">
        <v>550097</v>
      </c>
      <c r="E8" s="466">
        <v>4784</v>
      </c>
      <c r="F8" s="466">
        <v>4921</v>
      </c>
      <c r="G8" s="466"/>
      <c r="H8" s="466"/>
      <c r="I8" s="467">
        <v>1136</v>
      </c>
      <c r="J8" s="467"/>
      <c r="K8" s="1693">
        <f t="shared" si="0"/>
        <v>5031155</v>
      </c>
      <c r="L8" s="466">
        <v>5356225</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20984</v>
      </c>
      <c r="D10" s="466">
        <v>2336</v>
      </c>
      <c r="E10" s="466">
        <v>177</v>
      </c>
      <c r="F10" s="466"/>
      <c r="G10" s="466"/>
      <c r="H10" s="466"/>
      <c r="I10" s="467">
        <v>17747</v>
      </c>
      <c r="J10" s="467"/>
      <c r="K10" s="1693">
        <f t="shared" si="0"/>
        <v>41244</v>
      </c>
      <c r="L10" s="466">
        <v>52742</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516019</v>
      </c>
      <c r="D13" s="466">
        <v>60486</v>
      </c>
      <c r="E13" s="466">
        <v>1575</v>
      </c>
      <c r="F13" s="466"/>
      <c r="G13" s="466"/>
      <c r="H13" s="466"/>
      <c r="I13" s="467"/>
      <c r="J13" s="467"/>
      <c r="K13" s="1693">
        <f t="shared" si="0"/>
        <v>578080</v>
      </c>
      <c r="L13" s="466">
        <v>613764</v>
      </c>
    </row>
    <row r="14" spans="1:14" x14ac:dyDescent="0.2">
      <c r="A14" s="1526" t="s">
        <v>1020</v>
      </c>
      <c r="B14" s="615">
        <v>1500</v>
      </c>
      <c r="C14" s="466">
        <v>465285</v>
      </c>
      <c r="D14" s="466">
        <v>18696</v>
      </c>
      <c r="E14" s="466">
        <v>101111</v>
      </c>
      <c r="F14" s="466">
        <v>49271</v>
      </c>
      <c r="G14" s="466"/>
      <c r="H14" s="466">
        <v>3713</v>
      </c>
      <c r="I14" s="467"/>
      <c r="J14" s="467"/>
      <c r="K14" s="1693">
        <f t="shared" si="0"/>
        <v>638076</v>
      </c>
      <c r="L14" s="466">
        <v>652767</v>
      </c>
    </row>
    <row r="15" spans="1:14" x14ac:dyDescent="0.2">
      <c r="A15" s="1526" t="s">
        <v>1021</v>
      </c>
      <c r="B15" s="615">
        <v>1600</v>
      </c>
      <c r="C15" s="466">
        <v>8799</v>
      </c>
      <c r="D15" s="466">
        <v>194</v>
      </c>
      <c r="E15" s="466"/>
      <c r="F15" s="466"/>
      <c r="G15" s="466"/>
      <c r="H15" s="466"/>
      <c r="I15" s="467"/>
      <c r="J15" s="467"/>
      <c r="K15" s="1693">
        <f t="shared" si="0"/>
        <v>8993</v>
      </c>
      <c r="L15" s="466">
        <v>17970</v>
      </c>
    </row>
    <row r="16" spans="1:14" x14ac:dyDescent="0.2">
      <c r="A16" s="1526" t="s">
        <v>1044</v>
      </c>
      <c r="B16" s="615" t="s">
        <v>444</v>
      </c>
      <c r="C16" s="466"/>
      <c r="D16" s="466"/>
      <c r="E16" s="466"/>
      <c r="F16" s="466"/>
      <c r="G16" s="466"/>
      <c r="H16" s="466"/>
      <c r="I16" s="467"/>
      <c r="J16" s="467"/>
      <c r="K16" s="1693">
        <f t="shared" si="0"/>
        <v>0</v>
      </c>
      <c r="L16" s="466">
        <v>4060</v>
      </c>
    </row>
    <row r="17" spans="1:12" x14ac:dyDescent="0.2">
      <c r="A17" s="1526" t="s">
        <v>748</v>
      </c>
      <c r="B17" s="615" t="s">
        <v>164</v>
      </c>
      <c r="C17" s="467"/>
      <c r="D17" s="467"/>
      <c r="E17" s="467">
        <v>3193</v>
      </c>
      <c r="F17" s="467">
        <v>1925</v>
      </c>
      <c r="G17" s="467"/>
      <c r="H17" s="467"/>
      <c r="I17" s="467"/>
      <c r="J17" s="467"/>
      <c r="K17" s="1693">
        <f t="shared" si="0"/>
        <v>5118</v>
      </c>
      <c r="L17" s="466">
        <v>5300</v>
      </c>
    </row>
    <row r="18" spans="1:12" x14ac:dyDescent="0.2">
      <c r="A18" s="1526" t="s">
        <v>1148</v>
      </c>
      <c r="B18" s="615">
        <v>1800</v>
      </c>
      <c r="C18" s="466">
        <v>573496</v>
      </c>
      <c r="D18" s="466">
        <v>63134</v>
      </c>
      <c r="E18" s="466"/>
      <c r="F18" s="466"/>
      <c r="G18" s="466"/>
      <c r="H18" s="466"/>
      <c r="I18" s="467"/>
      <c r="J18" s="467"/>
      <c r="K18" s="1693">
        <f t="shared" si="0"/>
        <v>636630</v>
      </c>
      <c r="L18" s="466">
        <v>801266</v>
      </c>
    </row>
    <row r="19" spans="1:12" x14ac:dyDescent="0.2">
      <c r="A19" s="1526" t="s">
        <v>136</v>
      </c>
      <c r="B19" s="615">
        <v>1900</v>
      </c>
      <c r="C19" s="466">
        <v>371570</v>
      </c>
      <c r="D19" s="466">
        <v>29602</v>
      </c>
      <c r="E19" s="466"/>
      <c r="F19" s="466"/>
      <c r="G19" s="466"/>
      <c r="H19" s="466"/>
      <c r="I19" s="467"/>
      <c r="J19" s="467"/>
      <c r="K19" s="1693">
        <f t="shared" si="0"/>
        <v>401172</v>
      </c>
      <c r="L19" s="466">
        <v>488127</v>
      </c>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569268</v>
      </c>
      <c r="I22" s="617"/>
      <c r="J22" s="477"/>
      <c r="K22" s="1693">
        <f t="shared" si="0"/>
        <v>569268</v>
      </c>
      <c r="L22" s="471">
        <v>714000</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20052996</v>
      </c>
      <c r="D33" s="1692">
        <f t="shared" ref="D33:L33" si="1">SUM(D5:D32)</f>
        <v>2107942</v>
      </c>
      <c r="E33" s="1692">
        <f t="shared" si="1"/>
        <v>158955</v>
      </c>
      <c r="F33" s="1692">
        <f t="shared" si="1"/>
        <v>367897</v>
      </c>
      <c r="G33" s="1692">
        <f t="shared" si="1"/>
        <v>551344</v>
      </c>
      <c r="H33" s="1692">
        <f t="shared" si="1"/>
        <v>592014</v>
      </c>
      <c r="I33" s="1692">
        <f t="shared" si="1"/>
        <v>24990</v>
      </c>
      <c r="J33" s="1692">
        <f t="shared" si="1"/>
        <v>0</v>
      </c>
      <c r="K33" s="1692">
        <f t="shared" si="1"/>
        <v>23856138</v>
      </c>
      <c r="L33" s="1692">
        <f t="shared" si="1"/>
        <v>24675086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304572</v>
      </c>
      <c r="D36" s="481">
        <v>31440</v>
      </c>
      <c r="E36" s="481">
        <v>1251</v>
      </c>
      <c r="F36" s="481"/>
      <c r="G36" s="481"/>
      <c r="H36" s="481"/>
      <c r="I36" s="467"/>
      <c r="J36" s="467"/>
      <c r="K36" s="1693">
        <f t="shared" ref="K36:K41" si="2">SUM(C36:J36)</f>
        <v>337263</v>
      </c>
      <c r="L36" s="466">
        <v>380343</v>
      </c>
    </row>
    <row r="37" spans="1:14" x14ac:dyDescent="0.2">
      <c r="A37" s="1526" t="s">
        <v>1151</v>
      </c>
      <c r="B37" s="615">
        <v>2120</v>
      </c>
      <c r="C37" s="466">
        <v>363872</v>
      </c>
      <c r="D37" s="466">
        <v>60463</v>
      </c>
      <c r="E37" s="466">
        <v>53386</v>
      </c>
      <c r="F37" s="466">
        <v>19915</v>
      </c>
      <c r="G37" s="466"/>
      <c r="H37" s="466"/>
      <c r="I37" s="467"/>
      <c r="J37" s="467"/>
      <c r="K37" s="1693">
        <f t="shared" si="2"/>
        <v>497636</v>
      </c>
      <c r="L37" s="466">
        <v>484686</v>
      </c>
    </row>
    <row r="38" spans="1:14" x14ac:dyDescent="0.2">
      <c r="A38" s="1526" t="s">
        <v>207</v>
      </c>
      <c r="B38" s="615">
        <v>2130</v>
      </c>
      <c r="C38" s="466">
        <v>49141</v>
      </c>
      <c r="D38" s="466">
        <v>15153</v>
      </c>
      <c r="E38" s="466">
        <v>7020</v>
      </c>
      <c r="F38" s="466">
        <v>2687</v>
      </c>
      <c r="G38" s="466"/>
      <c r="H38" s="466"/>
      <c r="I38" s="467"/>
      <c r="J38" s="467"/>
      <c r="K38" s="1693">
        <f t="shared" si="2"/>
        <v>74001</v>
      </c>
      <c r="L38" s="466">
        <v>79277</v>
      </c>
    </row>
    <row r="39" spans="1:14" x14ac:dyDescent="0.2">
      <c r="A39" s="1526" t="s">
        <v>208</v>
      </c>
      <c r="B39" s="615">
        <v>2140</v>
      </c>
      <c r="C39" s="466">
        <v>192205</v>
      </c>
      <c r="D39" s="466">
        <v>14298</v>
      </c>
      <c r="E39" s="466">
        <v>6916</v>
      </c>
      <c r="F39" s="466"/>
      <c r="G39" s="466"/>
      <c r="H39" s="466"/>
      <c r="I39" s="467"/>
      <c r="J39" s="467"/>
      <c r="K39" s="1693">
        <f t="shared" si="2"/>
        <v>213419</v>
      </c>
      <c r="L39" s="466">
        <v>210468</v>
      </c>
    </row>
    <row r="40" spans="1:14" x14ac:dyDescent="0.2">
      <c r="A40" s="1526" t="s">
        <v>209</v>
      </c>
      <c r="B40" s="615">
        <v>2150</v>
      </c>
      <c r="C40" s="466">
        <v>433343</v>
      </c>
      <c r="D40" s="466">
        <v>51758</v>
      </c>
      <c r="E40" s="466">
        <v>53604</v>
      </c>
      <c r="F40" s="466">
        <v>339</v>
      </c>
      <c r="G40" s="466"/>
      <c r="H40" s="466"/>
      <c r="I40" s="467"/>
      <c r="J40" s="467"/>
      <c r="K40" s="1693">
        <f t="shared" si="2"/>
        <v>539044</v>
      </c>
      <c r="L40" s="466">
        <v>531906</v>
      </c>
    </row>
    <row r="41" spans="1:14" x14ac:dyDescent="0.2">
      <c r="A41" s="1526" t="s">
        <v>1768</v>
      </c>
      <c r="B41" s="615">
        <v>2190</v>
      </c>
      <c r="C41" s="466"/>
      <c r="D41" s="466"/>
      <c r="E41" s="466">
        <v>4419</v>
      </c>
      <c r="F41" s="466"/>
      <c r="G41" s="466"/>
      <c r="H41" s="466"/>
      <c r="I41" s="467"/>
      <c r="J41" s="467"/>
      <c r="K41" s="1693">
        <f t="shared" si="2"/>
        <v>4419</v>
      </c>
      <c r="L41" s="466">
        <v>7000</v>
      </c>
    </row>
    <row r="42" spans="1:14" ht="12.75" customHeight="1" thickBot="1" x14ac:dyDescent="0.25">
      <c r="A42" s="1690" t="s">
        <v>581</v>
      </c>
      <c r="B42" s="1691" t="s">
        <v>740</v>
      </c>
      <c r="C42" s="1692">
        <f>SUM(C36:C41)</f>
        <v>1343133</v>
      </c>
      <c r="D42" s="1692">
        <f t="shared" ref="D42:L42" si="3">SUM(D36:D41)</f>
        <v>173112</v>
      </c>
      <c r="E42" s="1692">
        <f t="shared" si="3"/>
        <v>126596</v>
      </c>
      <c r="F42" s="1692">
        <f t="shared" si="3"/>
        <v>22941</v>
      </c>
      <c r="G42" s="1692">
        <f t="shared" si="3"/>
        <v>0</v>
      </c>
      <c r="H42" s="1692">
        <f t="shared" si="3"/>
        <v>0</v>
      </c>
      <c r="I42" s="1692">
        <f t="shared" si="3"/>
        <v>0</v>
      </c>
      <c r="J42" s="1692">
        <f t="shared" si="3"/>
        <v>0</v>
      </c>
      <c r="K42" s="1692">
        <f t="shared" si="3"/>
        <v>1665782</v>
      </c>
      <c r="L42" s="1692">
        <f t="shared" si="3"/>
        <v>1693680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303587</v>
      </c>
      <c r="D44" s="481">
        <v>59352</v>
      </c>
      <c r="E44" s="481">
        <v>138352</v>
      </c>
      <c r="F44" s="481">
        <v>42115</v>
      </c>
      <c r="G44" s="481">
        <v>22283</v>
      </c>
      <c r="H44" s="481"/>
      <c r="I44" s="467"/>
      <c r="J44" s="467"/>
      <c r="K44" s="1694">
        <f>SUM(C44:J44)</f>
        <v>565689</v>
      </c>
      <c r="L44" s="481">
        <v>789257</v>
      </c>
    </row>
    <row r="45" spans="1:14" x14ac:dyDescent="0.2">
      <c r="A45" s="1526" t="s">
        <v>869</v>
      </c>
      <c r="B45" s="615">
        <v>2220</v>
      </c>
      <c r="C45" s="466">
        <v>313634</v>
      </c>
      <c r="D45" s="466">
        <v>66388</v>
      </c>
      <c r="E45" s="466">
        <v>293443</v>
      </c>
      <c r="F45" s="466">
        <v>73179</v>
      </c>
      <c r="G45" s="466">
        <v>81698</v>
      </c>
      <c r="H45" s="466">
        <v>8210</v>
      </c>
      <c r="I45" s="467">
        <v>48458</v>
      </c>
      <c r="J45" s="467"/>
      <c r="K45" s="1694">
        <f>SUM(C45:J45)</f>
        <v>885010</v>
      </c>
      <c r="L45" s="466">
        <v>1205135</v>
      </c>
    </row>
    <row r="46" spans="1:14" x14ac:dyDescent="0.2">
      <c r="A46" s="1526" t="s">
        <v>870</v>
      </c>
      <c r="B46" s="615">
        <v>2230</v>
      </c>
      <c r="C46" s="466"/>
      <c r="D46" s="466"/>
      <c r="E46" s="466">
        <v>19693</v>
      </c>
      <c r="F46" s="466">
        <v>865</v>
      </c>
      <c r="G46" s="466"/>
      <c r="H46" s="466"/>
      <c r="I46" s="467"/>
      <c r="J46" s="467"/>
      <c r="K46" s="1694">
        <f>SUM(C46:J46)</f>
        <v>20558</v>
      </c>
      <c r="L46" s="466">
        <v>18300</v>
      </c>
    </row>
    <row r="47" spans="1:14" ht="12.75" customHeight="1" thickBot="1" x14ac:dyDescent="0.25">
      <c r="A47" s="1690" t="s">
        <v>582</v>
      </c>
      <c r="B47" s="1691" t="s">
        <v>32</v>
      </c>
      <c r="C47" s="1692">
        <f>SUM(C44:C46)</f>
        <v>617221</v>
      </c>
      <c r="D47" s="1692">
        <f t="shared" ref="D47:K47" si="4">SUM(D44:D46)</f>
        <v>125740</v>
      </c>
      <c r="E47" s="1692">
        <f t="shared" si="4"/>
        <v>451488</v>
      </c>
      <c r="F47" s="1692">
        <f t="shared" si="4"/>
        <v>116159</v>
      </c>
      <c r="G47" s="1692">
        <f t="shared" si="4"/>
        <v>103981</v>
      </c>
      <c r="H47" s="1692">
        <f t="shared" si="4"/>
        <v>8210</v>
      </c>
      <c r="I47" s="1692">
        <f t="shared" si="4"/>
        <v>48458</v>
      </c>
      <c r="J47" s="1692">
        <f t="shared" si="4"/>
        <v>0</v>
      </c>
      <c r="K47" s="1692">
        <f t="shared" si="4"/>
        <v>1471257</v>
      </c>
      <c r="L47" s="1692">
        <f>SUM(L44:L46)</f>
        <v>2012692</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133602</v>
      </c>
      <c r="D49" s="481">
        <v>21228</v>
      </c>
      <c r="E49" s="481">
        <v>28073</v>
      </c>
      <c r="F49" s="481"/>
      <c r="G49" s="481"/>
      <c r="H49" s="481">
        <v>10164</v>
      </c>
      <c r="I49" s="467"/>
      <c r="J49" s="467"/>
      <c r="K49" s="1694">
        <f>SUM(C49:J49)</f>
        <v>193067</v>
      </c>
      <c r="L49" s="481">
        <v>173368</v>
      </c>
    </row>
    <row r="50" spans="1:14" x14ac:dyDescent="0.2">
      <c r="A50" s="1526" t="s">
        <v>872</v>
      </c>
      <c r="B50" s="615">
        <v>2320</v>
      </c>
      <c r="C50" s="466">
        <v>284208</v>
      </c>
      <c r="D50" s="466">
        <v>41905</v>
      </c>
      <c r="E50" s="466">
        <v>96524</v>
      </c>
      <c r="F50" s="466">
        <v>11023</v>
      </c>
      <c r="G50" s="466"/>
      <c r="H50" s="466">
        <v>27445</v>
      </c>
      <c r="I50" s="467">
        <v>740</v>
      </c>
      <c r="J50" s="467"/>
      <c r="K50" s="1694">
        <f>SUM(C50:J50)</f>
        <v>461845</v>
      </c>
      <c r="L50" s="466">
        <v>512055</v>
      </c>
    </row>
    <row r="51" spans="1:14" x14ac:dyDescent="0.2">
      <c r="A51" s="1526" t="s">
        <v>44</v>
      </c>
      <c r="B51" s="615">
        <v>2330</v>
      </c>
      <c r="C51" s="466">
        <v>408197</v>
      </c>
      <c r="D51" s="466">
        <v>47881</v>
      </c>
      <c r="E51" s="466">
        <v>3718</v>
      </c>
      <c r="F51" s="466">
        <v>9476</v>
      </c>
      <c r="G51" s="466"/>
      <c r="H51" s="466"/>
      <c r="I51" s="467"/>
      <c r="J51" s="467"/>
      <c r="K51" s="1694">
        <f>SUM(C51:J51)</f>
        <v>469272</v>
      </c>
      <c r="L51" s="466">
        <v>417790</v>
      </c>
    </row>
    <row r="52" spans="1:14" ht="22.5" x14ac:dyDescent="0.2">
      <c r="A52" s="1527" t="s">
        <v>316</v>
      </c>
      <c r="B52" s="628" t="s">
        <v>384</v>
      </c>
      <c r="C52" s="474">
        <v>17001</v>
      </c>
      <c r="D52" s="474"/>
      <c r="E52" s="474">
        <v>51634</v>
      </c>
      <c r="F52" s="474"/>
      <c r="G52" s="474"/>
      <c r="H52" s="474"/>
      <c r="I52" s="474"/>
      <c r="J52" s="474"/>
      <c r="K52" s="1694">
        <f>SUM(C52:J52)</f>
        <v>68635</v>
      </c>
      <c r="L52" s="474">
        <v>55500</v>
      </c>
    </row>
    <row r="53" spans="1:14" ht="12.75" customHeight="1" thickBot="1" x14ac:dyDescent="0.25">
      <c r="A53" s="1690" t="s">
        <v>741</v>
      </c>
      <c r="B53" s="1691" t="s">
        <v>33</v>
      </c>
      <c r="C53" s="1692">
        <f>SUM(C49:C52)</f>
        <v>843008</v>
      </c>
      <c r="D53" s="1692">
        <f t="shared" ref="D53:L53" si="5">SUM(D49:D52)</f>
        <v>111014</v>
      </c>
      <c r="E53" s="1692">
        <f t="shared" si="5"/>
        <v>179949</v>
      </c>
      <c r="F53" s="1692">
        <f t="shared" si="5"/>
        <v>20499</v>
      </c>
      <c r="G53" s="1692">
        <f t="shared" si="5"/>
        <v>0</v>
      </c>
      <c r="H53" s="1692">
        <f t="shared" si="5"/>
        <v>37609</v>
      </c>
      <c r="I53" s="1692">
        <f t="shared" si="5"/>
        <v>740</v>
      </c>
      <c r="J53" s="1692">
        <f t="shared" si="5"/>
        <v>0</v>
      </c>
      <c r="K53" s="1692">
        <f t="shared" si="5"/>
        <v>1192819</v>
      </c>
      <c r="L53" s="1692">
        <f t="shared" si="5"/>
        <v>1158713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1656143</v>
      </c>
      <c r="D55" s="481">
        <v>232369</v>
      </c>
      <c r="E55" s="481">
        <v>19127</v>
      </c>
      <c r="F55" s="481">
        <v>7424</v>
      </c>
      <c r="G55" s="481"/>
      <c r="H55" s="481"/>
      <c r="I55" s="467"/>
      <c r="J55" s="467"/>
      <c r="K55" s="1694">
        <f>SUM(C55:J55)</f>
        <v>1915063</v>
      </c>
      <c r="L55" s="481">
        <v>1965251</v>
      </c>
    </row>
    <row r="56" spans="1:14" ht="12.75" customHeight="1" x14ac:dyDescent="0.2">
      <c r="A56" s="1530" t="s">
        <v>394</v>
      </c>
      <c r="B56" s="629">
        <v>2490</v>
      </c>
      <c r="C56" s="466">
        <v>259442</v>
      </c>
      <c r="D56" s="466">
        <v>25411</v>
      </c>
      <c r="E56" s="466"/>
      <c r="F56" s="466"/>
      <c r="G56" s="466"/>
      <c r="H56" s="466"/>
      <c r="I56" s="467"/>
      <c r="J56" s="467"/>
      <c r="K56" s="1694">
        <f>SUM(C56:J56)</f>
        <v>284853</v>
      </c>
      <c r="L56" s="466">
        <v>302819</v>
      </c>
    </row>
    <row r="57" spans="1:14" s="343" customFormat="1" ht="12.75" customHeight="1" thickBot="1" x14ac:dyDescent="0.25">
      <c r="A57" s="1690" t="s">
        <v>281</v>
      </c>
      <c r="B57" s="1695" t="s">
        <v>34</v>
      </c>
      <c r="C57" s="1696">
        <f>SUM(C55:C56)</f>
        <v>1915585</v>
      </c>
      <c r="D57" s="1696">
        <f t="shared" ref="D57:K57" si="6">SUM(D55:D56)</f>
        <v>257780</v>
      </c>
      <c r="E57" s="1696">
        <f t="shared" si="6"/>
        <v>19127</v>
      </c>
      <c r="F57" s="1696">
        <f t="shared" si="6"/>
        <v>7424</v>
      </c>
      <c r="G57" s="1696">
        <f t="shared" si="6"/>
        <v>0</v>
      </c>
      <c r="H57" s="1696">
        <f t="shared" si="6"/>
        <v>0</v>
      </c>
      <c r="I57" s="1696">
        <f t="shared" si="6"/>
        <v>0</v>
      </c>
      <c r="J57" s="1696">
        <f t="shared" si="6"/>
        <v>0</v>
      </c>
      <c r="K57" s="1696">
        <f t="shared" si="6"/>
        <v>2199916</v>
      </c>
      <c r="L57" s="1692">
        <f>SUM(L55:L56)</f>
        <v>2268070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31158</v>
      </c>
      <c r="D59" s="481">
        <v>7335</v>
      </c>
      <c r="E59" s="481"/>
      <c r="F59" s="481"/>
      <c r="G59" s="481"/>
      <c r="H59" s="481"/>
      <c r="I59" s="467"/>
      <c r="J59" s="467"/>
      <c r="K59" s="1694">
        <f t="shared" ref="K59:K64" si="7">SUM(C59:J59)</f>
        <v>38493</v>
      </c>
      <c r="L59" s="481">
        <v>36204</v>
      </c>
      <c r="M59" s="610"/>
      <c r="N59" s="610"/>
    </row>
    <row r="60" spans="1:14" s="343" customFormat="1" x14ac:dyDescent="0.2">
      <c r="A60" s="1526" t="s">
        <v>483</v>
      </c>
      <c r="B60" s="615">
        <v>2520</v>
      </c>
      <c r="C60" s="466">
        <v>380868</v>
      </c>
      <c r="D60" s="466">
        <v>39078</v>
      </c>
      <c r="E60" s="466">
        <v>13500</v>
      </c>
      <c r="F60" s="466"/>
      <c r="G60" s="466"/>
      <c r="H60" s="466"/>
      <c r="I60" s="467"/>
      <c r="J60" s="467">
        <v>8223</v>
      </c>
      <c r="K60" s="1694">
        <f t="shared" si="7"/>
        <v>441669</v>
      </c>
      <c r="L60" s="466">
        <v>484204</v>
      </c>
      <c r="M60" s="610"/>
      <c r="N60" s="610"/>
    </row>
    <row r="61" spans="1:14" s="343" customFormat="1" x14ac:dyDescent="0.2">
      <c r="A61" s="1526" t="s">
        <v>206</v>
      </c>
      <c r="B61" s="615">
        <v>2540</v>
      </c>
      <c r="C61" s="466">
        <v>983911</v>
      </c>
      <c r="D61" s="466">
        <v>140613</v>
      </c>
      <c r="E61" s="466">
        <v>14387</v>
      </c>
      <c r="F61" s="466">
        <v>30088</v>
      </c>
      <c r="G61" s="466">
        <v>79964</v>
      </c>
      <c r="H61" s="466"/>
      <c r="I61" s="467">
        <v>9197</v>
      </c>
      <c r="J61" s="467"/>
      <c r="K61" s="1694">
        <f t="shared" si="7"/>
        <v>1258160</v>
      </c>
      <c r="L61" s="466">
        <v>1102814</v>
      </c>
      <c r="M61" s="610"/>
      <c r="N61" s="610"/>
    </row>
    <row r="62" spans="1:14" s="343" customFormat="1" x14ac:dyDescent="0.2">
      <c r="A62" s="1526" t="s">
        <v>1010</v>
      </c>
      <c r="B62" s="615">
        <v>2550</v>
      </c>
      <c r="C62" s="466"/>
      <c r="D62" s="466"/>
      <c r="E62" s="466">
        <v>172331</v>
      </c>
      <c r="F62" s="466"/>
      <c r="G62" s="466"/>
      <c r="H62" s="466"/>
      <c r="I62" s="467"/>
      <c r="J62" s="467"/>
      <c r="K62" s="1694">
        <f t="shared" si="7"/>
        <v>172331</v>
      </c>
      <c r="L62" s="466">
        <v>166065</v>
      </c>
      <c r="M62" s="610"/>
      <c r="N62" s="610"/>
    </row>
    <row r="63" spans="1:14" s="610" customFormat="1" x14ac:dyDescent="0.2">
      <c r="A63" s="1526" t="s">
        <v>102</v>
      </c>
      <c r="B63" s="615">
        <v>2560</v>
      </c>
      <c r="C63" s="466">
        <v>810286</v>
      </c>
      <c r="D63" s="466">
        <v>220123</v>
      </c>
      <c r="E63" s="466">
        <v>50461</v>
      </c>
      <c r="F63" s="466">
        <v>684033</v>
      </c>
      <c r="G63" s="466">
        <v>45694</v>
      </c>
      <c r="H63" s="466"/>
      <c r="I63" s="467">
        <v>10762</v>
      </c>
      <c r="J63" s="467"/>
      <c r="K63" s="1694">
        <f t="shared" si="7"/>
        <v>1821359</v>
      </c>
      <c r="L63" s="466">
        <v>2127924</v>
      </c>
    </row>
    <row r="64" spans="1:14" s="610" customFormat="1" x14ac:dyDescent="0.2">
      <c r="A64" s="1531" t="s">
        <v>103</v>
      </c>
      <c r="B64" s="631">
        <v>2570</v>
      </c>
      <c r="C64" s="481"/>
      <c r="D64" s="481"/>
      <c r="E64" s="481">
        <v>98194</v>
      </c>
      <c r="F64" s="481">
        <v>5033</v>
      </c>
      <c r="G64" s="481"/>
      <c r="H64" s="481"/>
      <c r="I64" s="467"/>
      <c r="J64" s="467"/>
      <c r="K64" s="1694">
        <f t="shared" si="7"/>
        <v>103227</v>
      </c>
      <c r="L64" s="481">
        <v>74460</v>
      </c>
    </row>
    <row r="65" spans="1:14" s="343" customFormat="1" ht="12.75" customHeight="1" thickBot="1" x14ac:dyDescent="0.25">
      <c r="A65" s="1690" t="s">
        <v>743</v>
      </c>
      <c r="B65" s="1691" t="s">
        <v>35</v>
      </c>
      <c r="C65" s="1692">
        <f>SUM(C59:C64)</f>
        <v>2206223</v>
      </c>
      <c r="D65" s="1692">
        <f t="shared" ref="D65:L65" si="8">SUM(D59:D64)</f>
        <v>407149</v>
      </c>
      <c r="E65" s="1692">
        <f t="shared" si="8"/>
        <v>348873</v>
      </c>
      <c r="F65" s="1692">
        <f t="shared" si="8"/>
        <v>719154</v>
      </c>
      <c r="G65" s="1692">
        <f t="shared" si="8"/>
        <v>125658</v>
      </c>
      <c r="H65" s="1692">
        <f t="shared" si="8"/>
        <v>0</v>
      </c>
      <c r="I65" s="1692">
        <f t="shared" si="8"/>
        <v>19959</v>
      </c>
      <c r="J65" s="1692">
        <f t="shared" si="8"/>
        <v>8223</v>
      </c>
      <c r="K65" s="1692">
        <f t="shared" si="8"/>
        <v>3835239</v>
      </c>
      <c r="L65" s="1692">
        <f t="shared" si="8"/>
        <v>3991671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v>1309</v>
      </c>
      <c r="F70" s="466"/>
      <c r="G70" s="466"/>
      <c r="H70" s="466"/>
      <c r="I70" s="467"/>
      <c r="J70" s="467"/>
      <c r="K70" s="1694">
        <f>SUM(C70:J70)</f>
        <v>1309</v>
      </c>
      <c r="L70" s="466">
        <v>3000</v>
      </c>
      <c r="M70" s="610"/>
      <c r="N70" s="610"/>
    </row>
    <row r="71" spans="1:14" s="343" customFormat="1" x14ac:dyDescent="0.2">
      <c r="A71" s="1526" t="s">
        <v>424</v>
      </c>
      <c r="B71" s="615">
        <v>2660</v>
      </c>
      <c r="C71" s="466"/>
      <c r="D71" s="466"/>
      <c r="E71" s="466"/>
      <c r="F71" s="466">
        <v>795</v>
      </c>
      <c r="G71" s="466"/>
      <c r="H71" s="466"/>
      <c r="I71" s="467"/>
      <c r="J71" s="467"/>
      <c r="K71" s="1694">
        <f>SUM(C71:J71)</f>
        <v>795</v>
      </c>
      <c r="L71" s="466">
        <v>12075</v>
      </c>
      <c r="M71" s="610"/>
      <c r="N71" s="610"/>
    </row>
    <row r="72" spans="1:14" s="343" customFormat="1" ht="12.75" customHeight="1" thickBot="1" x14ac:dyDescent="0.25">
      <c r="A72" s="1690" t="s">
        <v>37</v>
      </c>
      <c r="B72" s="1697" t="s">
        <v>36</v>
      </c>
      <c r="C72" s="1692">
        <f>SUM(C67:C71)</f>
        <v>0</v>
      </c>
      <c r="D72" s="1692">
        <f t="shared" ref="D72:K72" si="9">SUM(D67:D71)</f>
        <v>0</v>
      </c>
      <c r="E72" s="1692">
        <f t="shared" si="9"/>
        <v>1309</v>
      </c>
      <c r="F72" s="1692">
        <f t="shared" si="9"/>
        <v>795</v>
      </c>
      <c r="G72" s="1692">
        <f t="shared" si="9"/>
        <v>0</v>
      </c>
      <c r="H72" s="1692">
        <f t="shared" si="9"/>
        <v>0</v>
      </c>
      <c r="I72" s="1692">
        <f t="shared" si="9"/>
        <v>0</v>
      </c>
      <c r="J72" s="1692">
        <f t="shared" si="9"/>
        <v>0</v>
      </c>
      <c r="K72" s="1692">
        <f t="shared" si="9"/>
        <v>2104</v>
      </c>
      <c r="L72" s="1692">
        <f>SUM(L67:L71)</f>
        <v>15075</v>
      </c>
      <c r="M72" s="610"/>
      <c r="N72" s="610"/>
    </row>
    <row r="73" spans="1:14" s="343" customFormat="1" ht="14.25" thickTop="1" thickBot="1" x14ac:dyDescent="0.25">
      <c r="A73" s="1532" t="s">
        <v>1037</v>
      </c>
      <c r="B73" s="633" t="s">
        <v>595</v>
      </c>
      <c r="C73" s="573">
        <v>168852</v>
      </c>
      <c r="D73" s="573">
        <v>18153</v>
      </c>
      <c r="E73" s="573">
        <v>16760</v>
      </c>
      <c r="F73" s="573"/>
      <c r="G73" s="573"/>
      <c r="H73" s="573"/>
      <c r="I73" s="531"/>
      <c r="J73" s="531"/>
      <c r="K73" s="1692">
        <f>SUM(C73:J73)</f>
        <v>203765</v>
      </c>
      <c r="L73" s="576">
        <v>190562</v>
      </c>
      <c r="M73" s="610"/>
      <c r="N73" s="610"/>
    </row>
    <row r="74" spans="1:14" ht="12.75" customHeight="1" thickTop="1" thickBot="1" x14ac:dyDescent="0.25">
      <c r="A74" s="1690" t="s">
        <v>865</v>
      </c>
      <c r="B74" s="1698">
        <v>2000</v>
      </c>
      <c r="C74" s="1699">
        <f>SUM(C42,C47,C53,C57,C65,C72,C73)</f>
        <v>7094022</v>
      </c>
      <c r="D74" s="1699">
        <f t="shared" ref="D74:K74" si="10">SUM(D42,D47,D53,D57,D65,D72,D73)</f>
        <v>1092948</v>
      </c>
      <c r="E74" s="1699">
        <f t="shared" si="10"/>
        <v>1144102</v>
      </c>
      <c r="F74" s="1699">
        <f t="shared" si="10"/>
        <v>886972</v>
      </c>
      <c r="G74" s="1699">
        <f t="shared" si="10"/>
        <v>229639</v>
      </c>
      <c r="H74" s="1699">
        <f t="shared" si="10"/>
        <v>45819</v>
      </c>
      <c r="I74" s="1699">
        <f t="shared" si="10"/>
        <v>69157</v>
      </c>
      <c r="J74" s="1699">
        <f t="shared" si="10"/>
        <v>8223</v>
      </c>
      <c r="K74" s="1699">
        <f t="shared" si="10"/>
        <v>10570882</v>
      </c>
      <c r="L74" s="1699">
        <f>SUM(L42,L47,L53,L57,L65,L72,L73)</f>
        <v>11330463</v>
      </c>
    </row>
    <row r="75" spans="1:14" s="259" customFormat="1" ht="15.75" customHeight="1" thickTop="1" thickBot="1" x14ac:dyDescent="0.25">
      <c r="A75" s="1632" t="s">
        <v>49</v>
      </c>
      <c r="B75" s="1633" t="s">
        <v>596</v>
      </c>
      <c r="C75" s="573">
        <v>78163</v>
      </c>
      <c r="D75" s="573">
        <v>19994</v>
      </c>
      <c r="E75" s="573">
        <v>57235</v>
      </c>
      <c r="F75" s="573">
        <v>57592</v>
      </c>
      <c r="G75" s="573"/>
      <c r="H75" s="573"/>
      <c r="I75" s="531"/>
      <c r="J75" s="531"/>
      <c r="K75" s="1692">
        <f>SUM(C75:J75)</f>
        <v>212984</v>
      </c>
      <c r="L75" s="576">
        <v>19203</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76507</v>
      </c>
      <c r="F79" s="617"/>
      <c r="G79" s="617"/>
      <c r="H79" s="466">
        <v>104505</v>
      </c>
      <c r="I79" s="477"/>
      <c r="J79" s="477"/>
      <c r="K79" s="1693">
        <f t="shared" si="11"/>
        <v>181012</v>
      </c>
      <c r="L79" s="466">
        <v>176386</v>
      </c>
    </row>
    <row r="80" spans="1:14" x14ac:dyDescent="0.2">
      <c r="A80" s="1526" t="s">
        <v>323</v>
      </c>
      <c r="B80" s="615">
        <v>4130</v>
      </c>
      <c r="C80" s="617"/>
      <c r="D80" s="617"/>
      <c r="E80" s="466"/>
      <c r="F80" s="617"/>
      <c r="G80" s="617"/>
      <c r="H80" s="466">
        <v>5606</v>
      </c>
      <c r="I80" s="477"/>
      <c r="J80" s="477"/>
      <c r="K80" s="1693">
        <f t="shared" si="11"/>
        <v>5606</v>
      </c>
      <c r="L80" s="466"/>
    </row>
    <row r="81" spans="1:12" x14ac:dyDescent="0.2">
      <c r="A81" s="1526" t="s">
        <v>721</v>
      </c>
      <c r="B81" s="615">
        <v>4140</v>
      </c>
      <c r="C81" s="617"/>
      <c r="D81" s="617"/>
      <c r="E81" s="466"/>
      <c r="F81" s="617"/>
      <c r="G81" s="617"/>
      <c r="H81" s="466">
        <v>261421</v>
      </c>
      <c r="I81" s="477"/>
      <c r="J81" s="477"/>
      <c r="K81" s="1693">
        <f t="shared" si="11"/>
        <v>261421</v>
      </c>
      <c r="L81" s="466">
        <v>401000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76507</v>
      </c>
      <c r="F84" s="617"/>
      <c r="G84" s="617"/>
      <c r="H84" s="1692">
        <f>SUM(H78:H83)</f>
        <v>371532</v>
      </c>
      <c r="I84" s="477"/>
      <c r="J84" s="477"/>
      <c r="K84" s="1692">
        <f>SUM(K78:K83)</f>
        <v>448039</v>
      </c>
      <c r="L84" s="1692">
        <f>SUM(L78:L83)</f>
        <v>577386</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76507</v>
      </c>
      <c r="F102" s="617"/>
      <c r="G102" s="617"/>
      <c r="H102" s="1699">
        <f>SUM(H84,H92,H100,H101)</f>
        <v>371532</v>
      </c>
      <c r="I102" s="477"/>
      <c r="J102" s="477"/>
      <c r="K102" s="1699">
        <f>SUM(K84,K92,K100,K101)</f>
        <v>448039</v>
      </c>
      <c r="L102" s="1699">
        <f>SUM(L84,L92,L100,L101)</f>
        <v>577386</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406541</v>
      </c>
      <c r="M113" s="614"/>
      <c r="N113" s="614"/>
    </row>
    <row r="114" spans="1:14" ht="12.75" customHeight="1" thickTop="1" thickBot="1" x14ac:dyDescent="0.25">
      <c r="A114" s="1690" t="s">
        <v>50</v>
      </c>
      <c r="B114" s="1704"/>
      <c r="C114" s="1692">
        <f>SUM(C33,C74,C75,C102,C112,C113)</f>
        <v>27225181</v>
      </c>
      <c r="D114" s="1692">
        <f t="shared" ref="D114:K114" si="13">SUM(D33,D74,D75,D102,D112,D113)</f>
        <v>3220884</v>
      </c>
      <c r="E114" s="1692">
        <f t="shared" si="13"/>
        <v>1436799</v>
      </c>
      <c r="F114" s="1692">
        <f t="shared" si="13"/>
        <v>1312461</v>
      </c>
      <c r="G114" s="1692">
        <f t="shared" si="13"/>
        <v>780983</v>
      </c>
      <c r="H114" s="1692">
        <f>SUM(H33,H74,H75,H102,H112,H113)</f>
        <v>1009365</v>
      </c>
      <c r="I114" s="1692">
        <f t="shared" si="13"/>
        <v>94147</v>
      </c>
      <c r="J114" s="1692">
        <f t="shared" si="13"/>
        <v>8223</v>
      </c>
      <c r="K114" s="1692">
        <f t="shared" si="13"/>
        <v>35088043</v>
      </c>
      <c r="L114" s="1692">
        <f>SUM(L33,L74,L75,L102,L112,L113)</f>
        <v>37008679</v>
      </c>
    </row>
    <row r="115" spans="1:14" ht="13.5" thickTop="1" x14ac:dyDescent="0.2">
      <c r="A115" s="2243" t="s">
        <v>1053</v>
      </c>
      <c r="B115" s="2244"/>
      <c r="C115" s="619"/>
      <c r="D115" s="619"/>
      <c r="E115" s="619"/>
      <c r="F115" s="619"/>
      <c r="G115" s="619"/>
      <c r="H115" s="619"/>
      <c r="I115" s="619"/>
      <c r="J115" s="619"/>
      <c r="K115" s="1706">
        <f>'Revenues 9-14'!C275-'Expenditures 15-22'!K114</f>
        <v>4284861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21" t="s">
        <v>314</v>
      </c>
      <c r="B117" s="2222"/>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v>31159</v>
      </c>
      <c r="D122" s="466">
        <v>5046</v>
      </c>
      <c r="E122" s="466"/>
      <c r="F122" s="466"/>
      <c r="G122" s="466"/>
      <c r="H122" s="466"/>
      <c r="I122" s="467"/>
      <c r="J122" s="467"/>
      <c r="K122" s="1692">
        <f>SUM(C122:J122)</f>
        <v>36205</v>
      </c>
      <c r="L122" s="466">
        <v>36204</v>
      </c>
    </row>
    <row r="123" spans="1:14" ht="14.25" thickTop="1" thickBot="1" x14ac:dyDescent="0.25">
      <c r="A123" s="1526" t="s">
        <v>4</v>
      </c>
      <c r="B123" s="615">
        <v>2530</v>
      </c>
      <c r="C123" s="466"/>
      <c r="D123" s="466"/>
      <c r="E123" s="466">
        <v>33015</v>
      </c>
      <c r="F123" s="466"/>
      <c r="G123" s="466"/>
      <c r="H123" s="466"/>
      <c r="I123" s="467"/>
      <c r="J123" s="467"/>
      <c r="K123" s="1692">
        <f>SUM(C123:J123)</f>
        <v>33015</v>
      </c>
      <c r="L123" s="466">
        <v>60000</v>
      </c>
    </row>
    <row r="124" spans="1:14" ht="14.25" thickTop="1" thickBot="1" x14ac:dyDescent="0.25">
      <c r="A124" s="1526" t="s">
        <v>206</v>
      </c>
      <c r="B124" s="615">
        <v>2540</v>
      </c>
      <c r="C124" s="466">
        <v>344514</v>
      </c>
      <c r="D124" s="466">
        <v>55169</v>
      </c>
      <c r="E124" s="466">
        <v>378516</v>
      </c>
      <c r="F124" s="466">
        <v>997504</v>
      </c>
      <c r="G124" s="466">
        <v>30047</v>
      </c>
      <c r="H124" s="466">
        <v>499</v>
      </c>
      <c r="I124" s="467">
        <v>6971</v>
      </c>
      <c r="J124" s="467"/>
      <c r="K124" s="1692">
        <f>SUM(C124:J124)</f>
        <v>1813220</v>
      </c>
      <c r="L124" s="466">
        <v>2347073</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375673</v>
      </c>
      <c r="D127" s="1692">
        <f t="shared" ref="D127:L127" si="14">SUM(D122:D126)</f>
        <v>60215</v>
      </c>
      <c r="E127" s="1692">
        <f t="shared" si="14"/>
        <v>411531</v>
      </c>
      <c r="F127" s="1692">
        <f t="shared" si="14"/>
        <v>997504</v>
      </c>
      <c r="G127" s="1692">
        <f t="shared" si="14"/>
        <v>30047</v>
      </c>
      <c r="H127" s="1692">
        <f t="shared" si="14"/>
        <v>499</v>
      </c>
      <c r="I127" s="1692">
        <f t="shared" si="14"/>
        <v>6971</v>
      </c>
      <c r="J127" s="1692">
        <f t="shared" si="14"/>
        <v>0</v>
      </c>
      <c r="K127" s="1692">
        <f t="shared" si="14"/>
        <v>1882440</v>
      </c>
      <c r="L127" s="1692">
        <f t="shared" si="14"/>
        <v>2443277</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375673</v>
      </c>
      <c r="D129" s="1699">
        <f t="shared" ref="D129:L129" si="15">SUM(D120,D127,D128)</f>
        <v>60215</v>
      </c>
      <c r="E129" s="1699">
        <f t="shared" si="15"/>
        <v>411531</v>
      </c>
      <c r="F129" s="1699">
        <f t="shared" si="15"/>
        <v>997504</v>
      </c>
      <c r="G129" s="1699">
        <f t="shared" si="15"/>
        <v>30047</v>
      </c>
      <c r="H129" s="1699">
        <f t="shared" si="15"/>
        <v>499</v>
      </c>
      <c r="I129" s="1699">
        <f t="shared" si="15"/>
        <v>6971</v>
      </c>
      <c r="J129" s="1699">
        <f t="shared" si="15"/>
        <v>0</v>
      </c>
      <c r="K129" s="1699">
        <f t="shared" si="15"/>
        <v>1882440</v>
      </c>
      <c r="L129" s="1699">
        <f t="shared" si="15"/>
        <v>2443277</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233" t="s">
        <v>641</v>
      </c>
      <c r="B151" s="2215"/>
      <c r="C151" s="1692">
        <f>SUM(C129,C130,C139,C149,C150)</f>
        <v>375673</v>
      </c>
      <c r="D151" s="1692">
        <f t="shared" ref="D151:K151" si="16">SUM(D129,D130,D139,D149,D150)</f>
        <v>60215</v>
      </c>
      <c r="E151" s="1692">
        <f t="shared" si="16"/>
        <v>411531</v>
      </c>
      <c r="F151" s="1692">
        <f t="shared" si="16"/>
        <v>997504</v>
      </c>
      <c r="G151" s="1692">
        <f t="shared" si="16"/>
        <v>30047</v>
      </c>
      <c r="H151" s="1692">
        <f t="shared" si="16"/>
        <v>499</v>
      </c>
      <c r="I151" s="1692">
        <f t="shared" si="16"/>
        <v>6971</v>
      </c>
      <c r="J151" s="1692">
        <f t="shared" si="16"/>
        <v>0</v>
      </c>
      <c r="K151" s="1692">
        <f t="shared" si="16"/>
        <v>1882440</v>
      </c>
      <c r="L151" s="1692">
        <f>SUM(L129,L130,L139,L149,L150)</f>
        <v>2443277</v>
      </c>
    </row>
    <row r="152" spans="1:14" ht="12.75" customHeight="1" thickTop="1" x14ac:dyDescent="0.2">
      <c r="A152" s="2236" t="s">
        <v>1240</v>
      </c>
      <c r="B152" s="2237"/>
      <c r="C152" s="619"/>
      <c r="D152" s="619"/>
      <c r="E152" s="619"/>
      <c r="F152" s="619"/>
      <c r="G152" s="619"/>
      <c r="H152" s="619"/>
      <c r="I152" s="619"/>
      <c r="J152" s="617"/>
      <c r="K152" s="1706">
        <f>'Revenues 9-14'!D275-'Expenditures 15-22'!K151</f>
        <v>316696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21" t="s">
        <v>642</v>
      </c>
      <c r="B154" s="2223"/>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1985295</v>
      </c>
      <c r="I169" s="617"/>
      <c r="J169" s="617"/>
      <c r="K169" s="1693">
        <f>SUM(C169:H169)</f>
        <v>1985295</v>
      </c>
      <c r="L169" s="657">
        <v>1985295</v>
      </c>
    </row>
    <row r="170" spans="1:14" ht="33.75" customHeight="1" x14ac:dyDescent="0.2">
      <c r="A170" s="670" t="s">
        <v>1769</v>
      </c>
      <c r="B170" s="672" t="s">
        <v>31</v>
      </c>
      <c r="C170" s="617"/>
      <c r="D170" s="617"/>
      <c r="E170" s="617"/>
      <c r="F170" s="617"/>
      <c r="G170" s="617"/>
      <c r="H170" s="569">
        <v>2571000</v>
      </c>
      <c r="I170" s="617"/>
      <c r="J170" s="617"/>
      <c r="K170" s="1693">
        <f>SUM(C170:J170)</f>
        <v>2571000</v>
      </c>
      <c r="L170" s="569">
        <v>2571000</v>
      </c>
    </row>
    <row r="171" spans="1:14" ht="15.75" customHeight="1" x14ac:dyDescent="0.2">
      <c r="A171" s="622" t="s">
        <v>790</v>
      </c>
      <c r="B171" s="673" t="s">
        <v>86</v>
      </c>
      <c r="C171" s="617"/>
      <c r="D171" s="617"/>
      <c r="E171" s="466"/>
      <c r="F171" s="617"/>
      <c r="G171" s="617"/>
      <c r="H171" s="569">
        <v>3286</v>
      </c>
      <c r="I171" s="477"/>
      <c r="J171" s="617"/>
      <c r="K171" s="1693">
        <f>SUM(C171:J171)</f>
        <v>3286</v>
      </c>
      <c r="L171" s="569">
        <v>25000</v>
      </c>
    </row>
    <row r="172" spans="1:14" ht="12.75" customHeight="1" thickBot="1" x14ac:dyDescent="0.25">
      <c r="A172" s="1690" t="s">
        <v>659</v>
      </c>
      <c r="B172" s="1691" t="s">
        <v>513</v>
      </c>
      <c r="C172" s="617"/>
      <c r="D172" s="617"/>
      <c r="E172" s="1699">
        <f>SUM(E168,E169,E170,E171)</f>
        <v>0</v>
      </c>
      <c r="F172" s="617"/>
      <c r="G172" s="617"/>
      <c r="H172" s="1699">
        <f>SUM(H168,H169,H170,H171)</f>
        <v>4559581</v>
      </c>
      <c r="I172" s="639"/>
      <c r="J172" s="617"/>
      <c r="K172" s="1699">
        <f>SUM(K168,K169,K170,K171)</f>
        <v>4559581</v>
      </c>
      <c r="L172" s="1699">
        <f>SUM(L168,L169,L170,L171)</f>
        <v>4581295</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4559581</v>
      </c>
      <c r="I174" s="639"/>
      <c r="J174" s="617"/>
      <c r="K174" s="1699">
        <f>SUM(K160,K172,K173)</f>
        <v>4559581</v>
      </c>
      <c r="L174" s="1699">
        <f>SUM(L160,L172,L173)</f>
        <v>4581295</v>
      </c>
    </row>
    <row r="175" spans="1:14" ht="13.5" thickTop="1" x14ac:dyDescent="0.2">
      <c r="A175" s="2243" t="s">
        <v>1053</v>
      </c>
      <c r="B175" s="2244"/>
      <c r="C175" s="617"/>
      <c r="D175" s="617"/>
      <c r="E175" s="617"/>
      <c r="F175" s="617"/>
      <c r="G175" s="617"/>
      <c r="H175" s="619"/>
      <c r="I175" s="617"/>
      <c r="J175" s="617"/>
      <c r="K175" s="1706">
        <f>'Revenues 9-14'!E275-'Expenditures 15-22'!K174</f>
        <v>20758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102524</v>
      </c>
      <c r="D182" s="466">
        <v>10986</v>
      </c>
      <c r="E182" s="466">
        <v>1801706</v>
      </c>
      <c r="F182" s="466">
        <v>20958</v>
      </c>
      <c r="G182" s="466"/>
      <c r="H182" s="466"/>
      <c r="I182" s="467"/>
      <c r="J182" s="467"/>
      <c r="K182" s="1693">
        <f>SUM(C182:J182)</f>
        <v>1936174</v>
      </c>
      <c r="L182" s="466">
        <v>1934674</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102524</v>
      </c>
      <c r="D184" s="1699">
        <f t="shared" ref="D184:J184" si="17">SUM(D180,D182,D183)</f>
        <v>10986</v>
      </c>
      <c r="E184" s="1699">
        <f t="shared" si="17"/>
        <v>1801706</v>
      </c>
      <c r="F184" s="1699">
        <f t="shared" si="17"/>
        <v>20958</v>
      </c>
      <c r="G184" s="1699">
        <f t="shared" si="17"/>
        <v>0</v>
      </c>
      <c r="H184" s="1699">
        <f t="shared" si="17"/>
        <v>0</v>
      </c>
      <c r="I184" s="1699">
        <f t="shared" si="17"/>
        <v>0</v>
      </c>
      <c r="J184" s="1699">
        <f t="shared" si="17"/>
        <v>0</v>
      </c>
      <c r="K184" s="1699">
        <f>SUM(K180,K182,K183)</f>
        <v>1936174</v>
      </c>
      <c r="L184" s="1699">
        <f>SUM(L180, L182:L183)</f>
        <v>1934674</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102524</v>
      </c>
      <c r="D210" s="1692">
        <f>SUM(D184,D185)</f>
        <v>10986</v>
      </c>
      <c r="E210" s="1692">
        <f>SUM(E184,E185,E196)</f>
        <v>1801706</v>
      </c>
      <c r="F210" s="1692">
        <f>SUM(F184,F185)</f>
        <v>20958</v>
      </c>
      <c r="G210" s="1692">
        <f>SUM(G184,G185)</f>
        <v>0</v>
      </c>
      <c r="H210" s="1692">
        <f>SUM(H184,H185,H196,H208,H209)</f>
        <v>0</v>
      </c>
      <c r="I210" s="1692">
        <f>SUM(I184,I185)</f>
        <v>0</v>
      </c>
      <c r="J210" s="1692">
        <f>SUM(J184,J185)</f>
        <v>0</v>
      </c>
      <c r="K210" s="1693">
        <f>SUM(K184,K185,K196,K208,K209)</f>
        <v>1936174</v>
      </c>
      <c r="L210" s="1692">
        <f>SUM(L184,L185,L196,L208,L209)</f>
        <v>1934674</v>
      </c>
    </row>
    <row r="211" spans="1:14" ht="13.5" thickTop="1" x14ac:dyDescent="0.2">
      <c r="A211" s="2243" t="s">
        <v>1053</v>
      </c>
      <c r="B211" s="2244"/>
      <c r="C211" s="619"/>
      <c r="D211" s="619"/>
      <c r="E211" s="619"/>
      <c r="F211" s="619"/>
      <c r="G211" s="619"/>
      <c r="H211" s="619"/>
      <c r="I211" s="617"/>
      <c r="J211" s="617"/>
      <c r="K211" s="1706">
        <f>'Revenues 9-14'!F275-'Expenditures 15-22'!K210</f>
        <v>1710574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38" t="s">
        <v>1022</v>
      </c>
      <c r="B213" s="2239"/>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201132</v>
      </c>
      <c r="E215" s="617"/>
      <c r="F215" s="617"/>
      <c r="G215" s="617"/>
      <c r="H215" s="617"/>
      <c r="I215" s="617"/>
      <c r="J215" s="617"/>
      <c r="K215" s="1693">
        <f>D215</f>
        <v>201132</v>
      </c>
      <c r="L215" s="466">
        <v>250576</v>
      </c>
    </row>
    <row r="216" spans="1:14" x14ac:dyDescent="0.2">
      <c r="A216" s="1526" t="s">
        <v>165</v>
      </c>
      <c r="B216" s="615" t="s">
        <v>1024</v>
      </c>
      <c r="C216" s="617"/>
      <c r="D216" s="467">
        <v>5111</v>
      </c>
      <c r="E216" s="617"/>
      <c r="F216" s="617"/>
      <c r="G216" s="617"/>
      <c r="H216" s="617"/>
      <c r="I216" s="617"/>
      <c r="J216" s="617"/>
      <c r="K216" s="1693">
        <f t="shared" ref="K216:K228" si="19">D216</f>
        <v>5111</v>
      </c>
      <c r="L216" s="466">
        <v>88012</v>
      </c>
    </row>
    <row r="217" spans="1:14" x14ac:dyDescent="0.2">
      <c r="A217" s="1526" t="s">
        <v>166</v>
      </c>
      <c r="B217" s="615">
        <v>1200</v>
      </c>
      <c r="C217" s="617"/>
      <c r="D217" s="466">
        <v>262214</v>
      </c>
      <c r="E217" s="617"/>
      <c r="F217" s="617"/>
      <c r="G217" s="617"/>
      <c r="H217" s="617"/>
      <c r="I217" s="617"/>
      <c r="J217" s="617"/>
      <c r="K217" s="1693">
        <f t="shared" si="19"/>
        <v>262214</v>
      </c>
      <c r="L217" s="466">
        <v>255313</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123</v>
      </c>
      <c r="E219" s="617"/>
      <c r="F219" s="617"/>
      <c r="G219" s="617"/>
      <c r="H219" s="617"/>
      <c r="I219" s="617"/>
      <c r="J219" s="617"/>
      <c r="K219" s="1693">
        <f t="shared" si="19"/>
        <v>123</v>
      </c>
      <c r="L219" s="466">
        <v>873</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7651</v>
      </c>
      <c r="E222" s="617"/>
      <c r="F222" s="617"/>
      <c r="G222" s="617"/>
      <c r="H222" s="617"/>
      <c r="I222" s="617"/>
      <c r="J222" s="617"/>
      <c r="K222" s="1693">
        <f t="shared" si="19"/>
        <v>7651</v>
      </c>
      <c r="L222" s="466">
        <v>12211</v>
      </c>
    </row>
    <row r="223" spans="1:14" x14ac:dyDescent="0.2">
      <c r="A223" s="1526" t="s">
        <v>1020</v>
      </c>
      <c r="B223" s="615">
        <v>1500</v>
      </c>
      <c r="C223" s="617"/>
      <c r="D223" s="466">
        <v>21032</v>
      </c>
      <c r="E223" s="617"/>
      <c r="F223" s="617"/>
      <c r="G223" s="617"/>
      <c r="H223" s="617"/>
      <c r="I223" s="617"/>
      <c r="J223" s="617"/>
      <c r="K223" s="1693">
        <f t="shared" si="19"/>
        <v>21032</v>
      </c>
      <c r="L223" s="466">
        <v>18250</v>
      </c>
    </row>
    <row r="224" spans="1:14" x14ac:dyDescent="0.2">
      <c r="A224" s="1526" t="s">
        <v>1021</v>
      </c>
      <c r="B224" s="615">
        <v>1600</v>
      </c>
      <c r="C224" s="617"/>
      <c r="D224" s="466">
        <v>214</v>
      </c>
      <c r="E224" s="617"/>
      <c r="F224" s="617"/>
      <c r="G224" s="617"/>
      <c r="H224" s="617"/>
      <c r="I224" s="617"/>
      <c r="J224" s="617"/>
      <c r="K224" s="1693">
        <f t="shared" si="19"/>
        <v>214</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v>7820</v>
      </c>
      <c r="E227" s="617"/>
      <c r="F227" s="617"/>
      <c r="G227" s="617"/>
      <c r="H227" s="617"/>
      <c r="I227" s="617"/>
      <c r="J227" s="617"/>
      <c r="K227" s="1693">
        <f t="shared" si="19"/>
        <v>7820</v>
      </c>
      <c r="L227" s="466">
        <v>14616</v>
      </c>
    </row>
    <row r="228" spans="1:12" x14ac:dyDescent="0.2">
      <c r="A228" s="1526" t="s">
        <v>1149</v>
      </c>
      <c r="B228" s="615">
        <v>1900</v>
      </c>
      <c r="C228" s="617"/>
      <c r="D228" s="466">
        <v>8712</v>
      </c>
      <c r="E228" s="617"/>
      <c r="F228" s="617"/>
      <c r="G228" s="617"/>
      <c r="H228" s="617"/>
      <c r="I228" s="617"/>
      <c r="J228" s="617"/>
      <c r="K228" s="1693">
        <f t="shared" si="19"/>
        <v>8712</v>
      </c>
      <c r="L228" s="466">
        <v>7887</v>
      </c>
    </row>
    <row r="229" spans="1:12" ht="12.75" customHeight="1" thickBot="1" x14ac:dyDescent="0.25">
      <c r="A229" s="1690" t="s">
        <v>739</v>
      </c>
      <c r="B229" s="1697" t="s">
        <v>591</v>
      </c>
      <c r="C229" s="617"/>
      <c r="D229" s="1692">
        <f>SUM(D215:D228)</f>
        <v>514009</v>
      </c>
      <c r="E229" s="617"/>
      <c r="F229" s="617"/>
      <c r="G229" s="617"/>
      <c r="H229" s="617"/>
      <c r="I229" s="617"/>
      <c r="J229" s="617"/>
      <c r="K229" s="1692">
        <f>SUM(K215:K228)</f>
        <v>514009</v>
      </c>
      <c r="L229" s="1692">
        <f>SUM(L215:L228)</f>
        <v>647738</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5157</v>
      </c>
      <c r="E232" s="617"/>
      <c r="F232" s="617"/>
      <c r="G232" s="617"/>
      <c r="H232" s="617"/>
      <c r="I232" s="617"/>
      <c r="J232" s="617"/>
      <c r="K232" s="1693">
        <f t="shared" ref="K232:K237" si="20">D232</f>
        <v>5157</v>
      </c>
      <c r="L232" s="466">
        <v>16299</v>
      </c>
    </row>
    <row r="233" spans="1:12" x14ac:dyDescent="0.2">
      <c r="A233" s="1526" t="s">
        <v>1151</v>
      </c>
      <c r="B233" s="615">
        <v>2120</v>
      </c>
      <c r="C233" s="617"/>
      <c r="D233" s="466">
        <v>4530</v>
      </c>
      <c r="E233" s="617"/>
      <c r="F233" s="617"/>
      <c r="G233" s="617"/>
      <c r="H233" s="617"/>
      <c r="I233" s="617"/>
      <c r="J233" s="617"/>
      <c r="K233" s="1693">
        <f t="shared" si="20"/>
        <v>4530</v>
      </c>
      <c r="L233" s="466">
        <v>9279</v>
      </c>
    </row>
    <row r="234" spans="1:12" x14ac:dyDescent="0.2">
      <c r="A234" s="1526" t="s">
        <v>207</v>
      </c>
      <c r="B234" s="615">
        <v>2130</v>
      </c>
      <c r="C234" s="617"/>
      <c r="D234" s="466">
        <v>1541</v>
      </c>
      <c r="E234" s="617"/>
      <c r="F234" s="617"/>
      <c r="G234" s="617"/>
      <c r="H234" s="617"/>
      <c r="I234" s="617"/>
      <c r="J234" s="617"/>
      <c r="K234" s="1693">
        <f t="shared" si="20"/>
        <v>1541</v>
      </c>
      <c r="L234" s="466">
        <v>11685</v>
      </c>
    </row>
    <row r="235" spans="1:12" x14ac:dyDescent="0.2">
      <c r="A235" s="1526" t="s">
        <v>208</v>
      </c>
      <c r="B235" s="615">
        <v>2140</v>
      </c>
      <c r="C235" s="617"/>
      <c r="D235" s="466">
        <v>2731</v>
      </c>
      <c r="E235" s="617"/>
      <c r="F235" s="617"/>
      <c r="G235" s="617"/>
      <c r="H235" s="617"/>
      <c r="I235" s="617"/>
      <c r="J235" s="617"/>
      <c r="K235" s="1693">
        <f t="shared" si="20"/>
        <v>2731</v>
      </c>
      <c r="L235" s="466">
        <v>2764</v>
      </c>
    </row>
    <row r="236" spans="1:12" x14ac:dyDescent="0.2">
      <c r="A236" s="1526" t="s">
        <v>209</v>
      </c>
      <c r="B236" s="615">
        <v>2150</v>
      </c>
      <c r="C236" s="617"/>
      <c r="D236" s="466">
        <v>3673</v>
      </c>
      <c r="E236" s="617"/>
      <c r="F236" s="617"/>
      <c r="G236" s="617"/>
      <c r="H236" s="617"/>
      <c r="I236" s="617"/>
      <c r="J236" s="617"/>
      <c r="K236" s="1693">
        <f t="shared" si="20"/>
        <v>3673</v>
      </c>
      <c r="L236" s="466">
        <v>6848</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17632</v>
      </c>
      <c r="E238" s="617"/>
      <c r="F238" s="617"/>
      <c r="G238" s="617"/>
      <c r="H238" s="617"/>
      <c r="I238" s="617"/>
      <c r="J238" s="617"/>
      <c r="K238" s="1692">
        <f>SUM(K232:K237)</f>
        <v>17632</v>
      </c>
      <c r="L238" s="1692">
        <f>SUM(L232:L237)</f>
        <v>46875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1925</v>
      </c>
      <c r="E240" s="617"/>
      <c r="F240" s="617"/>
      <c r="G240" s="617"/>
      <c r="H240" s="617"/>
      <c r="I240" s="617"/>
      <c r="J240" s="617"/>
      <c r="K240" s="1694">
        <f>D240</f>
        <v>1925</v>
      </c>
      <c r="L240" s="481">
        <v>5101</v>
      </c>
    </row>
    <row r="241" spans="1:12" x14ac:dyDescent="0.2">
      <c r="A241" s="1526" t="s">
        <v>869</v>
      </c>
      <c r="B241" s="615">
        <v>2220</v>
      </c>
      <c r="C241" s="617"/>
      <c r="D241" s="466">
        <v>21006</v>
      </c>
      <c r="E241" s="617"/>
      <c r="F241" s="617"/>
      <c r="G241" s="617"/>
      <c r="H241" s="617"/>
      <c r="I241" s="617"/>
      <c r="J241" s="617"/>
      <c r="K241" s="1694">
        <f>D241</f>
        <v>21006</v>
      </c>
      <c r="L241" s="466">
        <v>18257</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22931</v>
      </c>
      <c r="E243" s="617"/>
      <c r="F243" s="617"/>
      <c r="G243" s="617"/>
      <c r="H243" s="617"/>
      <c r="I243" s="617"/>
      <c r="J243" s="617"/>
      <c r="K243" s="1692">
        <f>SUM(K240:K242)</f>
        <v>22931</v>
      </c>
      <c r="L243" s="1692">
        <f>SUM(L240:L242)</f>
        <v>23358</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1746</v>
      </c>
      <c r="E245" s="617"/>
      <c r="F245" s="617"/>
      <c r="G245" s="617"/>
      <c r="H245" s="617"/>
      <c r="I245" s="617"/>
      <c r="J245" s="617"/>
      <c r="K245" s="1694">
        <f>D245</f>
        <v>1746</v>
      </c>
      <c r="L245" s="481">
        <v>1503</v>
      </c>
    </row>
    <row r="246" spans="1:12" x14ac:dyDescent="0.2">
      <c r="A246" s="1526" t="s">
        <v>872</v>
      </c>
      <c r="B246" s="615">
        <v>2320</v>
      </c>
      <c r="C246" s="617"/>
      <c r="D246" s="466">
        <v>21137</v>
      </c>
      <c r="E246" s="617"/>
      <c r="F246" s="617"/>
      <c r="G246" s="617"/>
      <c r="H246" s="617"/>
      <c r="I246" s="617"/>
      <c r="J246" s="617"/>
      <c r="K246" s="1694">
        <f t="shared" ref="K246:K256" si="21">D246</f>
        <v>21137</v>
      </c>
      <c r="L246" s="466">
        <v>20141</v>
      </c>
    </row>
    <row r="247" spans="1:12" x14ac:dyDescent="0.2">
      <c r="A247" s="1526" t="s">
        <v>873</v>
      </c>
      <c r="B247" s="615">
        <v>2330</v>
      </c>
      <c r="C247" s="617"/>
      <c r="D247" s="466">
        <v>6471</v>
      </c>
      <c r="E247" s="617"/>
      <c r="F247" s="617"/>
      <c r="G247" s="617"/>
      <c r="H247" s="617"/>
      <c r="I247" s="617"/>
      <c r="J247" s="617"/>
      <c r="K247" s="1694">
        <f t="shared" si="21"/>
        <v>6471</v>
      </c>
      <c r="L247" s="466">
        <v>7999</v>
      </c>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47167</v>
      </c>
      <c r="E254" s="617"/>
      <c r="F254" s="617"/>
      <c r="G254" s="617"/>
      <c r="H254" s="617"/>
      <c r="I254" s="617"/>
      <c r="J254" s="617"/>
      <c r="K254" s="1694">
        <f t="shared" si="21"/>
        <v>47167</v>
      </c>
      <c r="L254" s="466">
        <v>49332</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76521</v>
      </c>
      <c r="E257" s="617"/>
      <c r="F257" s="617"/>
      <c r="G257" s="617"/>
      <c r="H257" s="617"/>
      <c r="I257" s="617"/>
      <c r="J257" s="617"/>
      <c r="K257" s="1692">
        <f>SUM(K245:K256)</f>
        <v>76521</v>
      </c>
      <c r="L257" s="1692">
        <f>SUM(L245:L256)</f>
        <v>78975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112376</v>
      </c>
      <c r="E259" s="617"/>
      <c r="F259" s="617"/>
      <c r="G259" s="617"/>
      <c r="H259" s="617"/>
      <c r="I259" s="617"/>
      <c r="J259" s="617"/>
      <c r="K259" s="1694">
        <f>D259</f>
        <v>112376</v>
      </c>
      <c r="L259" s="481">
        <v>127480</v>
      </c>
    </row>
    <row r="260" spans="1:14" s="598" customFormat="1" x14ac:dyDescent="0.2">
      <c r="A260" s="1544" t="s">
        <v>1904</v>
      </c>
      <c r="B260" s="629">
        <v>2490</v>
      </c>
      <c r="C260" s="617"/>
      <c r="D260" s="466">
        <v>2354</v>
      </c>
      <c r="E260" s="617"/>
      <c r="F260" s="617"/>
      <c r="G260" s="617"/>
      <c r="H260" s="617"/>
      <c r="I260" s="617"/>
      <c r="J260" s="617"/>
      <c r="K260" s="1694">
        <f>D260</f>
        <v>2354</v>
      </c>
      <c r="L260" s="466">
        <v>3968</v>
      </c>
      <c r="M260" s="210"/>
      <c r="N260" s="210"/>
    </row>
    <row r="261" spans="1:14" ht="12.75" customHeight="1" thickBot="1" x14ac:dyDescent="0.25">
      <c r="A261" s="1714" t="s">
        <v>281</v>
      </c>
      <c r="B261" s="1719" t="s">
        <v>34</v>
      </c>
      <c r="C261" s="617"/>
      <c r="D261" s="1692">
        <f>SUM(D259:D260)</f>
        <v>114730</v>
      </c>
      <c r="E261" s="617"/>
      <c r="F261" s="617"/>
      <c r="G261" s="617"/>
      <c r="H261" s="617"/>
      <c r="I261" s="617"/>
      <c r="J261" s="617"/>
      <c r="K261" s="1692">
        <f>SUM(K259:K260)</f>
        <v>114730</v>
      </c>
      <c r="L261" s="1692">
        <f>SUM(L259:L260)</f>
        <v>131448</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1057</v>
      </c>
      <c r="E263" s="617"/>
      <c r="F263" s="617"/>
      <c r="G263" s="617"/>
      <c r="H263" s="617"/>
      <c r="I263" s="617"/>
      <c r="J263" s="617"/>
      <c r="K263" s="1694">
        <f>D263</f>
        <v>1057</v>
      </c>
      <c r="L263" s="481">
        <v>1799</v>
      </c>
    </row>
    <row r="264" spans="1:14" x14ac:dyDescent="0.2">
      <c r="A264" s="1526" t="s">
        <v>483</v>
      </c>
      <c r="B264" s="686">
        <v>2520</v>
      </c>
      <c r="C264" s="617"/>
      <c r="D264" s="466">
        <v>73110</v>
      </c>
      <c r="E264" s="617"/>
      <c r="F264" s="617"/>
      <c r="G264" s="617"/>
      <c r="H264" s="617"/>
      <c r="I264" s="617"/>
      <c r="J264" s="617"/>
      <c r="K264" s="1694">
        <f t="shared" ref="K264:K269" si="22">D264</f>
        <v>73110</v>
      </c>
      <c r="L264" s="466">
        <v>77416</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233254</v>
      </c>
      <c r="E266" s="617"/>
      <c r="F266" s="617"/>
      <c r="G266" s="617"/>
      <c r="H266" s="617"/>
      <c r="I266" s="617"/>
      <c r="J266" s="617"/>
      <c r="K266" s="1694">
        <f t="shared" si="22"/>
        <v>233254</v>
      </c>
      <c r="L266" s="466">
        <v>241106</v>
      </c>
    </row>
    <row r="267" spans="1:14" x14ac:dyDescent="0.2">
      <c r="A267" s="1526" t="s">
        <v>1010</v>
      </c>
      <c r="B267" s="615">
        <v>2550</v>
      </c>
      <c r="C267" s="617"/>
      <c r="D267" s="466">
        <v>19542</v>
      </c>
      <c r="E267" s="617"/>
      <c r="F267" s="617"/>
      <c r="G267" s="617"/>
      <c r="H267" s="617"/>
      <c r="I267" s="617"/>
      <c r="J267" s="617"/>
      <c r="K267" s="1694">
        <f t="shared" si="22"/>
        <v>19542</v>
      </c>
      <c r="L267" s="466">
        <v>26094</v>
      </c>
    </row>
    <row r="268" spans="1:14" x14ac:dyDescent="0.2">
      <c r="A268" s="1526" t="s">
        <v>102</v>
      </c>
      <c r="B268" s="615">
        <v>2560</v>
      </c>
      <c r="C268" s="617"/>
      <c r="D268" s="466">
        <v>413</v>
      </c>
      <c r="E268" s="617"/>
      <c r="F268" s="617"/>
      <c r="G268" s="617"/>
      <c r="H268" s="617"/>
      <c r="I268" s="617"/>
      <c r="J268" s="617"/>
      <c r="K268" s="1694">
        <f t="shared" si="22"/>
        <v>413</v>
      </c>
      <c r="L268" s="466">
        <v>18376</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327376</v>
      </c>
      <c r="E270" s="617"/>
      <c r="F270" s="617"/>
      <c r="G270" s="617"/>
      <c r="H270" s="617"/>
      <c r="I270" s="617"/>
      <c r="J270" s="617"/>
      <c r="K270" s="1692">
        <f>SUM(K263:K269)</f>
        <v>327376</v>
      </c>
      <c r="L270" s="1692">
        <f>SUM(L263:L269)</f>
        <v>364791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v>48</v>
      </c>
      <c r="E275" s="617"/>
      <c r="F275" s="617"/>
      <c r="G275" s="617"/>
      <c r="H275" s="617"/>
      <c r="I275" s="617"/>
      <c r="J275" s="617"/>
      <c r="K275" s="1694">
        <f>D275</f>
        <v>48</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48</v>
      </c>
      <c r="E277" s="617"/>
      <c r="F277" s="617"/>
      <c r="G277" s="617"/>
      <c r="H277" s="617"/>
      <c r="I277" s="617"/>
      <c r="J277" s="617"/>
      <c r="K277" s="1692">
        <f>SUM(K272:K276)</f>
        <v>48</v>
      </c>
      <c r="L277" s="1692">
        <f>SUM(L272:L276)</f>
        <v>0</v>
      </c>
    </row>
    <row r="278" spans="1:12" ht="13.5" customHeight="1" thickTop="1" x14ac:dyDescent="0.2">
      <c r="A278" s="1532" t="s">
        <v>1037</v>
      </c>
      <c r="B278" s="656" t="s">
        <v>595</v>
      </c>
      <c r="C278" s="617"/>
      <c r="D278" s="657">
        <v>26876</v>
      </c>
      <c r="E278" s="617"/>
      <c r="F278" s="617"/>
      <c r="G278" s="617"/>
      <c r="H278" s="617"/>
      <c r="I278" s="617"/>
      <c r="J278" s="617"/>
      <c r="K278" s="1707">
        <f>D278</f>
        <v>26876</v>
      </c>
      <c r="L278" s="657">
        <v>27127</v>
      </c>
    </row>
    <row r="279" spans="1:12" ht="12.75" customHeight="1" thickBot="1" x14ac:dyDescent="0.25">
      <c r="A279" s="1720" t="s">
        <v>865</v>
      </c>
      <c r="B279" s="1703">
        <v>2000</v>
      </c>
      <c r="C279" s="617"/>
      <c r="D279" s="1699">
        <f>SUM(D238,D243,D257,D261,D270,D277,D278)</f>
        <v>586114</v>
      </c>
      <c r="E279" s="617"/>
      <c r="F279" s="617"/>
      <c r="G279" s="617"/>
      <c r="H279" s="617"/>
      <c r="I279" s="617"/>
      <c r="J279" s="617"/>
      <c r="K279" s="1699">
        <f>SUM(K238,K243,K257,K261,K270,K277,K278)</f>
        <v>586114</v>
      </c>
      <c r="L279" s="1699">
        <f>SUM(L238,L243,L257,L261,L270,L277,L278)</f>
        <v>672574</v>
      </c>
    </row>
    <row r="280" spans="1:12" ht="15.75" customHeight="1" thickTop="1" thickBot="1" x14ac:dyDescent="0.25">
      <c r="A280" s="1646" t="s">
        <v>930</v>
      </c>
      <c r="B280" s="1635">
        <v>3000</v>
      </c>
      <c r="C280" s="617"/>
      <c r="D280" s="576">
        <v>887</v>
      </c>
      <c r="E280" s="617"/>
      <c r="F280" s="617"/>
      <c r="G280" s="617"/>
      <c r="H280" s="617"/>
      <c r="I280" s="617"/>
      <c r="J280" s="617"/>
      <c r="K280" s="1701">
        <f>D280</f>
        <v>887</v>
      </c>
      <c r="L280" s="576">
        <v>3497</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234" t="s">
        <v>526</v>
      </c>
      <c r="B295" s="2235"/>
      <c r="C295" s="617"/>
      <c r="D295" s="1692">
        <f>SUM(D229,D279,D280,D285)</f>
        <v>1101010</v>
      </c>
      <c r="E295" s="617"/>
      <c r="F295" s="617"/>
      <c r="G295" s="617"/>
      <c r="H295" s="1692">
        <f>H293</f>
        <v>0</v>
      </c>
      <c r="I295" s="617"/>
      <c r="J295" s="617"/>
      <c r="K295" s="1692">
        <f>SUM(K229,K279,K280,K285,K293,K294)</f>
        <v>1101010</v>
      </c>
      <c r="L295" s="1692">
        <f>SUM(L229,L279,L280,L285,L293,L294)</f>
        <v>1323809</v>
      </c>
    </row>
    <row r="296" spans="1:14" ht="13.5" thickTop="1" x14ac:dyDescent="0.2">
      <c r="A296" s="2243" t="s">
        <v>1053</v>
      </c>
      <c r="B296" s="2244"/>
      <c r="C296" s="617"/>
      <c r="D296" s="619"/>
      <c r="E296" s="617"/>
      <c r="F296" s="617"/>
      <c r="G296" s="617"/>
      <c r="H296" s="688"/>
      <c r="I296" s="617"/>
      <c r="J296" s="617"/>
      <c r="K296" s="1706">
        <f>'Revenues 9-14'!G275-'Expenditures 15-22'!K295</f>
        <v>94303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26" t="s">
        <v>145</v>
      </c>
      <c r="B298" s="2220"/>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765</v>
      </c>
      <c r="F301" s="466"/>
      <c r="G301" s="466">
        <v>755672</v>
      </c>
      <c r="H301" s="466"/>
      <c r="I301" s="467"/>
      <c r="J301" s="467"/>
      <c r="K301" s="1693">
        <f>SUM(C301:J301)</f>
        <v>756437</v>
      </c>
      <c r="L301" s="467">
        <v>750000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765</v>
      </c>
      <c r="F303" s="1699">
        <f t="shared" si="23"/>
        <v>0</v>
      </c>
      <c r="G303" s="1699">
        <f t="shared" si="23"/>
        <v>755672</v>
      </c>
      <c r="H303" s="1699">
        <f t="shared" si="23"/>
        <v>0</v>
      </c>
      <c r="I303" s="1699">
        <f t="shared" si="23"/>
        <v>0</v>
      </c>
      <c r="J303" s="1699">
        <f t="shared" si="23"/>
        <v>0</v>
      </c>
      <c r="K303" s="1699">
        <f t="shared" si="23"/>
        <v>756437</v>
      </c>
      <c r="L303" s="1699">
        <f t="shared" si="23"/>
        <v>750000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231" t="s">
        <v>295</v>
      </c>
      <c r="B312" s="2232"/>
      <c r="C312" s="1692">
        <f>SUM(C303)</f>
        <v>0</v>
      </c>
      <c r="D312" s="1692">
        <f>SUM(D303)</f>
        <v>0</v>
      </c>
      <c r="E312" s="1692">
        <f>SUM(E303,E310)</f>
        <v>765</v>
      </c>
      <c r="F312" s="1692">
        <f>SUM(F303)</f>
        <v>0</v>
      </c>
      <c r="G312" s="1692">
        <f>SUM(G303)</f>
        <v>755672</v>
      </c>
      <c r="H312" s="1692">
        <f>SUM(H303,H310)</f>
        <v>0</v>
      </c>
      <c r="I312" s="1692">
        <f>SUM(I303)</f>
        <v>0</v>
      </c>
      <c r="J312" s="1692">
        <f>SUM(J303)</f>
        <v>0</v>
      </c>
      <c r="K312" s="1692">
        <f>SUM(K303,K310,K311)</f>
        <v>756437</v>
      </c>
      <c r="L312" s="1692">
        <f>SUM(L303,L310,L311)</f>
        <v>750000</v>
      </c>
      <c r="M312" s="666"/>
      <c r="N312" s="666"/>
    </row>
    <row r="313" spans="1:14" ht="13.5" thickTop="1" x14ac:dyDescent="0.2">
      <c r="A313" s="2227" t="s">
        <v>1053</v>
      </c>
      <c r="B313" s="2228"/>
      <c r="C313" s="627"/>
      <c r="D313" s="627"/>
      <c r="E313" s="627"/>
      <c r="F313" s="627"/>
      <c r="G313" s="627"/>
      <c r="H313" s="627"/>
      <c r="I313" s="627"/>
      <c r="J313" s="627"/>
      <c r="K313" s="1707">
        <f>'Revenues 9-14'!H275-'Expenditures 15-22'!K312</f>
        <v>-86855</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40" t="s">
        <v>151</v>
      </c>
      <c r="B315" s="2241"/>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42" t="s">
        <v>954</v>
      </c>
      <c r="B317" s="2241"/>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v>312724</v>
      </c>
      <c r="F320" s="467"/>
      <c r="G320" s="467"/>
      <c r="H320" s="467"/>
      <c r="I320" s="467"/>
      <c r="J320" s="467"/>
      <c r="K320" s="1693">
        <f t="shared" ref="K320:K327" si="24">SUM(C320:J320)</f>
        <v>312724</v>
      </c>
      <c r="L320" s="467">
        <v>320514</v>
      </c>
      <c r="M320" s="666"/>
      <c r="N320" s="666"/>
    </row>
    <row r="321" spans="1:14" s="675" customFormat="1" x14ac:dyDescent="0.2">
      <c r="A321" s="1541" t="s">
        <v>318</v>
      </c>
      <c r="B321" s="698" t="s">
        <v>301</v>
      </c>
      <c r="C321" s="467"/>
      <c r="D321" s="467"/>
      <c r="E321" s="467">
        <v>24929</v>
      </c>
      <c r="F321" s="467"/>
      <c r="G321" s="467"/>
      <c r="H321" s="467"/>
      <c r="I321" s="467"/>
      <c r="J321" s="467"/>
      <c r="K321" s="1693">
        <f t="shared" si="24"/>
        <v>24929</v>
      </c>
      <c r="L321" s="467"/>
      <c r="M321" s="666"/>
      <c r="N321" s="666"/>
    </row>
    <row r="322" spans="1:14" s="675" customFormat="1" x14ac:dyDescent="0.2">
      <c r="A322" s="1541" t="s">
        <v>256</v>
      </c>
      <c r="B322" s="698" t="s">
        <v>302</v>
      </c>
      <c r="C322" s="467"/>
      <c r="D322" s="467"/>
      <c r="E322" s="467">
        <v>149917</v>
      </c>
      <c r="F322" s="467"/>
      <c r="G322" s="467"/>
      <c r="H322" s="467"/>
      <c r="I322" s="467"/>
      <c r="J322" s="467"/>
      <c r="K322" s="1693">
        <f t="shared" si="24"/>
        <v>149917</v>
      </c>
      <c r="L322" s="467">
        <v>190484</v>
      </c>
      <c r="M322" s="666"/>
      <c r="N322" s="666"/>
    </row>
    <row r="323" spans="1:14" s="675" customFormat="1" x14ac:dyDescent="0.2">
      <c r="A323" s="1541" t="s">
        <v>726</v>
      </c>
      <c r="B323" s="698" t="s">
        <v>303</v>
      </c>
      <c r="C323" s="467"/>
      <c r="D323" s="467"/>
      <c r="E323" s="467">
        <v>44884</v>
      </c>
      <c r="F323" s="467"/>
      <c r="G323" s="467"/>
      <c r="H323" s="467"/>
      <c r="I323" s="467"/>
      <c r="J323" s="467"/>
      <c r="K323" s="1693">
        <f t="shared" si="24"/>
        <v>44884</v>
      </c>
      <c r="L323" s="467">
        <v>69700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335178</v>
      </c>
      <c r="D325" s="467">
        <v>33216</v>
      </c>
      <c r="E325" s="467">
        <v>46274</v>
      </c>
      <c r="F325" s="467"/>
      <c r="G325" s="467"/>
      <c r="H325" s="467"/>
      <c r="I325" s="467"/>
      <c r="J325" s="467"/>
      <c r="K325" s="1693">
        <f t="shared" si="24"/>
        <v>414668</v>
      </c>
      <c r="L325" s="467">
        <v>438196</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110462</v>
      </c>
      <c r="F327" s="467"/>
      <c r="G327" s="467"/>
      <c r="H327" s="467"/>
      <c r="I327" s="467"/>
      <c r="J327" s="467"/>
      <c r="K327" s="1693">
        <f t="shared" si="24"/>
        <v>110462</v>
      </c>
      <c r="L327" s="467">
        <v>183000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335178</v>
      </c>
      <c r="D330" s="1692">
        <f t="shared" ref="D330:J330" si="25">SUM(D319:D329)</f>
        <v>33216</v>
      </c>
      <c r="E330" s="1692">
        <f t="shared" si="25"/>
        <v>689190</v>
      </c>
      <c r="F330" s="1692">
        <f t="shared" si="25"/>
        <v>0</v>
      </c>
      <c r="G330" s="1692">
        <f t="shared" si="25"/>
        <v>0</v>
      </c>
      <c r="H330" s="1692">
        <f t="shared" si="25"/>
        <v>0</v>
      </c>
      <c r="I330" s="1692">
        <f t="shared" si="25"/>
        <v>0</v>
      </c>
      <c r="J330" s="1692">
        <f t="shared" si="25"/>
        <v>0</v>
      </c>
      <c r="K330" s="1692">
        <f>SUM(K319:K329)</f>
        <v>1057584</v>
      </c>
      <c r="L330" s="1692">
        <f>SUM(L319:L329)</f>
        <v>1201894</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335178</v>
      </c>
      <c r="D342" s="1692">
        <f>SUM(D330)</f>
        <v>33216</v>
      </c>
      <c r="E342" s="1692">
        <f>SUM(E330)</f>
        <v>689190</v>
      </c>
      <c r="F342" s="1692">
        <f>SUM(F330)</f>
        <v>0</v>
      </c>
      <c r="G342" s="1692">
        <f>SUM(G330)</f>
        <v>0</v>
      </c>
      <c r="H342" s="1692">
        <f>SUM(H330,H334,H340)</f>
        <v>0</v>
      </c>
      <c r="I342" s="1692">
        <f>SUM(I330)</f>
        <v>0</v>
      </c>
      <c r="J342" s="1692">
        <f>SUM(J330)</f>
        <v>0</v>
      </c>
      <c r="K342" s="1692">
        <f>SUM(K330,K334,K340)</f>
        <v>1057584</v>
      </c>
      <c r="L342" s="1699">
        <f>SUM(L330,L340,L341)</f>
        <v>1201894</v>
      </c>
    </row>
    <row r="343" spans="1:14" ht="12.75" customHeight="1" thickTop="1" x14ac:dyDescent="0.2">
      <c r="A343" s="2229" t="s">
        <v>1053</v>
      </c>
      <c r="B343" s="2230"/>
      <c r="C343" s="617"/>
      <c r="D343" s="617"/>
      <c r="E343" s="617"/>
      <c r="F343" s="617"/>
      <c r="G343" s="617"/>
      <c r="H343" s="617"/>
      <c r="I343" s="617"/>
      <c r="J343" s="617"/>
      <c r="K343" s="1706">
        <f>'Revenues 9-14'!J275-'Expenditures 15-22'!K342</f>
        <v>628550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19" t="s">
        <v>1023</v>
      </c>
      <c r="B345" s="2220"/>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11634</v>
      </c>
      <c r="H348" s="466"/>
      <c r="I348" s="467"/>
      <c r="J348" s="467"/>
      <c r="K348" s="1693">
        <f>SUM(C348:J348)</f>
        <v>11634</v>
      </c>
      <c r="L348" s="466">
        <v>150000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11634</v>
      </c>
      <c r="H350" s="1692">
        <f t="shared" si="26"/>
        <v>0</v>
      </c>
      <c r="I350" s="1692">
        <f t="shared" si="26"/>
        <v>0</v>
      </c>
      <c r="J350" s="1692">
        <f t="shared" si="26"/>
        <v>0</v>
      </c>
      <c r="K350" s="1692">
        <f t="shared" si="26"/>
        <v>11634</v>
      </c>
      <c r="L350" s="1692">
        <f t="shared" si="26"/>
        <v>150000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11634</v>
      </c>
      <c r="H352" s="1692">
        <f t="shared" si="27"/>
        <v>0</v>
      </c>
      <c r="I352" s="1692">
        <f t="shared" si="27"/>
        <v>0</v>
      </c>
      <c r="J352" s="1692">
        <f t="shared" si="27"/>
        <v>0</v>
      </c>
      <c r="K352" s="1692">
        <f t="shared" si="27"/>
        <v>11634</v>
      </c>
      <c r="L352" s="1692">
        <f t="shared" si="27"/>
        <v>150000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11634</v>
      </c>
      <c r="H367" s="1692">
        <f t="shared" si="28"/>
        <v>0</v>
      </c>
      <c r="I367" s="1692">
        <f t="shared" si="28"/>
        <v>0</v>
      </c>
      <c r="J367" s="1692">
        <f t="shared" si="28"/>
        <v>0</v>
      </c>
      <c r="K367" s="1692">
        <f t="shared" si="28"/>
        <v>11634</v>
      </c>
      <c r="L367" s="1692">
        <f t="shared" si="28"/>
        <v>150000</v>
      </c>
    </row>
    <row r="368" spans="1:14" ht="13.5" thickTop="1" x14ac:dyDescent="0.2">
      <c r="A368" s="2243" t="s">
        <v>1053</v>
      </c>
      <c r="B368" s="2244"/>
      <c r="C368" s="655"/>
      <c r="D368" s="655"/>
      <c r="E368" s="627"/>
      <c r="F368" s="627"/>
      <c r="G368" s="627"/>
      <c r="H368" s="627"/>
      <c r="I368" s="627"/>
      <c r="J368" s="624"/>
      <c r="K368" s="1693">
        <f>'Revenues 9-14'!K275-'Expenditures 15-22'!K367</f>
        <v>445202</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notes are an intergral part of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openxmlformats.org/package/2006/metadata/core-properties"/>
    <ds:schemaRef ds:uri="http://schemas.microsoft.com/office/2006/documentManagement/types"/>
    <ds:schemaRef ds:uri="http://www.w3.org/XML/1998/namespace"/>
    <ds:schemaRef ds:uri="d21dc803-237d-4c68-8692-8d731fd29118"/>
    <ds:schemaRef ds:uri="4d435f69-8686-490b-bd6d-b153bf22ab50"/>
    <ds:schemaRef ds:uri="http://schemas.microsoft.com/office/infopath/2007/PartnerControls"/>
    <ds:schemaRef ds:uri="6ce3111e-7420-4802-b50a-75d4e9a0b980"/>
    <ds:schemaRef ds:uri="http://schemas.microsoft.com/sharepoint/v3"/>
    <ds:schemaRef ds:uri="http://purl.org/dc/elements/1.1/"/>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2018-10-20T18:56:58Z</cp:lastPrinted>
  <dcterms:created xsi:type="dcterms:W3CDTF">2003-10-29T19:06:34Z</dcterms:created>
  <dcterms:modified xsi:type="dcterms:W3CDTF">2018-10-30T16:11:42Z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