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2 (3)" sheetId="184" r:id="rId33"/>
    <sheet name="SF&amp;QC Sec-2 (4)" sheetId="185" r:id="rId34"/>
    <sheet name="SF&amp;QC Sec-3" sheetId="176" r:id="rId35"/>
    <sheet name="SSPAF" sheetId="177" r:id="rId36"/>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B4" i="185" l="1"/>
  <c r="B4" i="184"/>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9" l="1"/>
  <c r="B2" i="185"/>
  <c r="B2" i="183"/>
  <c r="B2" i="184"/>
  <c r="B1" i="184"/>
  <c r="B1" i="185"/>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726" i="106" s="1"/>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B2805" i="106" s="1"/>
  <c r="D2805" i="106" s="1"/>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B7088" i="106" s="1"/>
  <c r="D7088" i="106" s="1"/>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s="1"/>
  <c r="B5111" i="106"/>
  <c r="D5111" i="106" s="1"/>
  <c r="B5113" i="106"/>
  <c r="D5113" i="106" s="1"/>
  <c r="B5114" i="106"/>
  <c r="D5114" i="106" s="1"/>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D26" i="108"/>
  <c r="E26" i="108"/>
  <c r="F26" i="108"/>
  <c r="G26" i="108"/>
  <c r="D27" i="108"/>
  <c r="E27" i="108"/>
  <c r="F27" i="108"/>
  <c r="G27" i="108"/>
  <c r="E28"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11" i="37"/>
  <c r="D22" i="37"/>
  <c r="J22" i="37"/>
  <c r="L22" i="37"/>
  <c r="D24" i="37"/>
  <c r="B4270" i="106" s="1"/>
  <c r="D4270" i="106" s="1"/>
  <c r="L5" i="11"/>
  <c r="B2056" i="106" s="1"/>
  <c r="D2056" i="106" s="1"/>
  <c r="D5" i="7"/>
  <c r="B1761" i="106" s="1"/>
  <c r="D1761" i="106" s="1"/>
  <c r="D9" i="7"/>
  <c r="B1767" i="106" s="1"/>
  <c r="D1767" i="106" s="1"/>
  <c r="F136" i="34"/>
  <c r="F131" i="34"/>
  <c r="F130" i="34"/>
  <c r="F128" i="34"/>
  <c r="F127" i="34"/>
  <c r="B5847" i="106"/>
  <c r="D5847" i="106" s="1"/>
  <c r="B5752" i="106"/>
  <c r="D5752" i="106" s="1"/>
  <c r="B5599" i="106"/>
  <c r="D5599" i="106" s="1"/>
  <c r="K274" i="5"/>
  <c r="H173" i="5"/>
  <c r="B5906" i="106" s="1"/>
  <c r="D5906" i="106" s="1"/>
  <c r="H109" i="5"/>
  <c r="B6025" i="106" s="1"/>
  <c r="D6025" i="106" s="1"/>
  <c r="F106" i="34"/>
  <c r="D7" i="7"/>
  <c r="B1763" i="106" s="1"/>
  <c r="D1763" i="106" s="1"/>
  <c r="H4" i="4"/>
  <c r="B2655" i="106"/>
  <c r="D2655"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B7235" i="106"/>
  <c r="D7235" i="106" s="1"/>
  <c r="H6" i="4"/>
  <c r="B2656" i="106" s="1"/>
  <c r="D2656" i="106" s="1"/>
  <c r="L367" i="29"/>
  <c r="B6191" i="106"/>
  <c r="D6191" i="106" s="1"/>
  <c r="J41" i="3"/>
  <c r="B3647" i="106"/>
  <c r="D3647" i="106" s="1"/>
  <c r="G352" i="29"/>
  <c r="B3619" i="106"/>
  <c r="D3619" i="106" s="1"/>
  <c r="C352" i="29"/>
  <c r="F21" i="8"/>
  <c r="B3565" i="106"/>
  <c r="D3565" i="106" s="1"/>
  <c r="K41" i="3"/>
  <c r="K285" i="29"/>
  <c r="F73" i="34" s="1"/>
  <c r="B3723" i="106"/>
  <c r="D3723" i="106" s="1"/>
  <c r="B2724" i="106"/>
  <c r="D2724" i="106" s="1"/>
  <c r="K24" i="12"/>
  <c r="B7733" i="106" s="1"/>
  <c r="D7733" i="106" s="1"/>
  <c r="K26" i="12"/>
  <c r="B7743" i="106" s="1"/>
  <c r="D7743" i="106" s="1"/>
  <c r="D69" i="36"/>
  <c r="G15" i="4"/>
  <c r="B6032" i="106" s="1"/>
  <c r="D6032" i="106" s="1"/>
  <c r="K352" i="29"/>
  <c r="K13" i="4" s="1"/>
  <c r="B3572" i="106" s="1"/>
  <c r="D3572" i="106" s="1"/>
  <c r="G29" i="108"/>
  <c r="E29" i="108"/>
  <c r="F65" i="34"/>
  <c r="K184" i="29"/>
  <c r="F13" i="4" s="1"/>
  <c r="B2596" i="106" s="1"/>
  <c r="D2596" i="106" s="1"/>
  <c r="F111" i="34"/>
  <c r="B1329" i="106"/>
  <c r="D1329" i="106" s="1"/>
  <c r="F61" i="34"/>
  <c r="E109" i="5"/>
  <c r="E4" i="4" s="1"/>
  <c r="B2630" i="106" s="1"/>
  <c r="D2630" i="106" s="1"/>
  <c r="F28" i="108"/>
  <c r="C129" i="29"/>
  <c r="D109" i="5"/>
  <c r="B5356" i="106" s="1"/>
  <c r="D5356" i="106" s="1"/>
  <c r="B5334" i="106"/>
  <c r="D5334" i="106" s="1"/>
  <c r="G30" i="108"/>
  <c r="E30" i="108"/>
  <c r="C172" i="5"/>
  <c r="B5214" i="106" s="1"/>
  <c r="D5214" i="106" s="1"/>
  <c r="B5096" i="106"/>
  <c r="D5096" i="106" s="1"/>
  <c r="D13" i="7"/>
  <c r="B3726" i="106" s="1"/>
  <c r="D3726" i="106" s="1"/>
  <c r="C109" i="5"/>
  <c r="B5121" i="106" s="1"/>
  <c r="D5121" i="106" s="1"/>
  <c r="D4" i="7"/>
  <c r="B1760" i="106" s="1"/>
  <c r="D1760" i="106" s="1"/>
  <c r="B1410" i="106"/>
  <c r="D1410" i="106" s="1"/>
  <c r="G4" i="4"/>
  <c r="B2603" i="106" s="1"/>
  <c r="D2603" i="106" s="1"/>
  <c r="L15" i="11"/>
  <c r="B3459" i="106" s="1"/>
  <c r="D3459" i="106" s="1"/>
  <c r="L13" i="11"/>
  <c r="B2060" i="106" s="1"/>
  <c r="D2060" i="106" s="1"/>
  <c r="F19" i="7"/>
  <c r="B1807" i="106" s="1"/>
  <c r="D1807" i="106" s="1"/>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B3621" i="106" l="1"/>
  <c r="D3621" i="106" s="1"/>
  <c r="C367" i="29"/>
  <c r="B3622" i="106" s="1"/>
  <c r="D3622" i="106" s="1"/>
  <c r="B3649" i="106"/>
  <c r="D3649" i="106" s="1"/>
  <c r="G367" i="29"/>
  <c r="B3650" i="106" s="1"/>
  <c r="D3650" i="106" s="1"/>
  <c r="H367" i="29"/>
  <c r="B3660" i="106" s="1"/>
  <c r="D3660" i="106" s="1"/>
  <c r="B3568" i="106"/>
  <c r="D3568" i="106" s="1"/>
  <c r="D52" i="36"/>
  <c r="B1879" i="106"/>
  <c r="D1879" i="106" s="1"/>
  <c r="H22" i="37"/>
  <c r="K342" i="29"/>
  <c r="F13" i="34" s="1"/>
  <c r="B1381" i="106"/>
  <c r="D1381" i="106" s="1"/>
  <c r="F275" i="5"/>
  <c r="B5720" i="106" s="1"/>
  <c r="D5720" i="106" s="1"/>
  <c r="B1317" i="106"/>
  <c r="D1317" i="106" s="1"/>
  <c r="B5527" i="106"/>
  <c r="D5527" i="106" s="1"/>
  <c r="D4" i="4"/>
  <c r="B2564" i="106" s="1"/>
  <c r="D2564" i="106" s="1"/>
  <c r="C114" i="29"/>
  <c r="B757" i="106" s="1"/>
  <c r="D757" i="106" s="1"/>
  <c r="C173" i="5"/>
  <c r="B5223" i="106" s="1"/>
  <c r="D5223" i="106" s="1"/>
  <c r="C4" i="4"/>
  <c r="B2551" i="106" s="1"/>
  <c r="D2551" i="106" s="1"/>
  <c r="L16" i="11"/>
  <c r="B2061" i="106" s="1"/>
  <c r="D206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6222" i="106"/>
  <c r="D6222" i="106" s="1"/>
  <c r="B2658" i="106"/>
  <c r="D2658" i="106" s="1"/>
  <c r="H10" i="4"/>
  <c r="B4127" i="106" s="1"/>
  <c r="D4127" i="106" s="1"/>
  <c r="D7" i="4"/>
  <c r="D275" i="5"/>
  <c r="B5507" i="106"/>
  <c r="D5507" i="106" s="1"/>
  <c r="B7298" i="106"/>
  <c r="B7299" i="106"/>
  <c r="J17" i="4" l="1"/>
  <c r="J19" i="4" s="1"/>
  <c r="B6229" i="106" s="1"/>
  <c r="D6229" i="106" s="1"/>
  <c r="J8" i="4"/>
  <c r="G41" i="108"/>
  <c r="G44" i="108" s="1"/>
  <c r="G45" i="108" s="1"/>
  <c r="E41" i="108"/>
  <c r="E44" i="108" s="1"/>
  <c r="E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6227" i="106" l="1"/>
  <c r="D62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<sst xmlns="http://schemas.openxmlformats.org/spreadsheetml/2006/main" count="5187" uniqueCount="2175">
  <si>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</si>
  <si>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</si>
  <si>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</si>
  <si>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</si>
  <si>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</si>
  <si>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</si>
  <si>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</si>
  <si>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</si>
  <si>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</si>
  <si>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</si>
  <si>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</si>
  <si>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</si>
  <si>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</si>
  <si>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</si>
  <si>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</si>
  <si>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</si>
  <si>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</si>
  <si>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</si>
  <si>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</si>
  <si>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</si>
  <si>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</si>
  <si>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</si>
  <si>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</si>
  <si>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</si>
  <si>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</si>
  <si>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</si>
  <si>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</si>
  <si>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</si>
  <si>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</si>
  <si>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</si>
  <si>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</si>
  <si>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</si>
  <si>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</si>
  <si>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</si>
  <si>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</si>
  <si>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</si>
  <si>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</si>
  <si>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</si>
  <si>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</si>
  <si>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</si>
  <si>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</si>
  <si>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</si>
  <si>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</si>
  <si>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</si>
  <si>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</si>
  <si>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</si>
  <si>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</si>
  <si>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</si>
  <si>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</si>
  <si>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</si>
  <si>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</si>
  <si>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</si>
  <si>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</si>
  <si>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</si>
  <si>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</si>
  <si>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</si>
  <si>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</si>
  <si>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</si>
  <si>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</si>
  <si>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</si>
  <si>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</si>
  <si>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</si>
  <si>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</si>
  <si>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</si>
  <si>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</si>
  <si>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</si>
  <si>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</si>
  <si>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</si>
  <si>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</si>
  <si>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</si>
  <si>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</si>
  <si>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</si>
  <si>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</si>
  <si>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</si>
  <si>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</si>
  <si>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</si>
  <si>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</si>
  <si>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</si>
  <si>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</si>
  <si>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</si>
  <si>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</si>
  <si>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</si>
  <si>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</si>
  <si>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</si>
  <si>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</si>
  <si>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</si>
  <si>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</si>
  <si>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</si>
  <si>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</si>
  <si>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</si>
  <si>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</si>
  <si>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</si>
  <si>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</si>
  <si>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</si>
  <si>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</si>
  <si>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</si>
  <si>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</si>
  <si>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</si>
  <si>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</si>
  <si>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</si>
  <si>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</si>
  <si>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</si>
  <si>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</si>
  <si>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</si>
  <si>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</si>
  <si>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</si>
  <si>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</si>
  <si>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</si>
  <si>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</si>
  <si>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</si>
  <si>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</si>
  <si>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</si>
  <si>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</si>
  <si>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</si>
  <si>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</si>
  <si>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</si>
  <si>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</si>
  <si>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</si>
  <si>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</si>
  <si>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</si>
  <si>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</si>
  <si>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</si>
  <si>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</si>
  <si>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</si>
  <si>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</si>
  <si>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</si>
  <si>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</si>
  <si>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</si>
  <si>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</si>
  <si>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</si>
  <si>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</si>
  <si>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</si>
  <si>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</si>
  <si>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</si>
  <si>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</si>
  <si>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</si>
  <si>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</si>
  <si>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</si>
  <si>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</si>
  <si>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</si>
  <si>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</si>
  <si>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</si>
  <si>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</si>
  <si>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</si>
  <si>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</si>
  <si>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</si>
  <si>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</si>
  <si>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</si>
  <si>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</si>
  <si>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</si>
  <si>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</si>
  <si>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</si>
  <si>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</si>
  <si>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</si>
  <si>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</si>
  <si>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</si>
  <si>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</si>
  <si>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</si>
  <si>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</si>
  <si>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</si>
  <si>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</si>
  <si>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</si>
  <si>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</si>
  <si>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</si>
  <si>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</si>
  <si>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</si>
  <si>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</si>
  <si>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</si>
  <si>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</si>
  <si>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</si>
  <si>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</si>
  <si>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</si>
  <si>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</si>
  <si>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</si>
  <si>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</si>
  <si>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</si>
  <si>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</si>
  <si>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</si>
  <si>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</si>
  <si>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</si>
  <si>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</si>
  <si>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</si>
  <si>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</si>
  <si>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</si>
  <si>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</si>
  <si>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</si>
  <si>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</si>
  <si>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</si>
  <si>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</si>
  <si>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</si>
  <si>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</si>
  <si>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</si>
  <si>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</si>
  <si>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</si>
  <si>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</si>
  <si>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</si>
  <si>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</si>
  <si>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</si>
  <si>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</si>
  <si>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</si>
  <si>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</si>
  <si>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</si>
  <si>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</si>
  <si>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</si>
  <si>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</si>
  <si>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</si>
  <si>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</si>
  <si>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</si>
  <si>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</si>
  <si>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</si>
  <si>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</si>
  <si>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</si>
  <si>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</si>
  <si>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</si>
  <si>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</si>
  <si>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</si>
  <si>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</si>
  <si>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</si>
  <si>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</si>
  <si>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</si>
  <si>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</si>
  <si>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</si>
  <si>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</si>
  <si>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</si>
  <si>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</si>
  <si>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</si>
  <si>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</si>
  <si>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</si>
  <si>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</si>
  <si>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</si>
  <si>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</si>
  <si>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</si>
  <si>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</si>
  <si>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</si>
  <si>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</si>
  <si>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</si>
  <si>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</si>
  <si>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</si>
  <si>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</si>
  <si>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</si>
  <si>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</si>
  <si>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</si>
  <si>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</si>
  <si>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</si>
  <si>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</si>
  <si>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</si>
  <si>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</si>
  <si>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</si>
  <si>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</si>
  <si>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</si>
  <si>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</si>
  <si>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</si>
  <si>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</si>
  <si>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</si>
  <si>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</si>
  <si>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</si>
  <si>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</si>
  <si>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</si>
  <si>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</si>
  <si>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</si>
  <si>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</si>
  <si>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</si>
  <si>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</si>
  <si>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</si>
  <si>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</si>
  <si>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</si>
  <si>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</si>
  <si>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</si>
  <si>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</si>
  <si>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</si>
  <si>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</si>
  <si>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</si>
  <si>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</si>
  <si>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</si>
  <si>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</si>
  <si>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</si>
  <si>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</si>
  <si>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</si>
  <si>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</si>
  <si>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</si>
  <si>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</si>
  <si>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</si>
  <si>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</si>
  <si>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</si>
  <si>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</si>
  <si>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</si>
  <si>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</si>
  <si>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</si>
  <si>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</si>
  <si>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</si>
  <si>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</si>
  <si>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</si>
  <si>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</si>
  <si>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</si>
  <si>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</si>
  <si>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</si>
  <si>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</si>
  <si>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</si>
  <si>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</si>
  <si>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</si>
  <si>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</si>
  <si>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</si>
  <si>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</si>
  <si>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</si>
  <si>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</si>
  <si>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</si>
  <si>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</si>
  <si>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</si>
  <si>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</si>
  <si>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</si>
  <si>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</si>
  <si>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</si>
  <si>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</si>
  <si>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</si>
  <si>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</si>
  <si>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</si>
  <si>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</si>
  <si>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</si>
  <si>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</si>
  <si>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</si>
  <si>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</si>
  <si>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</si>
  <si>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</si>
  <si>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</si>
  <si>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</si>
  <si>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</si>
  <si>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</si>
  <si>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</si>
  <si>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</si>
  <si>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</si>
  <si>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</si>
  <si>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</si>
  <si>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</si>
  <si>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</si>
  <si>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</si>
  <si>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</si>
  <si>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</si>
  <si>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</si>
  <si>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</si>
  <si>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</si>
  <si>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</si>
  <si>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</si>
  <si>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</si>
  <si>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</si>
  <si>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</si>
  <si>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</si>
  <si>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</si>
  <si>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</si>
  <si>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</si>
  <si>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</si>
  <si>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</si>
  <si>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</si>
  <si>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</si>
  <si>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</si>
  <si>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</si>
  <si>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</si>
  <si>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</si>
  <si>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</si>
  <si>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</si>
  <si>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</si>
  <si>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</si>
  <si>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</si>
  <si>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</si>
  <si>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</si>
  <si>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</si>
  <si>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</si>
  <si>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</si>
  <si>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</si>
  <si>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</si>
  <si>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</si>
  <si>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</si>
  <si>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</si>
  <si>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</si>
  <si>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</si>
  <si>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</si>
  <si>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</si>
  <si>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</si>
  <si>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</si>
  <si>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</si>
  <si>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</si>
  <si>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</si>
  <si>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</si>
  <si>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</si>
  <si>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</si>
  <si>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</si>
  <si>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</si>
  <si>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</si>
  <si>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</si>
  <si>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</si>
  <si>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</si>
  <si>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</si>
  <si>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</si>
  <si>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</si>
  <si>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</si>
  <si>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</si>
  <si>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</si>
  <si>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</si>
  <si>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</si>
  <si>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</si>
  <si>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</si>
  <si>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</si>
  <si>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</si>
  <si>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</si>
  <si>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</si>
  <si>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</si>
  <si>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</si>
  <si>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</si>
  <si>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</si>
  <si>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</si>
  <si>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</si>
  <si>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</si>
  <si>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</si>
  <si>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</si>
  <si>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</si>
  <si>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</si>
  <si>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</si>
  <si>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</si>
  <si>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</si>
  <si>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</si>
  <si>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</si>
  <si>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</si>
  <si>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</si>
  <si>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</si>
  <si>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</si>
  <si>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</si>
  <si>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</si>
  <si>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</si>
  <si>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</si>
  <si>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</si>
  <si>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</si>
  <si>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</si>
  <si>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</si>
  <si>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</si>
  <si>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</si>
  <si>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</si>
  <si>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</si>
  <si>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</si>
  <si>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</si>
  <si>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</si>
  <si>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</si>
  <si>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</si>
  <si>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</si>
  <si>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</si>
  <si>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</si>
  <si>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</si>
  <si>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</si>
  <si>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</si>
  <si>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</si>
  <si>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</si>
  <si>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</si>
  <si>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</si>
  <si>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</si>
  <si>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</si>
  <si>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</si>
  <si>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</si>
  <si>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</si>
  <si>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</si>
  <si>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</si>
  <si>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</si>
  <si>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</si>
  <si>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</si>
  <si>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</si>
  <si>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</si>
  <si>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</si>
  <si>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</si>
  <si>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</si>
  <si>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</si>
  <si>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</si>
  <si>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</si>
  <si>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</si>
  <si>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</si>
  <si>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</si>
  <si>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</si>
  <si>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</si>
  <si>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</si>
  <si>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</si>
  <si>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</si>
  <si>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</si>
  <si>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</si>
  <si>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</si>
  <si>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</si>
  <si>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</si>
  <si>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</si>
  <si>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</si>
  <si>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</si>
  <si>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</si>
  <si>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</si>
  <si>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</si>
  <si>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</si>
  <si>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</si>
  <si>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</si>
  <si>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</si>
  <si>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</si>
  <si>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</si>
  <si>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</si>
  <si>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</si>
  <si>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</si>
  <si>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</si>
  <si>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</si>
  <si>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</si>
  <si>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</si>
  <si>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</si>
  <si>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</si>
  <si>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</si>
  <si>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</si>
  <si>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</si>
  <si>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</si>
  <si>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</si>
  <si>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</si>
  <si>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</si>
  <si>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</si>
  <si>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</si>
  <si>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</si>
  <si>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</si>
  <si>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</si>
  <si>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</si>
  <si>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</si>
  <si>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</si>
  <si>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</si>
  <si>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</si>
  <si>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</si>
  <si>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</si>
  <si>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</si>
  <si>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</si>
  <si>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</si>
  <si>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</si>
  <si>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</si>
  <si>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</si>
  <si>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</si>
  <si>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</si>
  <si>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</si>
  <si>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</si>
  <si>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</si>
  <si>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</si>
  <si>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</si>
  <si>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</si>
  <si>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</si>
  <si>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</si>
  <si>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</si>
  <si>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</si>
  <si>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</si>
  <si>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</si>
  <si>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</si>
  <si>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</si>
  <si>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</si>
  <si>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</si>
  <si>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</si>
  <si>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</si>
  <si>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</si>
  <si>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</si>
  <si>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</si>
  <si>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</si>
  <si>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</si>
  <si>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</si>
  <si>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</si>
  <si>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</si>
  <si>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</si>
  <si>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</si>
  <si>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</si>
  <si>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</si>
  <si>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</si>
  <si>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</si>
  <si>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</si>
  <si>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</si>
  <si>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</si>
  <si>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</si>
  <si>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</si>
  <si>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</si>
  <si>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</si>
  <si>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</si>
  <si>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</si>
  <si>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</si>
  <si>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</si>
  <si>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</si>
  <si>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</si>
  <si>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</si>
  <si>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</si>
  <si>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</si>
  <si>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</si>
  <si>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</si>
  <si>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</si>
  <si>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</si>
  <si>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</si>
  <si>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</si>
  <si>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</si>
  <si>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</si>
  <si>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</si>
  <si>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</si>
  <si>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</si>
  <si>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</si>
  <si>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</si>
  <si>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</si>
  <si>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</si>
  <si>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</si>
  <si>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</si>
  <si>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</si>
  <si>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</si>
  <si>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</si>
  <si>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</si>
  <si>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</si>
  <si>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</si>
  <si>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</si>
  <si>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</si>
  <si>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</si>
  <si>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</si>
  <si>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</si>
  <si>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</si>
  <si>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</si>
  <si>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</si>
  <si>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</si>
  <si>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</si>
  <si>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</si>
  <si>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</si>
  <si>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</si>
  <si>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</si>
  <si>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</si>
  <si>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</si>
  <si>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</si>
  <si>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</si>
  <si>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</si>
  <si>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</si>
  <si>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</si>
  <si>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</si>
  <si>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</si>
  <si>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</si>
  <si>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</si>
  <si>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</si>
  <si>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</si>
  <si>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</si>
  <si>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</si>
  <si>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</si>
  <si>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</si>
  <si>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</si>
  <si>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</si>
  <si>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</si>
  <si>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</si>
  <si>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</si>
  <si>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</si>
  <si>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</si>
  <si>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</si>
  <si>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</si>
  <si>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</si>
  <si>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</si>
  <si>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</si>
  <si>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</si>
  <si>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</si>
  <si>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</si>
  <si>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</si>
  <si>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</si>
  <si>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</si>
  <si>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</si>
  <si>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</si>
  <si>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</si>
  <si>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</si>
  <si>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</si>
  <si>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</si>
  <si>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</si>
  <si>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</si>
  <si>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</si>
  <si>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</si>
  <si>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</si>
  <si>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</si>
  <si>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</si>
  <si>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</si>
  <si>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</si>
  <si>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</si>
  <si>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</si>
  <si>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</si>
  <si>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</si>
  <si>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</si>
  <si>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</si>
  <si>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</si>
  <si>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</si>
  <si>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</si>
  <si>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</si>
  <si>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</si>
  <si>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</si>
  <si>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</si>
  <si>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</si>
  <si>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</si>
  <si>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</si>
  <si>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</si>
  <si>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</si>
  <si>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</si>
  <si>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</si>
  <si>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</si>
  <si>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</si>
  <si>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</si>
  <si>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</si>
  <si>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</si>
  <si>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</si>
  <si>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</si>
  <si>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</si>
  <si>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</si>
  <si>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</si>
  <si>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</si>
  <si>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</si>
  <si>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</si>
  <si>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</si>
  <si>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</si>
  <si>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</si>
  <si>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</si>
  <si>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</si>
  <si>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</si>
  <si>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</si>
  <si>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</si>
  <si>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</si>
  <si>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</si>
  <si>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</si>
  <si>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</si>
  <si>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</si>
  <si>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</si>
  <si>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</si>
  <si>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</si>
  <si>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</si>
  <si>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</si>
  <si>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</si>
  <si>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</si>
  <si>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</si>
  <si>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</si>
  <si>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</si>
  <si>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</si>
  <si>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</si>
  <si>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</si>
  <si>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</si>
  <si>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</si>
  <si>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</si>
  <si>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</si>
  <si>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</si>
  <si>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</si>
  <si>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</si>
  <si>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</si>
  <si>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</si>
  <si>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</si>
  <si>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</si>
  <si>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</si>
  <si>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</si>
  <si>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</si>
  <si>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</si>
  <si>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</si>
  <si>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</si>
  <si>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</si>
  <si>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</si>
  <si>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</si>
  <si>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</si>
  <si>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</si>
  <si>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</si>
  <si>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</si>
  <si>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</si>
  <si>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</si>
  <si>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</si>
  <si>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</si>
  <si>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</si>
  <si>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</si>
  <si>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</si>
  <si>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</si>
  <si>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</si>
  <si>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</si>
  <si>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</si>
  <si>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</si>
  <si>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</si>
  <si>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</si>
  <si>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</si>
  <si>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</si>
  <si>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</si>
  <si>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</si>
  <si>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</si>
  <si>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</si>
  <si>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</si>
  <si>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</si>
  <si>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</si>
  <si>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</si>
  <si>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</si>
  <si>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</si>
  <si>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</si>
  <si>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</si>
  <si>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</si>
  <si>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</si>
  <si>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</si>
  <si>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</si>
  <si>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</si>
  <si>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</si>
  <si>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</si>
  <si>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</si>
  <si>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</si>
  <si>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</si>
  <si>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</si>
  <si>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</si>
  <si>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</si>
  <si>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</si>
  <si>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</si>
  <si>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</si>
  <si>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</si>
  <si>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</si>
  <si>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</si>
  <si>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</si>
  <si>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</si>
  <si>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</si>
  <si>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</si>
  <si>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</si>
  <si>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</si>
  <si>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</si>
  <si>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</si>
  <si>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</si>
  <si>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</si>
  <si>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</si>
  <si>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</si>
  <si>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</si>
  <si>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</si>
  <si>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</si>
  <si>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</si>
  <si>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</si>
  <si>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</si>
  <si>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</si>
  <si>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</si>
  <si>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</si>
  <si>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</si>
  <si>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</si>
  <si>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</si>
  <si>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</si>
  <si>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</si>
  <si>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</si>
  <si>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</si>
  <si>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</si>
  <si>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</si>
  <si>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</si>
  <si>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</si>
  <si>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</si>
  <si>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</si>
  <si>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</si>
  <si>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</si>
  <si>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</si>
  <si>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</si>
  <si>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</si>
  <si>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</si>
  <si>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</si>
  <si>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</si>
  <si>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</si>
  <si>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</si>
  <si>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</si>
  <si>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</si>
  <si>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</si>
  <si>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</si>
  <si>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</si>
  <si>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</si>
  <si>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</si>
  <si>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</si>
  <si>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</si>
  <si>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</si>
  <si>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</si>
  <si>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</si>
  <si>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</si>
  <si>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</si>
  <si>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</si>
  <si>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</si>
  <si>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</si>
  <si>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</si>
  <si>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</si>
  <si>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</si>
  <si>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</si>
  <si>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</si>
  <si>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</si>
  <si>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</si>
  <si>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</si>
  <si>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</si>
  <si>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</si>
  <si>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</si>
  <si>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</si>
  <si>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</si>
  <si>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</si>
  <si>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</si>
  <si>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</si>
  <si>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</si>
  <si>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</si>
  <si>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</si>
  <si>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</si>
  <si>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</si>
  <si>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</si>
  <si>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</si>
  <si>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</si>
  <si>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</si>
  <si>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</si>
  <si>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</si>
  <si>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</si>
  <si>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</si>
  <si>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</si>
  <si>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</si>
  <si>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</si>
  <si>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</si>
  <si>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</si>
  <si>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</si>
  <si>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</si>
  <si>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</si>
  <si>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</si>
  <si>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</si>
  <si>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</si>
  <si>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</si>
  <si>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</si>
  <si>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</si>
  <si>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</si>
  <si>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</si>
  <si>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</si>
  <si>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</si>
  <si>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</si>
  <si>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</si>
  <si>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</si>
  <si>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</si>
  <si>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</si>
  <si>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</si>
  <si>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</si>
  <si>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</si>
  <si>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</si>
  <si>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</si>
  <si>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</si>
  <si>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</si>
  <si>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</si>
  <si>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</si>
  <si>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</si>
  <si>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</si>
  <si>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</si>
  <si>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</si>
  <si>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</si>
  <si>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</si>
  <si>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</si>
  <si>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</si>
  <si>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</si>
  <si>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</si>
  <si>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</si>
  <si>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</si>
  <si>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</si>
  <si>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</si>
  <si>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</si>
  <si>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</si>
  <si>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</si>
  <si>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</si>
  <si>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</si>
  <si>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</si>
  <si>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</si>
  <si>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</si>
  <si>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</si>
  <si>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</si>
  <si>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</si>
  <si>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</si>
  <si>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</si>
  <si>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</si>
  <si>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</si>
  <si>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</si>
  <si>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</si>
  <si>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</si>
  <si>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</si>
  <si>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</si>
  <si>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</si>
  <si>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</si>
  <si>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</si>
  <si>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</si>
  <si>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</si>
  <si>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</si>
  <si>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</si>
  <si>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</si>
  <si>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</si>
  <si>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</si>
  <si>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</si>
  <si>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</si>
  <si>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</si>
  <si>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</si>
  <si>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</si>
  <si>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</si>
  <si>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</si>
  <si>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</si>
  <si>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</si>
  <si>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</si>
  <si>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</si>
  <si>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</si>
  <si>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</si>
  <si>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</si>
  <si>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</si>
  <si>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</si>
  <si>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</si>
  <si>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</si>
  <si>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</si>
  <si>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</si>
  <si>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</si>
  <si>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</si>
  <si>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</si>
  <si>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</si>
  <si>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</si>
  <si>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</si>
  <si>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</si>
  <si>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</si>
  <si>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</si>
  <si>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</si>
  <si>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</si>
  <si>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</si>
  <si>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</si>
  <si>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</si>
  <si>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</si>
  <si>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</si>
  <si>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</si>
  <si>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</si>
  <si>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</si>
  <si>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</si>
  <si>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</si>
  <si>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</si>
  <si>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</si>
  <si>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</si>
  <si>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</si>
  <si>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</si>
  <si>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</si>
  <si>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</si>
  <si>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</si>
  <si>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</si>
  <si>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</si>
  <si>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</si>
  <si>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</si>
  <si>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</si>
  <si>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</si>
  <si>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</si>
  <si>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</si>
  <si>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</si>
  <si>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</si>
  <si>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</si>
  <si>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</si>
  <si>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</si>
  <si>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</si>
  <si>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</si>
  <si>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</si>
  <si>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</si>
  <si>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</si>
  <si>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</si>
  <si>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</si>
  <si>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</si>
  <si>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</si>
  <si>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</si>
  <si>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</si>
  <si>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</si>
  <si>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</si>
  <si>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</si>
  <si>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</si>
  <si>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</si>
  <si>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</si>
  <si>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</si>
  <si>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</si>
  <si>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</si>
  <si>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</si>
  <si>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</si>
  <si>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</si>
  <si>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</si>
  <si>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</si>
  <si>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</si>
  <si>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</si>
  <si>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</si>
  <si>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</si>
  <si>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</si>
  <si>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</si>
  <si>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</si>
  <si>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</si>
  <si>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</si>
  <si>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</si>
  <si>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</si>
  <si>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</si>
  <si>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</si>
  <si>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</si>
  <si>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</si>
  <si>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</si>
  <si>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</si>
  <si>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</si>
  <si>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</si>
  <si>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</si>
  <si>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</si>
  <si>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</si>
  <si>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</si>
  <si>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</si>
  <si>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</si>
  <si>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</si>
  <si>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</si>
  <si>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</si>
  <si>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</si>
  <si>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</si>
  <si>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</si>
  <si>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</si>
  <si>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</si>
  <si>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</si>
  <si>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</si>
  <si>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</si>
  <si>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</si>
  <si>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</si>
  <si>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</si>
  <si>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</si>
  <si>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</si>
  <si>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</si>
  <si>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</si>
  <si>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</si>
  <si>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</si>
  <si>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</si>
  <si>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</si>
  <si>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</si>
  <si>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</si>
  <si>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</si>
  <si>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</si>
  <si>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</si>
  <si>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</si>
  <si>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</si>
  <si>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</si>
  <si>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</si>
  <si>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</si>
  <si>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</si>
  <si>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</si>
  <si>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</si>
  <si>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</si>
  <si>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</si>
  <si>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</si>
  <si>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</si>
  <si>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</si>
  <si>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</si>
  <si>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</si>
  <si>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</si>
  <si>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</si>
  <si>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</si>
  <si>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</si>
  <si>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</si>
  <si>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</si>
  <si>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</si>
  <si>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</si>
  <si>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</si>
  <si>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</si>
  <si>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</si>
  <si>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</si>
  <si>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</si>
  <si>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</si>
  <si>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</si>
  <si>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</si>
  <si>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</si>
  <si>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</si>
  <si>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</si>
  <si>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</si>
  <si>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</si>
  <si>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</si>
  <si>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</si>
  <si>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</si>
  <si>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</si>
  <si>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</si>
  <si>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</si>
  <si>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</si>
  <si>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</si>
  <si>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</si>
  <si>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</si>
  <si>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</si>
  <si>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</si>
  <si>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</si>
  <si>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</si>
  <si>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</si>
  <si>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</si>
  <si>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</si>
  <si>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</si>
  <si>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</si>
  <si>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</si>
  <si>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</si>
  <si>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</si>
  <si>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</si>
  <si>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</si>
  <si>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</si>
  <si>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</si>
  <si>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</si>
  <si>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</si>
  <si>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</si>
  <si>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</si>
  <si>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</si>
  <si>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</si>
  <si>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</si>
  <si>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</si>
  <si>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</si>
  <si>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</si>
  <si>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</si>
  <si>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</si>
  <si>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</si>
  <si>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</si>
  <si>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</si>
  <si>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</si>
  <si>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</si>
  <si>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</si>
  <si>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</si>
  <si>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</si>
  <si>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</si>
  <si>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</si>
  <si>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</si>
  <si>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</si>
  <si>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</si>
  <si>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</si>
  <si>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</si>
  <si>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</si>
  <si>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</si>
  <si>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</si>
  <si>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</si>
  <si>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</si>
  <si>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</si>
  <si>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</si>
  <si>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</si>
  <si>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</si>
  <si>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</si>
  <si>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</si>
  <si>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</si>
  <si>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</si>
  <si>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</si>
  <si>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</si>
  <si>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</si>
  <si>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</si>
  <si>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</si>
  <si>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</si>
  <si>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</si>
  <si>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</si>
  <si>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</si>
  <si>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</si>
  <si>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</si>
  <si>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</si>
  <si>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</si>
  <si>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</si>
  <si>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</si>
  <si>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</si>
  <si>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</si>
  <si>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</si>
  <si>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</si>
  <si>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</si>
  <si>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</si>
  <si>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</si>
  <si>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</si>
  <si>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</si>
  <si>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</si>
  <si>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</si>
  <si>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</si>
  <si>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</si>
  <si>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</si>
  <si>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</si>
  <si>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</si>
  <si>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</si>
  <si>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</si>
  <si>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</si>
  <si>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</si>
  <si>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</si>
  <si>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</si>
  <si>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</si>
  <si>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</si>
  <si>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</si>
  <si>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</si>
  <si>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</si>
  <si>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</si>
  <si>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</si>
  <si>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</si>
  <si>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</si>
  <si>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</si>
  <si>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</si>
  <si>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</si>
  <si>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</si>
  <si>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</si>
  <si>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</si>
  <si>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</si>
  <si>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</si>
  <si>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</si>
  <si>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</si>
  <si>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</si>
  <si>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</si>
  <si>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</si>
  <si>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</si>
  <si>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</si>
  <si>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</si>
  <si>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</si>
  <si>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</si>
  <si>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</si>
  <si>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</si>
  <si>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</si>
  <si>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</si>
  <si>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</si>
  <si>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</si>
  <si>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</si>
  <si>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</si>
  <si>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</si>
  <si>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</si>
  <si>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</si>
  <si>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</si>
  <si>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</si>
  <si>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</si>
  <si>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</si>
  <si>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</si>
  <si>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</si>
  <si>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</si>
  <si>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</si>
  <si>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</si>
  <si>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</si>
  <si>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</si>
  <si>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</si>
  <si>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</si>
  <si>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</si>
  <si>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</si>
  <si>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</si>
  <si>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</si>
  <si>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</si>
  <si>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</si>
  <si>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</si>
  <si>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</si>
  <si>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</si>
  <si>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</si>
  <si>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</si>
  <si>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</si>
  <si>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</si>
  <si>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</si>
  <si>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</si>
  <si>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</si>
  <si>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</si>
  <si>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</si>
  <si>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</si>
  <si>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</si>
  <si>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</si>
  <si>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</si>
  <si>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</si>
  <si>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</si>
  <si>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</si>
  <si>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</si>
  <si>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</si>
  <si>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</si>
  <si>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</si>
  <si>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</si>
  <si>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</si>
  <si>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</si>
  <si>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</si>
  <si>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</si>
  <si>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</si>
  <si>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</si>
  <si>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</si>
  <si>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</si>
  <si>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</si>
  <si>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</si>
  <si>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</si>
  <si>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</si>
  <si>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</si>
  <si>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</si>
  <si>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</si>
  <si>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</si>
  <si>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</si>
  <si>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</si>
  <si>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</si>
  <si>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</si>
  <si>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</si>
  <si>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</si>
  <si>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</si>
  <si>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</si>
  <si>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</si>
  <si>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</si>
  <si>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</si>
  <si>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</si>
  <si>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</si>
  <si>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</si>
  <si>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</si>
  <si>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</si>
  <si>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</si>
  <si>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</si>
  <si>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</si>
  <si>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</si>
  <si>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</si>
  <si>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</si>
  <si>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</si>
  <si>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</si>
  <si>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</si>
  <si>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</si>
  <si>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</si>
  <si>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</si>
  <si>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</si>
  <si>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</si>
  <si>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</si>
  <si>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</si>
  <si>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</si>
  <si>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</si>
  <si>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</si>
  <si>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</si>
  <si>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</si>
  <si>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</si>
  <si>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</si>
  <si>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</si>
  <si>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</si>
  <si>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</si>
  <si>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</si>
  <si>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</si>
  <si>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</si>
  <si>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</si>
  <si>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</si>
  <si>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</si>
  <si>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</si>
  <si>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</si>
  <si>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</si>
  <si>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</si>
  <si>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</si>
  <si>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</si>
  <si>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</si>
  <si>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</si>
  <si>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</si>
  <si>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</si>
  <si>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</si>
  <si>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</si>
  <si>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</si>
  <si>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</si>
  <si>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</si>
  <si>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</si>
  <si>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</si>
  <si>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</si>
  <si>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</si>
  <si>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</si>
  <si>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</si>
  <si>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</si>
  <si>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</si>
  <si>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</si>
  <si>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</si>
  <si>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</si>
  <si>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</si>
  <si>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</si>
  <si>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</si>
  <si>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</si>
  <si>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</si>
  <si>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</si>
  <si>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</si>
  <si>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</si>
  <si>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</si>
  <si>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</si>
  <si>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</si>
  <si>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</si>
  <si>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</si>
  <si>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</si>
  <si>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</si>
  <si>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</si>
  <si>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</si>
  <si>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</si>
  <si>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</si>
  <si>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</si>
  <si>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</si>
  <si>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</si>
  <si>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</si>
  <si>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</si>
  <si>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</si>
  <si>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</si>
  <si>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</si>
  <si>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</si>
  <si>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</si>
  <si>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</si>
  <si>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</si>
  <si>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</si>
  <si>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</si>
  <si>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</si>
  <si>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</si>
  <si>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</si>
  <si>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</si>
  <si>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</si>
  <si>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</si>
  <si>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</si>
  <si>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</si>
  <si>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</si>
  <si>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</si>
  <si>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</si>
  <si>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</si>
  <si>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</si>
  <si>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</si>
  <si>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</si>
  <si>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</si>
  <si>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</si>
  <si>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</si>
  <si>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</si>
  <si>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</si>
  <si>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</si>
  <si>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</si>
  <si>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</si>
  <si>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</si>
  <si>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</si>
  <si>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</si>
  <si>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</si>
  <si>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</si>
  <si>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</si>
  <si>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</si>
  <si>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</si>
  <si>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</si>
  <si>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</si>
  <si>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</si>
  <si>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</si>
  <si>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</si>
  <si>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</si>
  <si>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</si>
  <si>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</si>
  <si>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</si>
  <si>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</si>
  <si>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</si>
  <si>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</si>
  <si>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</si>
  <si>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</si>
  <si>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</si>
  <si>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</si>
  <si>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</si>
  <si>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</si>
  <si>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</si>
  <si>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</si>
  <si>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</si>
  <si>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</si>
  <si>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</si>
  <si>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</si>
  <si>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</si>
  <si>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</si>
  <si>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</si>
  <si>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</si>
  <si>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</si>
  <si>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</si>
  <si>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</si>
  <si>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</si>
  <si>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</si>
  <si>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</si>
  <si>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</si>
  <si>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</si>
  <si>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</si>
  <si>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</si>
  <si>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</si>
  <si>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</si>
  <si>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</si>
  <si>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</si>
  <si>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</si>
  <si>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</si>
  <si>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</si>
  <si>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</si>
  <si>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</si>
  <si>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</si>
  <si>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</si>
  <si>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</si>
  <si>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</si>
  <si>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</si>
  <si>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</si>
  <si>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</si>
  <si>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</si>
  <si>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</si>
  <si>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</si>
  <si>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</si>
  <si>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</si>
  <si>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</si>
  <si>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</si>
  <si>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</si>
  <si>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</si>
  <si>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</si>
  <si>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</si>
  <si>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</si>
  <si>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</si>
  <si>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</si>
  <si>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</si>
  <si>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</si>
  <si>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</si>
  <si>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</si>
  <si>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</si>
  <si>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</si>
  <si>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</si>
  <si>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</si>
  <si>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</si>
  <si>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</si>
  <si>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</si>
  <si>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</si>
  <si>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</si>
  <si>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</si>
  <si>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</si>
  <si>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</si>
  <si>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</si>
  <si>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</si>
  <si>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</si>
  <si>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</si>
  <si>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</si>
  <si>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</si>
  <si>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</si>
  <si>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</si>
  <si>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</si>
  <si>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</si>
  <si>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</si>
  <si>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</si>
  <si>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</si>
  <si>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</si>
  <si>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</si>
  <si>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</si>
  <si>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</si>
  <si>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</si>
  <si>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</si>
  <si>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</si>
  <si>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</si>
  <si>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</si>
  <si>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</si>
  <si>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</si>
  <si>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</si>
  <si>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</si>
  <si>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</si>
  <si>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</si>
  <si>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</si>
  <si>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</si>
  <si>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</si>
  <si>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</si>
  <si>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</si>
  <si>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</si>
  <si>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</si>
  <si>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</si>
  <si>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</si>
  <si>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</si>
  <si>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</si>
  <si>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</si>
  <si>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</si>
  <si>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</si>
  <si>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</si>
  <si>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</si>
  <si>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</si>
  <si>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</si>
  <si>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</si>
  <si>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</si>
  <si>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</si>
  <si>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</si>
  <si>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</si>
  <si>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</si>
  <si>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</si>
  <si>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</si>
  <si>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</si>
  <si>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</si>
  <si>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</si>
  <si>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</si>
  <si>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</si>
  <si>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</si>
  <si>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</si>
  <si>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</si>
  <si>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</si>
  <si>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</si>
  <si>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</si>
  <si>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</si>
  <si>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</si>
  <si>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</si>
  <si>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</si>
  <si>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</si>
  <si>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</si>
  <si>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</si>
  <si>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</si>
  <si>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</si>
  <si>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</si>
  <si>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</si>
  <si>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</si>
  <si>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</si>
  <si>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</si>
  <si>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</si>
  <si>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</si>
  <si>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</si>
  <si>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</si>
  <si>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</si>
  <si>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</si>
  <si>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</si>
  <si>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</si>
  <si>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</si>
  <si>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</si>
  <si>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</si>
  <si>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</si>
  <si>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</si>
  <si>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</si>
  <si>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</si>
  <si>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</si>
  <si>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</si>
  <si>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</si>
  <si>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</si>
  <si>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</si>
  <si>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</si>
  <si>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</si>
  <si>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</si>
  <si>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</si>
  <si>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</si>
  <si>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</si>
  <si>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</si>
  <si>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</si>
  <si>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</si>
  <si>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</si>
  <si>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</si>
  <si>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</si>
  <si>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</si>
  <si>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</si>
  <si>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</si>
  <si>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</si>
  <si>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</si>
  <si>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</si>
  <si>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</si>
  <si>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</si>
  <si>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</si>
  <si>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</si>
  <si>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</si>
  <si>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</si>
  <si>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</si>
  <si>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</si>
  <si>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</si>
  <si>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</si>
  <si>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</si>
  <si>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</si>
  <si>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</si>
  <si>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</si>
  <si>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</si>
  <si>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</si>
  <si>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</si>
  <si>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</si>
  <si>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</si>
  <si>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</si>
  <si>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</si>
  <si>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</si>
  <si>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</si>
  <si>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</si>
  <si>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</si>
  <si>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</si>
  <si>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</si>
  <si>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</si>
  <si>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</si>
  <si>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</si>
  <si>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</si>
  <si>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</si>
  <si>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</si>
  <si>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</si>
  <si>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</si>
  <si>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</si>
  <si>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</si>
  <si>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</si>
  <si>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</si>
  <si>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</si>
  <si>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</si>
  <si>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</si>
  <si>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</si>
  <si>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</si>
  <si>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</si>
  <si>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</si>
  <si>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</si>
  <si>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</si>
  <si>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</si>
  <si>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</si>
  <si>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</si>
  <si>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</si>
  <si>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</si>
  <si>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</si>
  <si>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</si>
  <si>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</si>
  <si>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</si>
  <si>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</si>
  <si>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</si>
  <si>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</si>
  <si>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</si>
  <si>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</si>
  <si>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</si>
  <si>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</si>
  <si>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</si>
  <si>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</si>
  <si>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</si>
  <si>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</si>
  <si>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</si>
  <si>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</si>
  <si>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</si>
  <si>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</si>
  <si>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</si>
  <si>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</si>
  <si>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</si>
  <si>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</si>
  <si>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</si>
  <si>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</si>
  <si>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</si>
  <si>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</si>
  <si>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</si>
  <si>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</si>
  <si>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</si>
  <si>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</si>
  <si>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</si>
  <si>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</si>
  <si>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</si>
  <si>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</si>
  <si>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</si>
  <si>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</si>
  <si>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</si>
  <si>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</si>
  <si>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</si>
  <si>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</si>
  <si>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</si>
  <si>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</si>
  <si>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</si>
  <si>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</si>
  <si>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</si>
  <si>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</si>
  <si>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</si>
  <si>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</si>
  <si>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</si>
  <si>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</si>
  <si>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</si>
  <si>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</si>
  <si>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</si>
  <si>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</si>
  <si>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</si>
  <si>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</si>
  <si>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</si>
  <si>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</si>
  <si>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</si>
  <si>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</si>
  <si>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</si>
  <si>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</si>
  <si>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</si>
  <si>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</si>
  <si>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</si>
  <si>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</si>
  <si>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</si>
  <si>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</si>
  <si>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</si>
  <si>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</si>
  <si>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</si>
  <si>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</si>
  <si>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</si>
  <si>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</si>
  <si>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</si>
  <si>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</si>
  <si>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</si>
  <si>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</si>
  <si>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</si>
  <si>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</si>
  <si>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</si>
  <si>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</si>
  <si>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</si>
  <si>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</si>
  <si>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</si>
  <si>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</si>
  <si>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</si>
  <si>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</si>
  <si>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</si>
  <si>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</si>
  <si>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</si>
  <si>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</si>
  <si>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</si>
  <si>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</si>
  <si>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</si>
  <si>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</si>
  <si>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</si>
  <si>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</si>
  <si>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</si>
  <si>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</si>
  <si>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</si>
  <si>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</si>
  <si>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</si>
  <si>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</si>
  <si>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</si>
  <si>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</si>
  <si>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</si>
  <si>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</si>
  <si>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</si>
  <si>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</si>
  <si>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</si>
  <si>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</si>
  <si>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</si>
  <si>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</si>
  <si>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</si>
  <si>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</si>
  <si>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</si>
  <si>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</si>
  <si>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</si>
  <si>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</si>
  <si>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</si>
  <si>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</si>
  <si>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</si>
  <si>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</si>
  <si>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</si>
  <si>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</si>
  <si>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</si>
  <si>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</si>
  <si>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</si>
  <si>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</si>
  <si>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</si>
  <si>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</si>
  <si>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</si>
  <si>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</si>
  <si>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</si>
  <si>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</si>
  <si>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</si>
  <si>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</si>
  <si>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</si>
  <si>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</si>
  <si>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</si>
  <si>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</si>
  <si>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</si>
  <si>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</si>
  <si>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</si>
  <si>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</si>
  <si>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</si>
  <si>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</si>
  <si>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</si>
  <si>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</si>
  <si>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</si>
  <si>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</si>
  <si>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</si>
  <si>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</si>
  <si>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</si>
  <si>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</si>
  <si>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</si>
  <si>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</si>
  <si>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</si>
  <si>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</si>
  <si>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</si>
  <si>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</si>
  <si>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</si>
  <si>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</si>
  <si>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</si>
  <si>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</si>
  <si>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</si>
  <si>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</si>
  <si>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</si>
  <si>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</si>
  <si>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</si>
  <si>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</si>
  <si>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</si>
  <si>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</si>
  <si>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</si>
  <si>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</si>
  <si>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</si>
  <si>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</si>
  <si>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</si>
  <si>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</si>
  <si>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</si>
  <si>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</si>
  <si>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</si>
  <si>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</si>
  <si>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</si>
  <si>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</si>
  <si>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</si>
  <si>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</si>
  <si>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</si>
  <si>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</si>
  <si>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</si>
  <si>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</si>
  <si>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</si>
  <si>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</si>
  <si>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</si>
  <si>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</si>
  <si>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</si>
  <si>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</si>
  <si>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</si>
  <si>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</si>
  <si>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</si>
  <si>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</si>
  <si>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</si>
  <si>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</si>
  <si>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</si>
  <si>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</si>
  <si>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</si>
  <si>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</si>
  <si>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</si>
  <si>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</si>
  <si>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</si>
  <si>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</si>
  <si>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</si>
  <si>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</si>
  <si>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</si>
  <si>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</si>
  <si>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</si>
  <si>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</si>
  <si>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</si>
  <si>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</si>
  <si>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</si>
  <si>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</si>
  <si>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</si>
  <si>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</si>
  <si>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</si>
  <si>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</si>
  <si>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</si>
  <si>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</si>
  <si>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</si>
  <si>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</si>
  <si>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</si>
  <si>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</si>
  <si>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</si>
  <si>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</si>
  <si>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</si>
  <si>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</si>
  <si>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</si>
  <si>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</si>
  <si>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</si>
  <si>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</si>
  <si>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</si>
  <si>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</si>
  <si>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</si>
  <si>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</si>
  <si>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</si>
  <si>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</si>
  <si>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</si>
  <si>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</si>
  <si>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</si>
  <si>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</si>
  <si>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</si>
  <si>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</si>
  <si>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</si>
  <si>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</si>
  <si>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</si>
  <si>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</si>
  <si>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</si>
  <si>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</si>
  <si>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</si>
  <si>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</si>
  <si>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</si>
  <si>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</si>
  <si>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</si>
  <si>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</si>
  <si>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</si>
  <si>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</si>
  <si>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</si>
  <si>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</si>
  <si>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</si>
  <si>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</si>
  <si>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</si>
  <si>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</si>
  <si>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</si>
  <si>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</si>
  <si>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</si>
  <si>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</si>
  <si>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</si>
  <si>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</si>
  <si>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</si>
  <si>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</si>
  <si>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</si>
  <si>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</si>
  <si>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</si>
  <si>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</si>
  <si>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</si>
  <si>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</si>
  <si>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</si>
  <si>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</si>
  <si>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</si>
  <si>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</si>
  <si>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</si>
  <si>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</si>
  <si>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</si>
  <si>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</si>
  <si>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</si>
  <si>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</si>
  <si>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</si>
  <si>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</si>
  <si>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</si>
  <si>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</si>
  <si>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</si>
  <si>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</si>
  <si>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</si>
  <si>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</si>
  <si>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</si>
  <si>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</si>
  <si>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</si>
  <si>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</si>
  <si>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</si>
  <si>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</si>
  <si>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</si>
  <si>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</si>
  <si>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</si>
  <si>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</si>
  <si>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</si>
  <si>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</si>
  <si>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</si>
  <si>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</si>
  <si>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</si>
  <si>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</si>
  <si>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</si>
  <si>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</si>
  <si>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</si>
  <si>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</si>
  <si>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</si>
  <si>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</si>
  <si>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</si>
  <si>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</si>
  <si>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</si>
  <si>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</si>
  <si>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</si>
  <si>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</si>
  <si>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</si>
  <si>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</si>
  <si>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</si>
  <si>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</si>
  <si>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</si>
  <si>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</si>
  <si>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</si>
  <si>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</si>
  <si>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</si>
  <si>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</si>
  <si>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</si>
  <si>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</si>
  <si>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</si>
  <si>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</si>
  <si>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</si>
  <si>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</si>
  <si>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</si>
  <si>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BLUCKER, KNEER &amp; ASSOCIATES, LTD</t>
  </si>
  <si>
    <t>TERESA A. WELCH</t>
  </si>
  <si>
    <t>P.O. BOX 1464</t>
  </si>
  <si>
    <t>GALESBURG</t>
  </si>
  <si>
    <t>IL</t>
  </si>
  <si>
    <t>309-343-0174</t>
  </si>
  <si>
    <t>309-343-4156</t>
  </si>
  <si>
    <t>065-024137</t>
  </si>
  <si>
    <t>teresabla@gmail.com</t>
  </si>
  <si>
    <t>JODI SCOTT</t>
  </si>
  <si>
    <t>jscott@roe33.net</t>
  </si>
  <si>
    <t>309-734-6822</t>
  </si>
  <si>
    <t>309-734-2452</t>
  </si>
  <si>
    <t>KNOX</t>
  </si>
  <si>
    <t>809 E. MAIN STREET</t>
  </si>
  <si>
    <t xml:space="preserve">KNOXVILLE </t>
  </si>
  <si>
    <t>swilder@bluebullets.org</t>
  </si>
  <si>
    <t>STEPHEN WILDER</t>
  </si>
  <si>
    <t>swilder@bluebuttlets.org</t>
  </si>
  <si>
    <t>309-289-2328</t>
  </si>
  <si>
    <t>309-289-9614</t>
  </si>
  <si>
    <t xml:space="preserve">BLUCKER, KNEER &amp; ASSOCIATES, LTD. </t>
  </si>
  <si>
    <t>This amount includes $ 7,630,000 orf General Obligation Bonds (Alternative Revenue Sources) debt.  These bonds will not be repaid with levied tax monies and should not be used in calculating the District's legal debt margin.  The debt will be paid off with County School Facility Occupation Tax proceeds, not levied tax monies.</t>
  </si>
  <si>
    <t>Constellation New Energy</t>
  </si>
  <si>
    <t>Western Area Purchasing</t>
  </si>
  <si>
    <t>Prairie State Insurance Cooperative</t>
  </si>
  <si>
    <t>Knox-Warren Speical Education Cooperative</t>
  </si>
  <si>
    <t>Delabar / Carl Sandburg College</t>
  </si>
  <si>
    <t>2007 LIFE SAFETY BONDS</t>
  </si>
  <si>
    <t>2011 G.O. DEBT CERTIFICATES</t>
  </si>
  <si>
    <t>2012 G.O. ALTERNATIVE REVENUE SOURCE</t>
  </si>
  <si>
    <t>2014 GL.O. ALTERNATIVE REVENUE SOURCE</t>
  </si>
  <si>
    <t>2016 G.O. WORKING CASH FUND</t>
  </si>
  <si>
    <t>G.O Debt Certificates</t>
  </si>
  <si>
    <t>G.O Alternative Revneue Source</t>
  </si>
  <si>
    <t>2017 G.O Refunding School Bonds</t>
  </si>
  <si>
    <t>Education Fund</t>
  </si>
  <si>
    <t>Page 10- Acct # 1614 - $718 is Milk Recieipts</t>
  </si>
  <si>
    <t xml:space="preserve">                  Acct # 1993 - $1350 HS Parking Fees</t>
  </si>
  <si>
    <t xml:space="preserve">                  Acct # 1999 - $ 722 City Reimbursement of Crossing Guards, $ 10,000 IAEP AG Grant, $750 Library Grant and $ 767 Other income </t>
  </si>
  <si>
    <t>Page 11- Acct # 3299 - $ 4069 Ag Supply Funding</t>
  </si>
  <si>
    <t>Page 14 - Acct # 4999 Other Restricted Revenues from Federal Soucres - $ 17364 Healthcare &amp; Family Services</t>
  </si>
  <si>
    <t>Page 15- Acct # 2190 - $1423 Salary for Crossing Guards</t>
  </si>
  <si>
    <t xml:space="preserve">                  Acct # 1829 - $ 3402 is Receipts from Sale of PE uniforms</t>
  </si>
  <si>
    <t>Debt Service Fund</t>
  </si>
  <si>
    <t>Page 8 - Other Changes in Fund Balance - $ ( 776,163) is the payout from Escrow on the 2007 Life Safety Bonds</t>
  </si>
  <si>
    <t>Page 18 - Acct #5400 - $2,750 Service Charges</t>
  </si>
  <si>
    <t>Page 10-Acct #1999 - $31,334 Reimbursements</t>
  </si>
  <si>
    <t>2017-001</t>
  </si>
  <si>
    <t xml:space="preserve">Preparation of Financial Statements and </t>
  </si>
  <si>
    <t>Footnotes</t>
  </si>
  <si>
    <t>Repeat Finding - Corrective action is not practical</t>
  </si>
  <si>
    <t>in the current circumstances.</t>
  </si>
  <si>
    <t>2017-002</t>
  </si>
  <si>
    <t>Lack of Segregation of Duties</t>
  </si>
  <si>
    <t>2017-003</t>
  </si>
  <si>
    <t>Expenditures in excess of Budget amounts</t>
  </si>
  <si>
    <t>Repeat Finding - Corretive action was implemented</t>
  </si>
  <si>
    <t>There was a decrease in the amount that exceeded</t>
  </si>
  <si>
    <t>the budget.</t>
  </si>
  <si>
    <t>Financial Statements are the responsibility of the client and should be prepared by them including footnotes.</t>
  </si>
  <si>
    <t>The District has no one with the necessary expertise to prepare the financial statements and footnotes.</t>
  </si>
  <si>
    <t>Due to the size of the district, it is the decision of management to accept this deficiencey in light of costs and other considerations.</t>
  </si>
  <si>
    <t>The District does not have an internal control system available or the personnel with the needed expertise and knowledge to prepare the financial statements.  The auditors draft the financial statements and footnotes.  The District's management review the draft financial statements.</t>
  </si>
  <si>
    <t>Management or employeee in the normal course of performing their assigned functions may not prevent or detect financial statement mistatements in a timely manner.</t>
  </si>
  <si>
    <t>The District should retain an employee capable of preparing the Financial Statemetns and required footnotes.</t>
  </si>
  <si>
    <t>Duties to the District personnel are to be segregated to reduce the risk of error or fraud so that no one individual controls all key aspects of a transaction.  By doing this, the district ensures reliable financial reporting, effective and efficient operations and compliance with applicable laws and regulations.</t>
  </si>
  <si>
    <t xml:space="preserve">A single member of the District's staff has substantial control over key aspects of the transactions and events within the internal cotrol system.  This individual completes banking, payroll and general ledger functions.  This results in a lack of segregation of duties. </t>
  </si>
  <si>
    <t>The above condition is an ongoing issue for the school district.</t>
  </si>
  <si>
    <t>Transactions could be altered by District personnel in error or in an effort to commit fraud.</t>
  </si>
  <si>
    <t>The number of personnel performing accounting functions limit the ability of the district to have a adequate segregation of duties over accounting transactions.</t>
  </si>
  <si>
    <t>The Board of Education needs to provide close review and supervision over accounting information to prevent and detect errors and possible fraudulent activies from happening.  District sadministration and personnel should always be looking for ways to improve segregation of duties and provide additional oversight of the financial data.</t>
  </si>
  <si>
    <t>This is an ongoing issue that will be continually monitored through review of financial information by the Superintendent and the Board of Education including development of additional segregation of duties among existing staff.</t>
  </si>
  <si>
    <t>Per Illinois Compiled Statutes, total fund expenditures may not legally exceed the District's budgeted amounts.</t>
  </si>
  <si>
    <t>For the year ending June 30, 2018, actual expenditures for the Municipal Retirement / Social Security fund, Tort fund and Fire Prevention fund exceeded the budget.</t>
  </si>
  <si>
    <t>The approved budget establishes the authorized expenditures limitation in each fund.</t>
  </si>
  <si>
    <t>Actual expenditures exceeded the budget in the above named funds.</t>
  </si>
  <si>
    <t>A closer review of expenditures needs to be maintained and reflected in the amended budget.</t>
  </si>
  <si>
    <t>The District will monitor actual expenditures compared to the budget complete an amended budget if necessary.</t>
  </si>
  <si>
    <t xml:space="preserve">Actual expenditures exceeded the budgeted amounts for the year, the Municipal Retirement/Social Security fund exceed budget by $17,344, Tort by $14,069 and Fire Prevention by $21.  </t>
  </si>
  <si>
    <t xml:space="preserve">The District is to maintain a Treasurer's Bond to cover 25% of the highest cash investment balance available during the year.  </t>
  </si>
  <si>
    <t>In the month when real estate taxes are received, 25% of the cash and investment balance was higher than the treasurer's bond coverage.</t>
  </si>
  <si>
    <t>The coverage is to be maintained to protect the district from potential asset loss.</t>
  </si>
  <si>
    <t>The Treasurer's bond coverage was less than required by state statute.</t>
  </si>
  <si>
    <t>The real estate taxes received in an installment payment along with the cash and investment balances exceeded the required treasurer's bond coverage and the District was not aware of this storage.</t>
  </si>
  <si>
    <t>The District needs to increase its treasurer bond coverage and establish a monitoring system of the balance to ensure proper 25% coverage.</t>
  </si>
  <si>
    <t>Management acknowleges the finding and will implement a monitoring system to provide coverage as required.</t>
  </si>
  <si>
    <t>Page 24 - Schedule of Short Term / Long Term Debt</t>
  </si>
  <si>
    <t xml:space="preserve"> $ ( 1,875,000) is refinancing of 2007 Life Safety Bonds - $ 1,112,000  to 2017 G.O. Bonds and $ 643,000 of Escrowed Monies.</t>
  </si>
  <si>
    <t xml:space="preserve">$ 1,145,000 is the refinancing of the 2007 bonds to 2017 G.O. Refunding School Bonds for $ 1,112,000 plus issuance costs of $33,000 from </t>
  </si>
  <si>
    <t>the above retired bonds.</t>
  </si>
  <si>
    <t>Page 25 - Schedule of Restricted Loacal Tax Levies and Selected Revenue Sources</t>
  </si>
  <si>
    <t>Debt Service Other - $ 2,750 is debt agent fees.</t>
  </si>
  <si>
    <t>Tranportation - Capital Outlay</t>
  </si>
  <si>
    <t>Midwest Bus Sales, Inc</t>
  </si>
  <si>
    <t>Knoxville CUSD 202</t>
  </si>
  <si>
    <t>40-2550-500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</si>
</sst>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55" fillId="0" borderId="78" xfId="0" applyFont="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1623579</xdr:colOff>
          <xdr:row>3</xdr:row>
          <xdr:rowOff>38966</xdr:rowOff>
        </xdr:from>
        <xdr:to>
          <xdr:col>1</xdr:col>
          <xdr:colOff>2536247</xdr:colOff>
          <xdr:row>7</xdr:row>
          <xdr:rowOff>79664</xdr:rowOff>
        </xdr:to>
        <xdr:sp macro="" textlink="">
          <xdr:nvSpPr>
            <xdr:cNvPr id="38913" name="Object 1" hidden="1">
              <a:extLst>
                <a:ext uri="{63B3BB69-23CF-44E3-9099-C40C66FF867C}">
                  <a14:compatExt spid="_x0000_s389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2883477</xdr:colOff>
          <xdr:row>3</xdr:row>
          <xdr:rowOff>25978</xdr:rowOff>
        </xdr:from>
        <xdr:to>
          <xdr:col>1</xdr:col>
          <xdr:colOff>3794413</xdr:colOff>
          <xdr:row>7</xdr:row>
          <xdr:rowOff>64078</xdr:rowOff>
        </xdr:to>
        <xdr:sp macro="" textlink="">
          <xdr:nvSpPr>
            <xdr:cNvPr id="38914" name="Object 2" hidden="1">
              <a:extLst>
                <a:ext uri="{63B3BB69-23CF-44E3-9099-C40C66FF867C}">
                  <a14:compatExt spid="_x0000_s389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6" t="s">
        <v>425</v>
      </c>
      <c r="J1" s="2037"/>
      <c r="K1" s="2037"/>
      <c r="L1" s="2037"/>
      <c r="M1" s="2037"/>
      <c r="N1" s="2037"/>
      <c r="O1" s="2037"/>
      <c r="P1" s="2037"/>
      <c r="Q1" s="2037"/>
      <c r="R1" s="2037"/>
      <c r="S1" s="2037"/>
    </row>
    <row r="2" spans="1:28" ht="12" customHeight="1" x14ac:dyDescent="0.2">
      <c r="A2" s="47" t="s">
        <v>1684</v>
      </c>
      <c r="D2" s="48"/>
      <c r="I2" s="2038" t="s">
        <v>1036</v>
      </c>
      <c r="J2" s="2037"/>
      <c r="K2" s="2037"/>
      <c r="L2" s="2037"/>
      <c r="M2" s="2037"/>
      <c r="N2" s="2037"/>
      <c r="O2" s="2037"/>
      <c r="P2" s="2037"/>
      <c r="Q2" s="2037"/>
      <c r="R2" s="2037"/>
      <c r="S2" s="2037"/>
    </row>
    <row r="3" spans="1:28" ht="12" customHeight="1" x14ac:dyDescent="0.2">
      <c r="A3" s="155" t="s">
        <v>1685</v>
      </c>
      <c r="B3" s="156"/>
      <c r="C3" s="156"/>
      <c r="D3" s="157"/>
      <c r="I3" s="2038" t="s">
        <v>54</v>
      </c>
      <c r="J3" s="2037"/>
      <c r="K3" s="2037"/>
      <c r="L3" s="2037"/>
      <c r="M3" s="2037"/>
      <c r="N3" s="2037"/>
      <c r="O3" s="2037"/>
      <c r="P3" s="2037"/>
      <c r="Q3" s="2037"/>
      <c r="R3" s="2037"/>
      <c r="S3" s="2037"/>
    </row>
    <row r="4" spans="1:28" ht="12" customHeight="1" x14ac:dyDescent="0.2">
      <c r="A4" s="37"/>
      <c r="I4" s="2038" t="s">
        <v>545</v>
      </c>
      <c r="J4" s="2037"/>
      <c r="K4" s="2037"/>
      <c r="L4" s="2037"/>
      <c r="M4" s="2037"/>
      <c r="N4" s="2037"/>
      <c r="O4" s="2037"/>
      <c r="P4" s="2037"/>
      <c r="Q4" s="2037"/>
      <c r="R4" s="2037"/>
      <c r="S4" s="2037"/>
    </row>
    <row r="5" spans="1:28" ht="14.1" customHeight="1" x14ac:dyDescent="0.2">
      <c r="B5" s="104" t="s">
        <v>2077</v>
      </c>
      <c r="C5" s="26" t="s">
        <v>966</v>
      </c>
      <c r="D5" s="84"/>
      <c r="E5" s="84"/>
      <c r="H5" s="38"/>
      <c r="I5" s="2045" t="s">
        <v>701</v>
      </c>
      <c r="J5" s="1990"/>
      <c r="K5" s="1990"/>
      <c r="L5" s="1990"/>
      <c r="M5" s="1990"/>
      <c r="N5" s="1990"/>
      <c r="O5" s="1990"/>
      <c r="P5" s="1990"/>
      <c r="Q5" s="1990"/>
      <c r="R5" s="1990"/>
      <c r="S5" s="1990"/>
    </row>
    <row r="6" spans="1:28" ht="14.1" customHeight="1" x14ac:dyDescent="0.2">
      <c r="B6" s="104"/>
      <c r="C6" s="26" t="s">
        <v>967</v>
      </c>
      <c r="D6" s="84"/>
      <c r="E6" s="84"/>
      <c r="I6" s="2044" t="s">
        <v>938</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695</v>
      </c>
      <c r="J9" s="2042"/>
      <c r="K9" s="2042"/>
      <c r="L9" s="2042"/>
      <c r="M9" s="2042"/>
      <c r="N9" s="2042"/>
      <c r="O9" s="2042"/>
      <c r="P9" s="2042"/>
      <c r="Q9" s="2042"/>
      <c r="R9" s="2042"/>
      <c r="S9" s="2043"/>
      <c r="T9" s="1986" t="s">
        <v>554</v>
      </c>
      <c r="U9" s="1987"/>
      <c r="V9" s="1987"/>
      <c r="W9" s="1987"/>
      <c r="X9" s="1987"/>
      <c r="Y9" s="1987"/>
      <c r="Z9" s="1987"/>
      <c r="AA9" s="1988"/>
    </row>
    <row r="10" spans="1:28" ht="13.5" customHeight="1" x14ac:dyDescent="0.2">
      <c r="A10" s="1995" t="s">
        <v>696</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1012</v>
      </c>
      <c r="B11" s="1999"/>
      <c r="C11" s="1999"/>
      <c r="D11" s="1999"/>
      <c r="E11" s="1999"/>
      <c r="F11" s="1999"/>
      <c r="G11" s="1999"/>
      <c r="H11" s="2000"/>
      <c r="I11" s="27"/>
      <c r="J11" s="74"/>
      <c r="K11" s="27"/>
      <c r="O11" s="148" t="s">
        <v>2077</v>
      </c>
      <c r="P11" s="100" t="s">
        <v>210</v>
      </c>
      <c r="Q11" s="30"/>
      <c r="R11" s="28"/>
      <c r="S11" s="27"/>
      <c r="T11" s="1992"/>
      <c r="U11" s="1993"/>
      <c r="V11" s="1993"/>
      <c r="W11" s="1993"/>
      <c r="X11" s="1993"/>
      <c r="Y11" s="1993"/>
      <c r="Z11" s="1993"/>
      <c r="AA11" s="199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6">
        <v>33048202026</v>
      </c>
      <c r="B13" s="2007"/>
      <c r="C13" s="2007"/>
      <c r="D13" s="2007"/>
      <c r="E13" s="2007"/>
      <c r="F13" s="2007"/>
      <c r="G13" s="2007"/>
      <c r="H13" s="2008"/>
      <c r="I13" s="31"/>
      <c r="J13" s="30"/>
      <c r="K13" s="28"/>
      <c r="L13" s="30"/>
      <c r="M13" s="30"/>
      <c r="N13" s="30"/>
      <c r="O13" s="30"/>
      <c r="P13" s="30"/>
      <c r="Q13" s="30"/>
      <c r="R13" s="30"/>
      <c r="S13" s="30"/>
      <c r="T13" s="2011" t="s">
        <v>2078</v>
      </c>
      <c r="U13" s="2012"/>
      <c r="V13" s="2012"/>
      <c r="W13" s="2012"/>
      <c r="X13" s="2012"/>
      <c r="Y13" s="2013"/>
      <c r="Z13" s="2013"/>
      <c r="AA13" s="201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4" t="s">
        <v>2091</v>
      </c>
      <c r="B15" s="2009"/>
      <c r="C15" s="2009"/>
      <c r="D15" s="2009"/>
      <c r="E15" s="2009"/>
      <c r="F15" s="2009"/>
      <c r="G15" s="2009"/>
      <c r="H15" s="2010"/>
      <c r="T15" s="1972" t="s">
        <v>2079</v>
      </c>
      <c r="U15" s="1973"/>
      <c r="V15" s="1973"/>
      <c r="W15" s="1973"/>
      <c r="X15" s="1973"/>
      <c r="Y15" s="2015"/>
      <c r="Z15" s="2015"/>
      <c r="AA15" s="20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4" t="s">
        <v>2173</v>
      </c>
      <c r="B17" s="2034"/>
      <c r="C17" s="2034"/>
      <c r="D17" s="2034"/>
      <c r="E17" s="2034"/>
      <c r="F17" s="2034"/>
      <c r="G17" s="2034"/>
      <c r="H17" s="2035"/>
      <c r="T17" s="2021" t="s">
        <v>2080</v>
      </c>
      <c r="U17" s="2022"/>
      <c r="V17" s="2022"/>
      <c r="W17" s="2022"/>
      <c r="X17" s="2022"/>
      <c r="Y17" s="2022"/>
      <c r="Z17" s="2022"/>
      <c r="AA17" s="2023"/>
    </row>
    <row r="18" spans="1:27" ht="13.5" customHeight="1" x14ac:dyDescent="0.2">
      <c r="A18" s="85" t="s">
        <v>551</v>
      </c>
      <c r="B18" s="76"/>
      <c r="C18" s="72"/>
      <c r="D18" s="76"/>
      <c r="E18" s="76"/>
      <c r="F18" s="76"/>
      <c r="G18" s="76"/>
      <c r="H18" s="56"/>
      <c r="I18" s="2031" t="s">
        <v>697</v>
      </c>
      <c r="J18" s="2032"/>
      <c r="K18" s="2032"/>
      <c r="L18" s="2032"/>
      <c r="M18" s="2032"/>
      <c r="N18" s="2032"/>
      <c r="O18" s="2032"/>
      <c r="P18" s="2032"/>
      <c r="Q18" s="2032"/>
      <c r="R18" s="2032"/>
      <c r="S18" s="2033"/>
      <c r="T18" s="85" t="s">
        <v>735</v>
      </c>
      <c r="U18" s="51"/>
      <c r="V18" s="72"/>
      <c r="W18" s="50"/>
      <c r="X18" s="85" t="s">
        <v>284</v>
      </c>
      <c r="Y18" s="81"/>
      <c r="Z18" s="159" t="s">
        <v>698</v>
      </c>
      <c r="AA18" s="46"/>
    </row>
    <row r="19" spans="1:27" ht="13.5" customHeight="1" x14ac:dyDescent="0.2">
      <c r="A19" s="2004" t="s">
        <v>2092</v>
      </c>
      <c r="B19" s="2005"/>
      <c r="C19" s="2005"/>
      <c r="D19" s="2005"/>
      <c r="E19" s="2005"/>
      <c r="F19" s="2005"/>
      <c r="G19" s="2005"/>
      <c r="H19" s="2003"/>
      <c r="I19" s="30"/>
      <c r="J19" s="99"/>
      <c r="K19" s="40"/>
      <c r="L19" s="38"/>
      <c r="M19" s="112" t="s">
        <v>333</v>
      </c>
      <c r="P19" s="27"/>
      <c r="Q19" s="27"/>
      <c r="R19" s="27"/>
      <c r="S19" s="31"/>
      <c r="T19" s="2004" t="s">
        <v>2081</v>
      </c>
      <c r="U19" s="2002"/>
      <c r="V19" s="2002"/>
      <c r="W19" s="2003"/>
      <c r="X19" s="2019" t="s">
        <v>2082</v>
      </c>
      <c r="Y19" s="2020"/>
      <c r="Z19" s="2017">
        <v>61401</v>
      </c>
      <c r="AA19" s="201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1" t="s">
        <v>2093</v>
      </c>
      <c r="B21" s="2002"/>
      <c r="C21" s="2002"/>
      <c r="D21" s="2002"/>
      <c r="E21" s="2002"/>
      <c r="F21" s="2002"/>
      <c r="G21" s="2002"/>
      <c r="H21" s="2003"/>
      <c r="I21" s="2027" t="s">
        <v>699</v>
      </c>
      <c r="J21" s="1990"/>
      <c r="K21" s="1990"/>
      <c r="L21" s="1990"/>
      <c r="M21" s="1990"/>
      <c r="N21" s="1990"/>
      <c r="O21" s="1990"/>
      <c r="P21" s="1990"/>
      <c r="Q21" s="1990"/>
      <c r="R21" s="1990"/>
      <c r="S21" s="1991"/>
      <c r="T21" s="1969" t="s">
        <v>2084</v>
      </c>
      <c r="U21" s="1970"/>
      <c r="V21" s="1970"/>
      <c r="W21" s="1970"/>
      <c r="X21" s="1983" t="s">
        <v>2083</v>
      </c>
      <c r="Y21" s="1984"/>
      <c r="Z21" s="1984"/>
      <c r="AA21" s="1985"/>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4" t="s">
        <v>2094</v>
      </c>
      <c r="B23" s="2025"/>
      <c r="C23" s="2025"/>
      <c r="D23" s="2025"/>
      <c r="E23" s="2025"/>
      <c r="F23" s="2025"/>
      <c r="G23" s="2025"/>
      <c r="H23" s="2026"/>
      <c r="T23" s="1964" t="s">
        <v>2085</v>
      </c>
      <c r="U23" s="1965"/>
      <c r="V23" s="1965"/>
      <c r="W23" s="1965"/>
      <c r="X23" s="1980">
        <v>44469</v>
      </c>
      <c r="Y23" s="1981"/>
      <c r="Z23" s="1981"/>
      <c r="AA23" s="1982"/>
    </row>
    <row r="24" spans="1:27" ht="14.1" customHeight="1" x14ac:dyDescent="0.2">
      <c r="A24" s="88" t="s">
        <v>698</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552</v>
      </c>
      <c r="U24" s="106"/>
      <c r="V24" s="106"/>
      <c r="W24" s="106"/>
      <c r="X24" s="107"/>
      <c r="Y24" s="107"/>
      <c r="Z24" s="107"/>
      <c r="AA24" s="108"/>
    </row>
    <row r="25" spans="1:27" ht="14.1" customHeight="1" x14ac:dyDescent="0.2">
      <c r="A25" s="2001">
        <v>61448</v>
      </c>
      <c r="B25" s="2002"/>
      <c r="C25" s="2002"/>
      <c r="D25" s="2002"/>
      <c r="E25" s="2002"/>
      <c r="F25" s="2002"/>
      <c r="G25" s="2002"/>
      <c r="H25" s="2003"/>
      <c r="I25" s="113"/>
      <c r="J25" s="2068"/>
      <c r="K25" s="2068"/>
      <c r="L25" s="2068"/>
      <c r="M25" s="2068"/>
      <c r="N25" s="2068"/>
      <c r="O25" s="2068"/>
      <c r="P25" s="2068"/>
      <c r="Q25" s="2068"/>
      <c r="R25" s="2068"/>
      <c r="S25" s="2069"/>
      <c r="T25" s="1961" t="s">
        <v>2086</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9" t="s">
        <v>1591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4" t="s">
        <v>2095</v>
      </c>
      <c r="B38" s="2034"/>
      <c r="C38" s="2034"/>
      <c r="D38" s="2034"/>
      <c r="E38" s="2034"/>
      <c r="F38" s="2002"/>
      <c r="G38" s="2002"/>
      <c r="H38" s="2003"/>
      <c r="I38" s="2053"/>
      <c r="J38" s="1973"/>
      <c r="K38" s="1973"/>
      <c r="L38" s="1973"/>
      <c r="M38" s="1973"/>
      <c r="N38" s="1973"/>
      <c r="O38" s="1973"/>
      <c r="P38" s="1974"/>
      <c r="Q38" s="1974"/>
      <c r="R38" s="1974"/>
      <c r="S38" s="1975"/>
      <c r="T38" s="1972" t="s">
        <v>2087</v>
      </c>
      <c r="U38" s="1973"/>
      <c r="V38" s="1973"/>
      <c r="W38" s="1973"/>
      <c r="X38" s="1974"/>
      <c r="Y38" s="1974"/>
      <c r="Z38" s="1974"/>
      <c r="AA38" s="1975"/>
    </row>
    <row r="39" spans="1:27" ht="12" customHeight="1" x14ac:dyDescent="0.2">
      <c r="A39" s="2057" t="s">
        <v>552</v>
      </c>
      <c r="B39" s="2058"/>
      <c r="C39" s="72"/>
      <c r="D39" s="69"/>
      <c r="E39" s="69"/>
      <c r="F39" s="79"/>
      <c r="G39" s="69"/>
      <c r="H39" s="56"/>
      <c r="I39" s="2057" t="s">
        <v>552</v>
      </c>
      <c r="J39" s="2058"/>
      <c r="K39" s="2058"/>
      <c r="L39" s="2058"/>
      <c r="M39" s="2058"/>
      <c r="N39" s="67"/>
      <c r="O39" s="72"/>
      <c r="P39" s="72"/>
      <c r="Q39" s="78"/>
      <c r="R39" s="72"/>
      <c r="S39" s="56"/>
      <c r="T39" s="72" t="s">
        <v>552</v>
      </c>
      <c r="U39" s="51"/>
      <c r="V39" s="72"/>
      <c r="W39" s="50"/>
      <c r="X39" s="78"/>
      <c r="Y39" s="45"/>
      <c r="Z39" s="45"/>
      <c r="AA39" s="46"/>
    </row>
    <row r="40" spans="1:27" ht="13.5" customHeight="1" x14ac:dyDescent="0.2">
      <c r="A40" s="2060" t="s">
        <v>2096</v>
      </c>
      <c r="B40" s="2061"/>
      <c r="C40" s="2062"/>
      <c r="D40" s="2062"/>
      <c r="E40" s="2062"/>
      <c r="F40" s="2063"/>
      <c r="G40" s="2063"/>
      <c r="H40" s="2064"/>
      <c r="I40" s="1976"/>
      <c r="J40" s="1978"/>
      <c r="K40" s="1978"/>
      <c r="L40" s="1978"/>
      <c r="M40" s="1978"/>
      <c r="N40" s="1978"/>
      <c r="O40" s="1978"/>
      <c r="P40" s="1978"/>
      <c r="Q40" s="1978"/>
      <c r="R40" s="1978"/>
      <c r="S40" s="1979"/>
      <c r="T40" s="1976" t="s">
        <v>2088</v>
      </c>
      <c r="U40" s="1977"/>
      <c r="V40" s="1978"/>
      <c r="W40" s="1978"/>
      <c r="X40" s="1978"/>
      <c r="Y40" s="1978"/>
      <c r="Z40" s="1978"/>
      <c r="AA40" s="197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0" t="s">
        <v>2097</v>
      </c>
      <c r="B42" s="2051"/>
      <c r="C42" s="2052"/>
      <c r="D42" s="2065" t="s">
        <v>2098</v>
      </c>
      <c r="E42" s="2051"/>
      <c r="F42" s="2051"/>
      <c r="G42" s="2051"/>
      <c r="H42" s="2052"/>
      <c r="I42" s="1971"/>
      <c r="J42" s="1967"/>
      <c r="K42" s="1967"/>
      <c r="L42" s="1967"/>
      <c r="M42" s="1967"/>
      <c r="N42" s="1967"/>
      <c r="O42" s="1968"/>
      <c r="P42" s="1966"/>
      <c r="Q42" s="1967"/>
      <c r="R42" s="1967"/>
      <c r="S42" s="1968"/>
      <c r="T42" s="1971" t="s">
        <v>2089</v>
      </c>
      <c r="U42" s="1967"/>
      <c r="V42" s="1967"/>
      <c r="W42" s="1968"/>
      <c r="X42" s="1966" t="s">
        <v>2090</v>
      </c>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22" sqref="E2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3" t="s">
        <v>1905</v>
      </c>
      <c r="B2" s="1550" t="s">
        <v>2037</v>
      </c>
      <c r="C2" s="715" t="s">
        <v>1910</v>
      </c>
      <c r="D2" s="715" t="s">
        <v>1911</v>
      </c>
      <c r="E2" s="715" t="s">
        <v>1912</v>
      </c>
      <c r="F2" s="715" t="s">
        <v>1913</v>
      </c>
    </row>
    <row r="3" spans="1:6" ht="12" customHeight="1" x14ac:dyDescent="0.2">
      <c r="A3" s="2204"/>
      <c r="B3" s="1547"/>
      <c r="C3" s="1548"/>
      <c r="D3" s="1549" t="s">
        <v>274</v>
      </c>
      <c r="E3" s="1548"/>
      <c r="F3" s="1549" t="s">
        <v>275</v>
      </c>
    </row>
    <row r="4" spans="1:6" ht="13.7" customHeight="1" x14ac:dyDescent="0.2">
      <c r="A4" s="716" t="s">
        <v>1217</v>
      </c>
      <c r="B4" s="1771">
        <f>'Revenues 9-14'!C5</f>
        <v>3070634</v>
      </c>
      <c r="C4" s="1546">
        <v>1767507</v>
      </c>
      <c r="D4" s="1774">
        <f>B4-C4</f>
        <v>1303127</v>
      </c>
      <c r="E4" s="1546">
        <v>3081152</v>
      </c>
      <c r="F4" s="1774">
        <f>E4-C4</f>
        <v>1313645</v>
      </c>
    </row>
    <row r="5" spans="1:6" ht="13.7" customHeight="1" x14ac:dyDescent="0.2">
      <c r="A5" s="716" t="s">
        <v>925</v>
      </c>
      <c r="B5" s="1772">
        <f>'Revenues 9-14'!D5</f>
        <v>529421</v>
      </c>
      <c r="C5" s="585">
        <v>304744</v>
      </c>
      <c r="D5" s="1775">
        <f t="shared" ref="D5:D18" si="0">B5-C5</f>
        <v>224677</v>
      </c>
      <c r="E5" s="585">
        <v>531233</v>
      </c>
      <c r="F5" s="1775">
        <f>E5-C5</f>
        <v>226489</v>
      </c>
    </row>
    <row r="6" spans="1:6" ht="13.7" customHeight="1" x14ac:dyDescent="0.2">
      <c r="A6" s="716" t="s">
        <v>431</v>
      </c>
      <c r="B6" s="1772">
        <f>'Revenues 9-14'!E5</f>
        <v>563319</v>
      </c>
      <c r="C6" s="585">
        <v>225698</v>
      </c>
      <c r="D6" s="1775">
        <f t="shared" si="0"/>
        <v>337621</v>
      </c>
      <c r="E6" s="585">
        <v>393442</v>
      </c>
      <c r="F6" s="1775">
        <f t="shared" ref="F6:F18" si="1">E6-C6</f>
        <v>167744</v>
      </c>
    </row>
    <row r="7" spans="1:6" ht="13.7" customHeight="1" x14ac:dyDescent="0.2">
      <c r="A7" s="716" t="s">
        <v>157</v>
      </c>
      <c r="B7" s="1772">
        <f>'Revenues 9-14'!F5</f>
        <v>211768</v>
      </c>
      <c r="C7" s="585">
        <v>121898</v>
      </c>
      <c r="D7" s="1775">
        <f t="shared" si="0"/>
        <v>89870</v>
      </c>
      <c r="E7" s="585">
        <v>212493</v>
      </c>
      <c r="F7" s="1775">
        <f t="shared" si="1"/>
        <v>90595</v>
      </c>
    </row>
    <row r="8" spans="1:6" ht="13.7" customHeight="1" x14ac:dyDescent="0.2">
      <c r="A8" s="716" t="s">
        <v>1241</v>
      </c>
      <c r="B8" s="1772">
        <f>'Revenues 9-14'!G5</f>
        <v>40175</v>
      </c>
      <c r="C8" s="585">
        <v>14341</v>
      </c>
      <c r="D8" s="1775">
        <f t="shared" si="0"/>
        <v>25834</v>
      </c>
      <c r="E8" s="585">
        <v>25000</v>
      </c>
      <c r="F8" s="1775">
        <f t="shared" si="1"/>
        <v>10659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52941</v>
      </c>
      <c r="C10" s="585">
        <v>30474</v>
      </c>
      <c r="D10" s="1775">
        <f t="shared" si="0"/>
        <v>22467</v>
      </c>
      <c r="E10" s="585">
        <v>53123</v>
      </c>
      <c r="F10" s="1775">
        <f t="shared" si="1"/>
        <v>22649</v>
      </c>
    </row>
    <row r="11" spans="1:6" x14ac:dyDescent="0.2">
      <c r="A11" s="716" t="s">
        <v>429</v>
      </c>
      <c r="B11" s="1772">
        <f>'Revenues 9-14'!J5</f>
        <v>215832</v>
      </c>
      <c r="C11" s="585">
        <v>114737</v>
      </c>
      <c r="D11" s="1775">
        <f t="shared" si="0"/>
        <v>101095</v>
      </c>
      <c r="E11" s="585">
        <v>200009</v>
      </c>
      <c r="F11" s="1775">
        <f t="shared" si="1"/>
        <v>85272</v>
      </c>
    </row>
    <row r="12" spans="1:6" ht="13.7" customHeight="1" x14ac:dyDescent="0.2">
      <c r="A12" s="716" t="s">
        <v>159</v>
      </c>
      <c r="B12" s="1772">
        <f>'Revenues 9-14'!K5</f>
        <v>52941</v>
      </c>
      <c r="C12" s="585">
        <v>30474</v>
      </c>
      <c r="D12" s="1775">
        <f t="shared" si="0"/>
        <v>22467</v>
      </c>
      <c r="E12" s="585">
        <v>53123</v>
      </c>
      <c r="F12" s="1775">
        <f t="shared" si="1"/>
        <v>22649</v>
      </c>
    </row>
    <row r="13" spans="1:6" ht="13.7" customHeight="1" x14ac:dyDescent="0.2">
      <c r="A13" s="716" t="s">
        <v>993</v>
      </c>
      <c r="B13" s="1772">
        <f>SUM('Revenues 9-14'!C6:D6)</f>
        <v>52941</v>
      </c>
      <c r="C13" s="585">
        <v>30474</v>
      </c>
      <c r="D13" s="1775">
        <f t="shared" si="0"/>
        <v>22467</v>
      </c>
      <c r="E13" s="585">
        <v>53123</v>
      </c>
      <c r="F13" s="1775">
        <f t="shared" si="1"/>
        <v>22649</v>
      </c>
    </row>
    <row r="14" spans="1:6" ht="13.7" customHeight="1" x14ac:dyDescent="0.2">
      <c r="A14" s="716" t="s">
        <v>430</v>
      </c>
      <c r="B14" s="1772">
        <f>SUM('Revenues 9-14'!C7:D7,'Revenues 9-14'!F7:H7)</f>
        <v>42353</v>
      </c>
      <c r="C14" s="585">
        <v>24380</v>
      </c>
      <c r="D14" s="1775">
        <f t="shared" si="0"/>
        <v>17973</v>
      </c>
      <c r="E14" s="585">
        <v>42499</v>
      </c>
      <c r="F14" s="1775">
        <f t="shared" si="1"/>
        <v>18119</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34382</v>
      </c>
      <c r="C16" s="585">
        <v>14341</v>
      </c>
      <c r="D16" s="1775">
        <f t="shared" si="0"/>
        <v>20041</v>
      </c>
      <c r="E16" s="585">
        <v>25000</v>
      </c>
      <c r="F16" s="1775">
        <f t="shared" si="1"/>
        <v>10659</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4866707</v>
      </c>
      <c r="C19" s="1773">
        <f>SUM(C4:C18)</f>
        <v>2679068</v>
      </c>
      <c r="D19" s="1773">
        <f>SUM(D4:D18)</f>
        <v>2187639</v>
      </c>
      <c r="E19" s="1773">
        <f>SUM(E4:E18)</f>
        <v>4670197</v>
      </c>
      <c r="F19" s="1773">
        <f>SUM(F4:F18)</f>
        <v>1991129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0" colorId="8" zoomScale="110" zoomScaleNormal="110" workbookViewId="0">
      <selection activeCell="E22" sqref="E2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650</v>
      </c>
      <c r="B1" s="2210"/>
      <c r="C1" s="722"/>
    </row>
    <row r="2" spans="1:7" ht="33.75" x14ac:dyDescent="0.2">
      <c r="A2" s="2218" t="s">
        <v>1905</v>
      </c>
      <c r="B2" s="2219"/>
      <c r="C2" s="1909" t="s">
        <v>2038</v>
      </c>
      <c r="D2" s="724" t="s">
        <v>2045</v>
      </c>
      <c r="E2" s="724" t="s">
        <v>2046</v>
      </c>
      <c r="F2" s="1909" t="s">
        <v>2039</v>
      </c>
    </row>
    <row r="3" spans="1:7" ht="15.75" customHeight="1" x14ac:dyDescent="0.2">
      <c r="A3" s="2222" t="s">
        <v>1176</v>
      </c>
      <c r="B3" s="2223"/>
      <c r="C3" s="2211"/>
      <c r="D3" s="2212"/>
      <c r="E3" s="2212"/>
      <c r="F3" s="2213"/>
    </row>
    <row r="4" spans="1:7" ht="12.75" customHeight="1" thickBot="1" x14ac:dyDescent="0.25">
      <c r="A4" s="2220" t="s">
        <v>651</v>
      </c>
      <c r="B4" s="2221"/>
      <c r="C4" s="581"/>
      <c r="D4" s="581"/>
      <c r="E4" s="581"/>
      <c r="F4" s="1777">
        <f>SUM(C4+D4)-E4</f>
        <v>0</v>
      </c>
    </row>
    <row r="5" spans="1:7" ht="15.75" customHeight="1" thickTop="1" x14ac:dyDescent="0.2">
      <c r="A5" s="2205" t="s">
        <v>1172</v>
      </c>
      <c r="B5" s="2206"/>
      <c r="C5" s="2214"/>
      <c r="D5" s="2215"/>
      <c r="E5" s="2215"/>
      <c r="F5" s="2216"/>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7" t="s">
        <v>652</v>
      </c>
      <c r="B15" s="2208"/>
      <c r="C15" s="1777">
        <f>SUM(C6:C14)</f>
        <v>0</v>
      </c>
      <c r="D15" s="1777">
        <f>SUM(D6:D14)</f>
        <v>0</v>
      </c>
      <c r="E15" s="1777">
        <f>SUM(E6:E14)</f>
        <v>0</v>
      </c>
      <c r="F15" s="1777">
        <f>SUM(F6:F14)</f>
        <v>0</v>
      </c>
      <c r="G15" s="552"/>
    </row>
    <row r="16" spans="1:7" s="202" customFormat="1" ht="15.75" customHeight="1" thickTop="1" x14ac:dyDescent="0.2">
      <c r="A16" s="2217" t="s">
        <v>1173</v>
      </c>
      <c r="B16" s="2206"/>
      <c r="C16" s="2214"/>
      <c r="D16" s="2215"/>
      <c r="E16" s="2215"/>
      <c r="F16" s="2216"/>
    </row>
    <row r="17" spans="1:11" ht="12.75" customHeight="1" thickBot="1" x14ac:dyDescent="0.25">
      <c r="A17" s="2230" t="s">
        <v>66</v>
      </c>
      <c r="B17" s="2231"/>
      <c r="C17" s="727"/>
      <c r="D17" s="585"/>
      <c r="E17" s="727"/>
      <c r="F17" s="1777">
        <f>SUM(C17+D17)-E17</f>
        <v>0</v>
      </c>
    </row>
    <row r="18" spans="1:11" ht="12.75" customHeight="1" thickTop="1" thickBot="1" x14ac:dyDescent="0.25">
      <c r="A18" s="2230" t="s">
        <v>6</v>
      </c>
      <c r="B18" s="2231"/>
      <c r="C18" s="727"/>
      <c r="D18" s="585"/>
      <c r="E18" s="727"/>
      <c r="F18" s="1777">
        <f>SUM(C18+D18)-E18</f>
        <v>0</v>
      </c>
    </row>
    <row r="19" spans="1:11" ht="12.75" customHeight="1" thickTop="1" thickBot="1" x14ac:dyDescent="0.25">
      <c r="A19" s="2230" t="s">
        <v>406</v>
      </c>
      <c r="B19" s="2231"/>
      <c r="C19" s="727"/>
      <c r="D19" s="585"/>
      <c r="E19" s="727"/>
      <c r="F19" s="1777">
        <f>SUM(C19+D19)-E19</f>
        <v>0</v>
      </c>
    </row>
    <row r="20" spans="1:11" ht="12.75" customHeight="1" thickTop="1" thickBot="1" x14ac:dyDescent="0.25">
      <c r="A20" s="2230" t="s">
        <v>468</v>
      </c>
      <c r="B20" s="2231"/>
      <c r="C20" s="727"/>
      <c r="D20" s="585"/>
      <c r="E20" s="727"/>
      <c r="F20" s="1777">
        <f>SUM(C20+D20)-E20</f>
        <v>0</v>
      </c>
    </row>
    <row r="21" spans="1:11" ht="14.25" thickTop="1" thickBot="1" x14ac:dyDescent="0.25">
      <c r="A21" s="2207" t="s">
        <v>653</v>
      </c>
      <c r="B21" s="2208"/>
      <c r="C21" s="1777">
        <f>SUM(C17:C20)</f>
        <v>0</v>
      </c>
      <c r="D21" s="1777">
        <f>SUM(D17:D20)</f>
        <v>0</v>
      </c>
      <c r="E21" s="1777">
        <f>SUM(E17:E20)</f>
        <v>0</v>
      </c>
      <c r="F21" s="1777">
        <f>SUM(F17:F20)</f>
        <v>0</v>
      </c>
      <c r="G21" s="552"/>
    </row>
    <row r="22" spans="1:11" ht="15.75" customHeight="1" thickTop="1" x14ac:dyDescent="0.2">
      <c r="A22" s="2232" t="s">
        <v>1174</v>
      </c>
      <c r="B22" s="2206"/>
      <c r="C22" s="2214"/>
      <c r="D22" s="2215"/>
      <c r="E22" s="2215"/>
      <c r="F22" s="2216"/>
    </row>
    <row r="23" spans="1:11" ht="13.5" thickBot="1" x14ac:dyDescent="0.25">
      <c r="A23" s="2220" t="s">
        <v>654</v>
      </c>
      <c r="B23" s="2221"/>
      <c r="C23" s="581"/>
      <c r="D23" s="581"/>
      <c r="E23" s="581"/>
      <c r="F23" s="1777">
        <f>SUM(C23+D23)-E23</f>
        <v>0</v>
      </c>
      <c r="G23" s="552"/>
    </row>
    <row r="24" spans="1:11" ht="15.75" customHeight="1" thickTop="1" x14ac:dyDescent="0.2">
      <c r="A24" s="2232" t="s">
        <v>1175</v>
      </c>
      <c r="B24" s="2206"/>
      <c r="C24" s="2214"/>
      <c r="D24" s="2215"/>
      <c r="E24" s="2215"/>
      <c r="F24" s="2216"/>
    </row>
    <row r="25" spans="1:11" ht="13.5" thickBot="1" x14ac:dyDescent="0.25">
      <c r="A25" s="2220" t="s">
        <v>655</v>
      </c>
      <c r="B25" s="2221"/>
      <c r="C25" s="581"/>
      <c r="D25" s="581"/>
      <c r="E25" s="581"/>
      <c r="F25" s="1777">
        <f>SUM(C25+D25)-E25</f>
        <v>0</v>
      </c>
      <c r="G25" s="552"/>
    </row>
    <row r="26" spans="1:11" ht="15.75" customHeight="1" thickTop="1" x14ac:dyDescent="0.2">
      <c r="A26" s="2205" t="s">
        <v>678</v>
      </c>
      <c r="B26" s="2206"/>
      <c r="C26" s="728"/>
      <c r="D26" s="728"/>
      <c r="E26" s="728"/>
      <c r="F26" s="729"/>
    </row>
    <row r="27" spans="1:11" ht="13.5" thickBot="1" x14ac:dyDescent="0.25">
      <c r="A27" s="2207" t="s">
        <v>1130</v>
      </c>
      <c r="B27" s="2208"/>
      <c r="C27" s="585"/>
      <c r="D27" s="585"/>
      <c r="E27" s="585"/>
      <c r="F27" s="1777">
        <f>SUM(C27+D27)-E27</f>
        <v>0</v>
      </c>
      <c r="G27" s="552"/>
    </row>
    <row r="28" spans="1:11" ht="7.5" customHeight="1" thickTop="1" x14ac:dyDescent="0.2">
      <c r="A28" s="594"/>
    </row>
    <row r="29" spans="1:11" ht="23.25" customHeight="1" x14ac:dyDescent="0.2">
      <c r="A29" s="2233" t="s">
        <v>603</v>
      </c>
      <c r="B29" s="2210"/>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2106</v>
      </c>
      <c r="B31" s="734">
        <v>39351</v>
      </c>
      <c r="C31" s="735">
        <v>4005000</v>
      </c>
      <c r="D31" s="736">
        <v>4</v>
      </c>
      <c r="E31" s="735">
        <v>2065000</v>
      </c>
      <c r="F31" s="735"/>
      <c r="G31" s="735">
        <v>-1875000</v>
      </c>
      <c r="H31" s="735">
        <v>190000</v>
      </c>
      <c r="I31" s="1778">
        <f>((E31+F31)-H31)+G31</f>
        <v>0</v>
      </c>
      <c r="J31" s="735"/>
      <c r="K31" s="737"/>
    </row>
    <row r="32" spans="1:11" ht="12" customHeight="1" x14ac:dyDescent="0.2">
      <c r="A32" s="733" t="s">
        <v>2107</v>
      </c>
      <c r="B32" s="734">
        <v>40725</v>
      </c>
      <c r="C32" s="735">
        <v>1500000</v>
      </c>
      <c r="D32" s="736">
        <v>7</v>
      </c>
      <c r="E32" s="735">
        <v>755000</v>
      </c>
      <c r="F32" s="735"/>
      <c r="G32" s="735"/>
      <c r="H32" s="735">
        <v>305000</v>
      </c>
      <c r="I32" s="1778">
        <f>((E32+F32)-H32)+G32</f>
        <v>450000</v>
      </c>
      <c r="J32" s="735">
        <v>450000</v>
      </c>
      <c r="K32" s="737"/>
    </row>
    <row r="33" spans="1:11" ht="12" customHeight="1" x14ac:dyDescent="0.2">
      <c r="A33" s="733" t="s">
        <v>2108</v>
      </c>
      <c r="B33" s="734">
        <v>41061</v>
      </c>
      <c r="C33" s="735">
        <v>9000000</v>
      </c>
      <c r="D33" s="736">
        <v>8</v>
      </c>
      <c r="E33" s="735">
        <v>7875000</v>
      </c>
      <c r="F33" s="735"/>
      <c r="G33" s="735"/>
      <c r="H33" s="735">
        <v>245000</v>
      </c>
      <c r="I33" s="1778">
        <f t="shared" ref="I33:I48" si="1">((E33+F33)-H33)+G33</f>
        <v>7630000</v>
      </c>
      <c r="J33" s="735">
        <v>7630000</v>
      </c>
      <c r="K33" s="737"/>
    </row>
    <row r="34" spans="1:11" ht="12" customHeight="1" x14ac:dyDescent="0.2">
      <c r="A34" s="733" t="s">
        <v>2109</v>
      </c>
      <c r="B34" s="734">
        <v>41814</v>
      </c>
      <c r="C34" s="735">
        <v>3625000</v>
      </c>
      <c r="D34" s="736">
        <v>8</v>
      </c>
      <c r="E34" s="735">
        <v>3625000</v>
      </c>
      <c r="F34" s="735"/>
      <c r="G34" s="735"/>
      <c r="H34" s="735"/>
      <c r="I34" s="1778">
        <f t="shared" si="1"/>
        <v>3625000</v>
      </c>
      <c r="J34" s="735">
        <v>3565196</v>
      </c>
      <c r="K34" s="738"/>
    </row>
    <row r="35" spans="1:11" ht="12" customHeight="1" x14ac:dyDescent="0.2">
      <c r="A35" s="733" t="s">
        <v>2110</v>
      </c>
      <c r="B35" s="734">
        <v>42422</v>
      </c>
      <c r="C35" s="739">
        <v>360000</v>
      </c>
      <c r="D35" s="736">
        <v>1</v>
      </c>
      <c r="E35" s="739">
        <v>360000</v>
      </c>
      <c r="F35" s="739"/>
      <c r="G35" s="739"/>
      <c r="H35" s="739">
        <v>360000</v>
      </c>
      <c r="I35" s="1778">
        <f t="shared" si="1"/>
        <v>0</v>
      </c>
      <c r="J35" s="739"/>
      <c r="K35" s="738"/>
    </row>
    <row r="36" spans="1:11" ht="12" customHeight="1" x14ac:dyDescent="0.2">
      <c r="A36" s="733" t="s">
        <v>2113</v>
      </c>
      <c r="B36" s="734">
        <v>42996</v>
      </c>
      <c r="C36" s="735">
        <v>1145000</v>
      </c>
      <c r="D36" s="736">
        <v>3</v>
      </c>
      <c r="E36" s="735"/>
      <c r="F36" s="735"/>
      <c r="G36" s="735">
        <v>1145000</v>
      </c>
      <c r="H36" s="735"/>
      <c r="I36" s="1778">
        <f t="shared" si="1"/>
        <v>1145000</v>
      </c>
      <c r="J36" s="735">
        <v>1145000</v>
      </c>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19635000</v>
      </c>
      <c r="D49" s="746"/>
      <c r="E49" s="1778">
        <f t="shared" ref="E49:J49" si="2">SUM(E31:E48)</f>
        <v>14680000</v>
      </c>
      <c r="F49" s="1778">
        <f t="shared" si="2"/>
        <v>0</v>
      </c>
      <c r="G49" s="1778">
        <f t="shared" si="2"/>
        <v>-730000</v>
      </c>
      <c r="H49" s="1778">
        <f t="shared" si="2"/>
        <v>1100000</v>
      </c>
      <c r="I49" s="1778">
        <f t="shared" si="2"/>
        <v>12850000</v>
      </c>
      <c r="J49" s="1778">
        <f t="shared" si="2"/>
        <v>12790196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4" t="s">
        <v>605</v>
      </c>
      <c r="C52" s="2225"/>
      <c r="D52" s="2225"/>
      <c r="E52" s="750" t="s">
        <v>900</v>
      </c>
      <c r="F52" s="2226" t="s">
        <v>2111</v>
      </c>
      <c r="G52" s="2227"/>
      <c r="H52" s="737"/>
      <c r="I52" s="737"/>
      <c r="J52" s="747"/>
    </row>
    <row r="53" spans="1:11" ht="11.25" customHeight="1" x14ac:dyDescent="0.2">
      <c r="A53" s="751" t="s">
        <v>969</v>
      </c>
      <c r="B53" s="752" t="s">
        <v>1008</v>
      </c>
      <c r="C53" s="747"/>
      <c r="D53" s="738"/>
      <c r="E53" s="750" t="s">
        <v>518</v>
      </c>
      <c r="F53" s="2228" t="s">
        <v>2112</v>
      </c>
      <c r="G53" s="2229"/>
      <c r="H53" s="737"/>
      <c r="I53" s="737"/>
      <c r="J53" s="747"/>
    </row>
    <row r="54" spans="1:11" ht="11.25" customHeight="1" x14ac:dyDescent="0.2">
      <c r="A54" s="753" t="s">
        <v>970</v>
      </c>
      <c r="B54" s="748" t="s">
        <v>1009</v>
      </c>
      <c r="C54" s="747"/>
      <c r="D54" s="738"/>
      <c r="E54" s="750" t="s">
        <v>519</v>
      </c>
      <c r="F54" s="2228"/>
      <c r="G54" s="222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E22" sqref="E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911</v>
      </c>
      <c r="B1" s="2259"/>
      <c r="C1" s="2259"/>
      <c r="D1" s="2259"/>
      <c r="E1" s="2259"/>
      <c r="F1" s="2259"/>
      <c r="G1" s="2260"/>
      <c r="H1" s="1552"/>
      <c r="I1" s="761"/>
      <c r="J1" s="433"/>
    </row>
    <row r="2" spans="1:11" ht="26.25" x14ac:dyDescent="0.2">
      <c r="A2" s="2237" t="s">
        <v>1776</v>
      </c>
      <c r="B2" s="2238"/>
      <c r="C2" s="2238"/>
      <c r="D2" s="2238"/>
      <c r="E2" s="2239"/>
      <c r="F2" s="762" t="s">
        <v>960</v>
      </c>
      <c r="G2" s="763" t="s">
        <v>1773</v>
      </c>
      <c r="H2" s="763" t="s">
        <v>430</v>
      </c>
      <c r="I2" s="763" t="s">
        <v>1220</v>
      </c>
      <c r="J2" s="763" t="s">
        <v>1919</v>
      </c>
      <c r="K2" s="763" t="s">
        <v>140</v>
      </c>
    </row>
    <row r="3" spans="1:11" x14ac:dyDescent="0.2">
      <c r="A3" s="2240" t="s">
        <v>1698</v>
      </c>
      <c r="B3" s="2241"/>
      <c r="C3" s="2241"/>
      <c r="D3" s="2241"/>
      <c r="E3" s="2242"/>
      <c r="F3" s="764"/>
      <c r="G3" s="765"/>
      <c r="H3" s="765"/>
      <c r="I3" s="765"/>
      <c r="J3" s="766"/>
      <c r="K3" s="766"/>
    </row>
    <row r="4" spans="1:11" x14ac:dyDescent="0.2">
      <c r="A4" s="2243" t="s">
        <v>387</v>
      </c>
      <c r="B4" s="2244"/>
      <c r="C4" s="2244"/>
      <c r="D4" s="2244"/>
      <c r="E4" s="2225"/>
      <c r="F4" s="767"/>
      <c r="G4" s="768"/>
      <c r="H4" s="769"/>
      <c r="I4" s="768"/>
      <c r="J4" s="770"/>
      <c r="K4" s="770"/>
    </row>
    <row r="5" spans="1:11" x14ac:dyDescent="0.2">
      <c r="A5" s="2261" t="s">
        <v>1129</v>
      </c>
      <c r="B5" s="2234"/>
      <c r="C5" s="2234"/>
      <c r="D5" s="2234"/>
      <c r="E5" s="2262"/>
      <c r="F5" s="771" t="s">
        <v>903</v>
      </c>
      <c r="G5" s="772"/>
      <c r="H5" s="765">
        <v>42353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4115</v>
      </c>
    </row>
    <row r="8" spans="1:11" x14ac:dyDescent="0.2">
      <c r="A8" s="779" t="s">
        <v>363</v>
      </c>
      <c r="B8" s="780"/>
      <c r="C8" s="780"/>
      <c r="D8" s="780"/>
      <c r="E8" s="781"/>
      <c r="F8" s="771" t="s">
        <v>906</v>
      </c>
      <c r="G8" s="783"/>
      <c r="H8" s="783"/>
      <c r="I8" s="783"/>
      <c r="J8" s="766">
        <v>659550</v>
      </c>
      <c r="K8" s="770"/>
    </row>
    <row r="9" spans="1:11" x14ac:dyDescent="0.2">
      <c r="A9" s="779" t="s">
        <v>140</v>
      </c>
      <c r="B9" s="780"/>
      <c r="C9" s="780"/>
      <c r="D9" s="780"/>
      <c r="E9" s="781"/>
      <c r="F9" s="778" t="s">
        <v>908</v>
      </c>
      <c r="G9" s="783"/>
      <c r="H9" s="772"/>
      <c r="I9" s="772"/>
      <c r="J9" s="782"/>
      <c r="K9" s="766">
        <v>16623</v>
      </c>
    </row>
    <row r="10" spans="1:11" x14ac:dyDescent="0.2">
      <c r="A10" s="2261" t="s">
        <v>1920</v>
      </c>
      <c r="B10" s="2234"/>
      <c r="C10" s="2234"/>
      <c r="D10" s="2234"/>
      <c r="E10" s="2263"/>
      <c r="F10" s="784" t="s">
        <v>917</v>
      </c>
      <c r="G10" s="783"/>
      <c r="H10" s="785"/>
      <c r="I10" s="765"/>
      <c r="J10" s="766"/>
      <c r="K10" s="766"/>
    </row>
    <row r="11" spans="1:11" x14ac:dyDescent="0.2">
      <c r="A11" s="2261" t="s">
        <v>162</v>
      </c>
      <c r="B11" s="2234"/>
      <c r="C11" s="2234"/>
      <c r="D11" s="2234"/>
      <c r="E11" s="2262"/>
      <c r="F11" s="771" t="s">
        <v>907</v>
      </c>
      <c r="G11" s="772"/>
      <c r="H11" s="765"/>
      <c r="I11" s="765"/>
      <c r="J11" s="766"/>
      <c r="K11" s="774"/>
    </row>
    <row r="12" spans="1:11" ht="13.5" thickBot="1" x14ac:dyDescent="0.25">
      <c r="A12" s="2251" t="s">
        <v>961</v>
      </c>
      <c r="B12" s="2252"/>
      <c r="C12" s="2252"/>
      <c r="D12" s="2252"/>
      <c r="E12" s="2253"/>
      <c r="F12" s="1779"/>
      <c r="G12" s="1780">
        <f>SUM(G5:G11)</f>
        <v>0</v>
      </c>
      <c r="H12" s="1780">
        <f>SUM(H5:H11)</f>
        <v>42353</v>
      </c>
      <c r="I12" s="1780">
        <f>SUM(I5:I11)</f>
        <v>0</v>
      </c>
      <c r="J12" s="1780">
        <f>SUM(J5:J11)</f>
        <v>659550</v>
      </c>
      <c r="K12" s="1780">
        <f>SUM(K5:K11)</f>
        <v>20738</v>
      </c>
    </row>
    <row r="13" spans="1:11" ht="13.5" thickTop="1" x14ac:dyDescent="0.2">
      <c r="A13" s="2245" t="s">
        <v>388</v>
      </c>
      <c r="B13" s="2246"/>
      <c r="C13" s="2246"/>
      <c r="D13" s="2246"/>
      <c r="E13" s="2247"/>
      <c r="F13" s="786"/>
      <c r="G13" s="787"/>
      <c r="H13" s="788"/>
      <c r="I13" s="789"/>
      <c r="J13" s="789"/>
      <c r="K13" s="789"/>
    </row>
    <row r="14" spans="1:11" x14ac:dyDescent="0.2">
      <c r="A14" s="2267" t="s">
        <v>476</v>
      </c>
      <c r="B14" s="2267"/>
      <c r="C14" s="2267"/>
      <c r="D14" s="2267"/>
      <c r="E14" s="2268"/>
      <c r="F14" s="790" t="s">
        <v>909</v>
      </c>
      <c r="G14" s="783"/>
      <c r="H14" s="765">
        <v>457236</v>
      </c>
      <c r="I14" s="772"/>
      <c r="J14" s="774"/>
      <c r="K14" s="766">
        <v>17776</v>
      </c>
    </row>
    <row r="15" spans="1:11" x14ac:dyDescent="0.2">
      <c r="A15" s="2234" t="s">
        <v>4</v>
      </c>
      <c r="B15" s="2234"/>
      <c r="C15" s="2234"/>
      <c r="D15" s="2234"/>
      <c r="E15" s="2262"/>
      <c r="F15" s="790" t="s">
        <v>910</v>
      </c>
      <c r="G15" s="772"/>
      <c r="H15" s="765"/>
      <c r="I15" s="765"/>
      <c r="J15" s="766"/>
      <c r="K15" s="766"/>
    </row>
    <row r="16" spans="1:11" x14ac:dyDescent="0.2">
      <c r="A16" s="2234" t="s">
        <v>316</v>
      </c>
      <c r="B16" s="2234"/>
      <c r="C16" s="2234"/>
      <c r="D16" s="2234"/>
      <c r="E16" s="2262"/>
      <c r="F16" s="790" t="s">
        <v>980</v>
      </c>
      <c r="G16" s="773"/>
      <c r="H16" s="768"/>
      <c r="I16" s="768"/>
      <c r="J16" s="770"/>
      <c r="K16" s="770"/>
    </row>
    <row r="17" spans="1:11" x14ac:dyDescent="0.2">
      <c r="A17" s="2256" t="s">
        <v>992</v>
      </c>
      <c r="B17" s="2256"/>
      <c r="C17" s="2256"/>
      <c r="D17" s="2256"/>
      <c r="E17" s="2257"/>
      <c r="F17" s="791"/>
      <c r="G17" s="792"/>
      <c r="H17" s="793"/>
      <c r="I17" s="793"/>
      <c r="J17" s="794"/>
      <c r="K17" s="795"/>
    </row>
    <row r="18" spans="1:11" x14ac:dyDescent="0.2">
      <c r="A18" s="2248" t="s">
        <v>386</v>
      </c>
      <c r="B18" s="2249"/>
      <c r="C18" s="2249"/>
      <c r="D18" s="2249"/>
      <c r="E18" s="2250"/>
      <c r="F18" s="790" t="s">
        <v>989</v>
      </c>
      <c r="G18" s="783"/>
      <c r="H18" s="783"/>
      <c r="I18" s="783"/>
      <c r="J18" s="766">
        <v>483040</v>
      </c>
      <c r="K18" s="796"/>
    </row>
    <row r="19" spans="1:11" ht="21.75" customHeight="1" x14ac:dyDescent="0.2">
      <c r="A19" s="2269" t="s">
        <v>1916</v>
      </c>
      <c r="B19" s="2269"/>
      <c r="C19" s="2269"/>
      <c r="D19" s="2269"/>
      <c r="E19" s="2270"/>
      <c r="F19" s="790" t="s">
        <v>990</v>
      </c>
      <c r="G19" s="783"/>
      <c r="H19" s="783"/>
      <c r="I19" s="783"/>
      <c r="J19" s="766">
        <v>1100000</v>
      </c>
      <c r="K19" s="796"/>
    </row>
    <row r="20" spans="1:11" x14ac:dyDescent="0.2">
      <c r="A20" s="2248" t="s">
        <v>1921</v>
      </c>
      <c r="B20" s="2249"/>
      <c r="C20" s="2249"/>
      <c r="D20" s="2249"/>
      <c r="E20" s="2250"/>
      <c r="F20" s="790" t="s">
        <v>991</v>
      </c>
      <c r="G20" s="783"/>
      <c r="H20" s="783"/>
      <c r="I20" s="783"/>
      <c r="J20" s="766">
        <v>2750</v>
      </c>
      <c r="K20" s="796"/>
    </row>
    <row r="21" spans="1:11" ht="13.5" thickBot="1" x14ac:dyDescent="0.25">
      <c r="A21" s="2254" t="s">
        <v>659</v>
      </c>
      <c r="B21" s="2254"/>
      <c r="C21" s="2254"/>
      <c r="D21" s="2254"/>
      <c r="E21" s="2254"/>
      <c r="F21" s="1781"/>
      <c r="G21" s="793"/>
      <c r="H21" s="797"/>
      <c r="I21" s="797"/>
      <c r="J21" s="1782">
        <f>SUM(J18:J20)</f>
        <v>1585790</v>
      </c>
      <c r="K21" s="794"/>
    </row>
    <row r="22" spans="1:11" ht="13.5" thickTop="1" x14ac:dyDescent="0.2">
      <c r="A22" s="2234" t="s">
        <v>1922</v>
      </c>
      <c r="B22" s="2234"/>
      <c r="C22" s="2234"/>
      <c r="D22" s="2234"/>
      <c r="E22" s="2262"/>
      <c r="F22" s="790" t="s">
        <v>917</v>
      </c>
      <c r="G22" s="783"/>
      <c r="H22" s="765"/>
      <c r="I22" s="765"/>
      <c r="J22" s="798"/>
      <c r="K22" s="766"/>
    </row>
    <row r="23" spans="1:11" ht="13.5" thickBot="1" x14ac:dyDescent="0.25">
      <c r="A23" s="2255" t="s">
        <v>962</v>
      </c>
      <c r="B23" s="2254"/>
      <c r="C23" s="2254"/>
      <c r="D23" s="2254"/>
      <c r="E23" s="2254"/>
      <c r="F23" s="1783"/>
      <c r="G23" s="1780">
        <f>SUM(G14:G16,G21,G22)</f>
        <v>0</v>
      </c>
      <c r="H23" s="1780">
        <f>SUM(H14:H16,H21,H22)</f>
        <v>457236</v>
      </c>
      <c r="I23" s="1780">
        <f>SUM(I14:I16,I21,I22)</f>
        <v>0</v>
      </c>
      <c r="J23" s="1780">
        <f>SUM(J14:J16,J21,J22)</f>
        <v>1585790</v>
      </c>
      <c r="K23" s="1780">
        <f>SUM(K14:K16,K21,K22)</f>
        <v>17776</v>
      </c>
    </row>
    <row r="24" spans="1:11" ht="14.25" thickTop="1" thickBot="1" x14ac:dyDescent="0.25">
      <c r="A24" s="2255" t="s">
        <v>2026</v>
      </c>
      <c r="B24" s="2254"/>
      <c r="C24" s="2254"/>
      <c r="D24" s="2254"/>
      <c r="E24" s="2254"/>
      <c r="F24" s="1784"/>
      <c r="G24" s="1785">
        <f>SUM(G3,G12)-G23</f>
        <v>0</v>
      </c>
      <c r="H24" s="1785">
        <f>SUM(H3,H12)-H23</f>
        <v>-414883</v>
      </c>
      <c r="I24" s="1785">
        <f>SUM(I3,I12)-I23</f>
        <v>0</v>
      </c>
      <c r="J24" s="1785">
        <f>SUM(J3,J12)-J23</f>
        <v>-926240</v>
      </c>
      <c r="K24" s="1785">
        <f>SUM(K3,K12)-K23</f>
        <v>2962</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-414883</v>
      </c>
      <c r="I26" s="1780">
        <f>I24-I25</f>
        <v>0</v>
      </c>
      <c r="J26" s="1780">
        <f>J24-J25</f>
        <v>-926240</v>
      </c>
      <c r="K26" s="1780">
        <f>K24-K25</f>
        <v>2962</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4"/>
      <c r="I31" s="2265"/>
      <c r="J31" s="2265"/>
      <c r="K31" s="2265"/>
    </row>
    <row r="32" spans="1:11" x14ac:dyDescent="0.2">
      <c r="A32" s="810"/>
      <c r="B32" s="237"/>
      <c r="C32" s="237"/>
      <c r="D32" s="237"/>
      <c r="E32" s="806"/>
      <c r="F32" s="812" t="s">
        <v>561</v>
      </c>
      <c r="G32" s="765"/>
      <c r="H32" s="2266"/>
      <c r="I32" s="2265"/>
      <c r="J32" s="2265"/>
      <c r="K32" s="2265"/>
    </row>
    <row r="33" spans="1:11" ht="1.5" customHeight="1" x14ac:dyDescent="0.2">
      <c r="A33" s="813" t="s">
        <v>1231</v>
      </c>
      <c r="B33" s="364"/>
      <c r="C33" s="364"/>
      <c r="D33" s="364"/>
      <c r="E33" s="364"/>
      <c r="F33" s="364"/>
      <c r="G33" s="814"/>
      <c r="H33" s="2266"/>
      <c r="I33" s="2265"/>
      <c r="J33" s="2265"/>
      <c r="K33" s="2265"/>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35"/>
      <c r="C41" s="2235"/>
      <c r="D41" s="2235"/>
      <c r="E41" s="2235"/>
      <c r="F41" s="223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&amp;F&amp;RThe notes to the financial statements are an integral part of this statement.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22" sqref="E2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2035</v>
      </c>
      <c r="B1" s="2274"/>
      <c r="C1" s="2275"/>
      <c r="D1" s="827"/>
      <c r="E1" s="828"/>
      <c r="F1" s="828"/>
      <c r="G1" s="829"/>
      <c r="H1" s="830"/>
      <c r="I1" s="831"/>
      <c r="J1" s="2271"/>
      <c r="K1" s="2272"/>
      <c r="L1" s="2272"/>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186182</v>
      </c>
      <c r="D5" s="842"/>
      <c r="E5" s="842"/>
      <c r="F5" s="1782">
        <f>(C5+D5)-E5</f>
        <v>186182</v>
      </c>
      <c r="G5" s="838"/>
      <c r="H5" s="843"/>
      <c r="I5" s="843"/>
      <c r="J5" s="843"/>
      <c r="K5" s="794"/>
      <c r="L5" s="1791">
        <f>F5-K5</f>
        <v>186182</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45795405</v>
      </c>
      <c r="D8" s="845">
        <v>514823</v>
      </c>
      <c r="E8" s="845"/>
      <c r="F8" s="1782">
        <f>(C8+D8)-E8</f>
        <v>46310228</v>
      </c>
      <c r="G8" s="844">
        <v>50</v>
      </c>
      <c r="H8" s="766">
        <v>6807526</v>
      </c>
      <c r="I8" s="766">
        <v>939344</v>
      </c>
      <c r="J8" s="766"/>
      <c r="K8" s="1791">
        <f>(H8+I8)-J8</f>
        <v>7746870</v>
      </c>
      <c r="L8" s="1791">
        <f>F8-K8</f>
        <v>38563358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146372</v>
      </c>
      <c r="D10" s="847"/>
      <c r="E10" s="847"/>
      <c r="F10" s="1786">
        <f>(C10+D10)-E10</f>
        <v>146372</v>
      </c>
      <c r="G10" s="844">
        <v>20</v>
      </c>
      <c r="H10" s="848">
        <v>118983</v>
      </c>
      <c r="I10" s="848">
        <v>5388</v>
      </c>
      <c r="J10" s="848"/>
      <c r="K10" s="1791">
        <f>(H10+I10)-J10</f>
        <v>124371</v>
      </c>
      <c r="L10" s="1791">
        <f>F10-K10</f>
        <v>22001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1729819</v>
      </c>
      <c r="D12" s="845"/>
      <c r="E12" s="845"/>
      <c r="F12" s="1782">
        <f>(C12+D12)-E12</f>
        <v>1729819</v>
      </c>
      <c r="G12" s="844">
        <v>10</v>
      </c>
      <c r="H12" s="766">
        <v>1567044</v>
      </c>
      <c r="I12" s="766">
        <v>54010</v>
      </c>
      <c r="J12" s="766"/>
      <c r="K12" s="1791">
        <f>(H12+I12)-J12</f>
        <v>1621054</v>
      </c>
      <c r="L12" s="1791">
        <f>F12-K12</f>
        <v>108765</v>
      </c>
    </row>
    <row r="13" spans="1:14" ht="14.25" thickTop="1" thickBot="1" x14ac:dyDescent="0.25">
      <c r="A13" s="849" t="s">
        <v>1184</v>
      </c>
      <c r="B13" s="841">
        <v>252</v>
      </c>
      <c r="C13" s="845">
        <v>986190</v>
      </c>
      <c r="D13" s="845"/>
      <c r="E13" s="845"/>
      <c r="F13" s="1782">
        <f>(C13+D13)-E13</f>
        <v>986190</v>
      </c>
      <c r="G13" s="844">
        <v>5</v>
      </c>
      <c r="H13" s="766">
        <v>947516</v>
      </c>
      <c r="I13" s="766">
        <v>13967</v>
      </c>
      <c r="J13" s="766"/>
      <c r="K13" s="1791">
        <f>(H13+I13)-J13</f>
        <v>961483</v>
      </c>
      <c r="L13" s="1791">
        <f>F13-K13</f>
        <v>24707</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405739</v>
      </c>
      <c r="D15" s="845">
        <v>109084</v>
      </c>
      <c r="E15" s="845">
        <v>514823</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49249707</v>
      </c>
      <c r="D16" s="1782">
        <f>SUM(D3,D5:D6,D8:D10,D12:D15)</f>
        <v>623907</v>
      </c>
      <c r="E16" s="1782">
        <f>SUM(E3,E5:E6,E8:E10,E12:E15)</f>
        <v>514823</v>
      </c>
      <c r="F16" s="1782">
        <f>SUM(F3,F5:F6,F8:F10,F12:F15)</f>
        <v>49358791</v>
      </c>
      <c r="G16" s="844"/>
      <c r="H16" s="1782">
        <f>SUM(H3,H6,H8:H10,H12:H14,)</f>
        <v>9441069</v>
      </c>
      <c r="I16" s="1782">
        <f>SUM(I3,I6,I8:I10,I12:I14,)</f>
        <v>1012709</v>
      </c>
      <c r="J16" s="1782">
        <f>SUM(J3,J6,J8:J10,J12:J14,)</f>
        <v>0</v>
      </c>
      <c r="K16" s="1782">
        <f>(H16+I16)-J16</f>
        <v>10453778</v>
      </c>
      <c r="L16" s="1782">
        <f>F16-K16</f>
        <v>38905013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1012709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&amp;F&amp;RThe notes to the financial statements   are an integral part of this statement.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E22" sqref="E22"/>
      <selection pane="bottomLeft" activeCell="E22" sqref="E2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7998798</v>
      </c>
      <c r="G8" s="866"/>
    </row>
    <row r="9" spans="1:7" x14ac:dyDescent="0.2">
      <c r="A9" s="870" t="s">
        <v>480</v>
      </c>
      <c r="B9" s="871" t="s">
        <v>1989</v>
      </c>
      <c r="C9" s="872"/>
      <c r="D9" s="870" t="s">
        <v>522</v>
      </c>
      <c r="E9" s="869"/>
      <c r="F9" s="1935">
        <f>'Expenditures 15-22'!K151</f>
        <v>715755</v>
      </c>
      <c r="G9" s="873"/>
    </row>
    <row r="10" spans="1:7" x14ac:dyDescent="0.2">
      <c r="A10" s="870" t="s">
        <v>520</v>
      </c>
      <c r="B10" s="871" t="s">
        <v>1990</v>
      </c>
      <c r="C10" s="872"/>
      <c r="D10" s="870" t="s">
        <v>522</v>
      </c>
      <c r="E10" s="869"/>
      <c r="F10" s="1935">
        <f>'Expenditures 15-22'!K174</f>
        <v>1585790</v>
      </c>
      <c r="G10" s="873"/>
    </row>
    <row r="11" spans="1:7" x14ac:dyDescent="0.2">
      <c r="A11" s="870" t="s">
        <v>481</v>
      </c>
      <c r="B11" s="871" t="s">
        <v>1991</v>
      </c>
      <c r="C11" s="872"/>
      <c r="D11" s="870" t="s">
        <v>522</v>
      </c>
      <c r="E11" s="869"/>
      <c r="F11" s="1935">
        <f>'Expenditures 15-22'!K210</f>
        <v>644940</v>
      </c>
      <c r="G11" s="873"/>
    </row>
    <row r="12" spans="1:7" x14ac:dyDescent="0.2">
      <c r="A12" s="870" t="s">
        <v>482</v>
      </c>
      <c r="B12" s="871" t="s">
        <v>1992</v>
      </c>
      <c r="C12" s="872"/>
      <c r="D12" s="870" t="s">
        <v>522</v>
      </c>
      <c r="E12" s="869"/>
      <c r="F12" s="1935">
        <f>'Expenditures 15-22'!K295</f>
        <v>254244</v>
      </c>
      <c r="G12" s="873"/>
    </row>
    <row r="13" spans="1:7" x14ac:dyDescent="0.2">
      <c r="A13" s="870" t="s">
        <v>108</v>
      </c>
      <c r="B13" s="871" t="s">
        <v>1993</v>
      </c>
      <c r="C13" s="872"/>
      <c r="D13" s="870" t="s">
        <v>522</v>
      </c>
      <c r="E13" s="869"/>
      <c r="F13" s="1935">
        <f>'Expenditures 15-22'!K342</f>
        <v>167069</v>
      </c>
      <c r="G13" s="874"/>
    </row>
    <row r="14" spans="1:7" ht="12" customHeight="1" thickBot="1" x14ac:dyDescent="0.25">
      <c r="A14" s="1792"/>
      <c r="B14" s="1793"/>
      <c r="C14" s="1794"/>
      <c r="D14" s="1795" t="s">
        <v>522</v>
      </c>
      <c r="E14" s="1796" t="s">
        <v>1015</v>
      </c>
      <c r="F14" s="1797">
        <f>SUM(F8:F13)</f>
        <v>11366596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139291</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553665</v>
      </c>
      <c r="G53" s="866"/>
    </row>
    <row r="54" spans="1:7" x14ac:dyDescent="0.2">
      <c r="A54" s="870" t="s">
        <v>479</v>
      </c>
      <c r="B54" s="870" t="s">
        <v>1552</v>
      </c>
      <c r="C54" s="890" t="s">
        <v>1039</v>
      </c>
      <c r="D54" s="886" t="s">
        <v>1157</v>
      </c>
      <c r="E54" s="869"/>
      <c r="F54" s="1939">
        <f>'Expenditures 15-22'!G114</f>
        <v>8739</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150780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1100000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6205</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193020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24571</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2176271</v>
      </c>
      <c r="G76" s="866"/>
    </row>
    <row r="77" spans="1:8" s="894" customFormat="1" ht="12" customHeight="1" thickTop="1" thickBot="1" x14ac:dyDescent="0.25">
      <c r="A77" s="1801"/>
      <c r="B77" s="1798"/>
      <c r="C77" s="1794"/>
      <c r="D77" s="1799" t="s">
        <v>2012</v>
      </c>
      <c r="E77" s="1796"/>
      <c r="F77" s="1802">
        <f>(F14-F76)</f>
        <v>9190325</v>
      </c>
      <c r="G77" s="870"/>
    </row>
    <row r="78" spans="1:8" s="894" customFormat="1" ht="12" customHeight="1" thickTop="1" x14ac:dyDescent="0.2">
      <c r="A78" s="1803"/>
      <c r="B78" s="1798"/>
      <c r="C78" s="1794"/>
      <c r="D78" s="1799" t="s">
        <v>2059</v>
      </c>
      <c r="E78" s="1796"/>
      <c r="F78" s="899">
        <v>977.98</v>
      </c>
      <c r="G78" s="900"/>
      <c r="H78" s="870"/>
    </row>
    <row r="79" spans="1:8" s="894" customFormat="1" ht="12" customHeight="1" thickBot="1" x14ac:dyDescent="0.25">
      <c r="A79" s="1804"/>
      <c r="B79" s="1798"/>
      <c r="C79" s="1794"/>
      <c r="D79" s="1799" t="s">
        <v>2013</v>
      </c>
      <c r="E79" s="1796" t="s">
        <v>1015</v>
      </c>
      <c r="F79" s="1805">
        <f>IF(F78&gt;0,F77/F78," Complete Line 78")</f>
        <v>9397.252500051125</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241800</v>
      </c>
      <c r="G94" s="913"/>
    </row>
    <row r="95" spans="1:7" x14ac:dyDescent="0.2">
      <c r="A95" s="909" t="s">
        <v>142</v>
      </c>
      <c r="B95" s="909" t="s">
        <v>177</v>
      </c>
      <c r="C95" s="911">
        <v>1700</v>
      </c>
      <c r="D95" s="919" t="str">
        <f>'Revenues 9-14'!A82</f>
        <v>Total District/School Activity Income</v>
      </c>
      <c r="E95" s="907"/>
      <c r="F95" s="1811">
        <f>SUM('Revenues 9-14'!C82,'Revenues 9-14'!D82)</f>
        <v>41816</v>
      </c>
      <c r="G95" s="913"/>
    </row>
    <row r="96" spans="1:7" x14ac:dyDescent="0.2">
      <c r="A96" s="909" t="s">
        <v>479</v>
      </c>
      <c r="B96" s="909" t="s">
        <v>178</v>
      </c>
      <c r="C96" s="911">
        <f>'Revenues 9-14'!B84</f>
        <v>1811</v>
      </c>
      <c r="D96" s="912" t="str">
        <f>'Revenues 9-14'!A84</f>
        <v>Rentals - Regular Textbooks</v>
      </c>
      <c r="E96" s="907"/>
      <c r="F96" s="1811">
        <f>'Revenues 9-14'!C84</f>
        <v>75448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3402</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1350</v>
      </c>
      <c r="G104" s="913"/>
    </row>
    <row r="105" spans="1:7" x14ac:dyDescent="0.2">
      <c r="A105" s="909" t="s">
        <v>524</v>
      </c>
      <c r="B105" s="909" t="s">
        <v>842</v>
      </c>
      <c r="C105" s="914">
        <v>3100</v>
      </c>
      <c r="D105" s="920" t="str">
        <f>'Revenues 9-14'!A131</f>
        <v>Total Special Education</v>
      </c>
      <c r="E105" s="907"/>
      <c r="F105" s="1811">
        <f>SUM('Revenues 9-14'!C131:D131,'Revenues 9-14'!F131)</f>
        <v>128561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4069</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3869</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16623</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400324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296356</v>
      </c>
      <c r="G129" s="931"/>
    </row>
    <row r="130" spans="1:7" x14ac:dyDescent="0.2">
      <c r="A130" s="928" t="s">
        <v>689</v>
      </c>
      <c r="B130" s="928" t="s">
        <v>804</v>
      </c>
      <c r="C130" s="933">
        <v>4300</v>
      </c>
      <c r="D130" s="934" t="str">
        <f>'Revenues 9-14'!A211</f>
        <v>Total Title I</v>
      </c>
      <c r="E130" s="907"/>
      <c r="F130" s="1811">
        <f>SUM('Revenues 9-14'!C211,'Revenues 9-14'!D211,'Revenues 9-14'!F211,'Revenues 9-14'!G211)</f>
        <v>165555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44140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15910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17364</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1456587</v>
      </c>
    </row>
    <row r="179" spans="1:7" ht="12" customHeight="1" x14ac:dyDescent="0.2">
      <c r="A179" s="1792"/>
      <c r="B179" s="1806"/>
      <c r="C179" s="1807"/>
      <c r="D179" s="1808" t="s">
        <v>2015</v>
      </c>
      <c r="E179" s="1809"/>
      <c r="F179" s="1811">
        <f>'PCTC-OEPP 27-28'!F77-F178</f>
        <v>7733738</v>
      </c>
    </row>
    <row r="180" spans="1:7" ht="12" customHeight="1" x14ac:dyDescent="0.2">
      <c r="A180" s="1792"/>
      <c r="B180" s="1806"/>
      <c r="C180" s="1807"/>
      <c r="D180" s="1808" t="s">
        <v>1924</v>
      </c>
      <c r="E180" s="1809"/>
      <c r="F180" s="1811">
        <f>'Cap Outlay Deprec 26'!I18</f>
        <v>1012709</v>
      </c>
    </row>
    <row r="181" spans="1:7" ht="12" customHeight="1" x14ac:dyDescent="0.2">
      <c r="A181" s="1792"/>
      <c r="B181" s="1806"/>
      <c r="C181" s="1807"/>
      <c r="D181" s="1808" t="s">
        <v>2016</v>
      </c>
      <c r="E181" s="1809"/>
      <c r="F181" s="1811">
        <f>F179+F180</f>
        <v>8746447</v>
      </c>
    </row>
    <row r="182" spans="1:7" ht="12" customHeight="1" x14ac:dyDescent="0.2">
      <c r="A182" s="1792"/>
      <c r="B182" s="1812"/>
      <c r="C182" s="1807"/>
      <c r="D182" s="1808" t="str">
        <f>D78</f>
        <v>9 Month ADA from District Average Daily Attendance/Prior General State Aid Inquiry 2017-2018</v>
      </c>
      <c r="E182" s="1809"/>
      <c r="F182" s="1813">
        <f>'PCTC-OEPP 27-28'!F78</f>
        <v>977.98</v>
      </c>
      <c r="G182" s="931"/>
    </row>
    <row r="183" spans="1:7" ht="12" customHeight="1" thickBot="1" x14ac:dyDescent="0.25">
      <c r="A183" s="1792"/>
      <c r="B183" s="1812"/>
      <c r="C183" s="1807"/>
      <c r="D183" s="1808" t="s">
        <v>2017</v>
      </c>
      <c r="E183" s="1809" t="s">
        <v>1626</v>
      </c>
      <c r="F183" s="1814">
        <f>F181/F182</f>
        <v>8943.3802327245958</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&amp;F&amp;RThe notes to the financial statements are an integral part of this statement.</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E22" sqref="E22"/>
      <selection pane="bottomLeft" activeCell="B18" sqref="B1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6" t="s">
        <v>1926</v>
      </c>
      <c r="B6" s="1557"/>
      <c r="C6" s="1557"/>
      <c r="D6" s="1557"/>
      <c r="E6" s="1557"/>
      <c r="F6" s="1557"/>
      <c r="G6" s="1558"/>
    </row>
    <row r="7" spans="1:7" ht="30.75" customHeight="1" x14ac:dyDescent="0.25">
      <c r="A7" s="2296" t="s">
        <v>2075</v>
      </c>
      <c r="B7" s="2297"/>
      <c r="C7" s="2297"/>
      <c r="D7" s="2297"/>
      <c r="E7" s="2297"/>
      <c r="F7" s="2297"/>
      <c r="G7" s="2298"/>
    </row>
    <row r="8" spans="1:7" ht="15.75" customHeight="1" x14ac:dyDescent="0.25">
      <c r="A8" s="2299" t="s">
        <v>2024</v>
      </c>
      <c r="B8" s="2300"/>
      <c r="C8" s="2300"/>
      <c r="D8" s="2300"/>
      <c r="E8" s="2300"/>
      <c r="F8" s="2300"/>
      <c r="G8" s="2301"/>
    </row>
    <row r="9" spans="1:7" ht="35.25" customHeight="1" x14ac:dyDescent="0.25">
      <c r="A9" s="2296" t="s">
        <v>2023</v>
      </c>
      <c r="B9" s="2297"/>
      <c r="C9" s="2297"/>
      <c r="D9" s="2297"/>
      <c r="E9" s="2297"/>
      <c r="F9" s="2297"/>
      <c r="G9" s="2298"/>
    </row>
    <row r="10" spans="1:7" ht="15" customHeight="1" x14ac:dyDescent="0.25">
      <c r="A10" s="1559" t="s">
        <v>1927</v>
      </c>
      <c r="B10" s="1560"/>
      <c r="C10" s="1560"/>
      <c r="D10" s="1560"/>
      <c r="E10" s="1560"/>
      <c r="F10" s="1560"/>
      <c r="G10" s="1561"/>
    </row>
    <row r="11" spans="1:7" ht="17.25" customHeight="1" x14ac:dyDescent="0.25">
      <c r="A11" s="2296" t="s">
        <v>1941</v>
      </c>
      <c r="B11" s="2297"/>
      <c r="C11" s="2297"/>
      <c r="D11" s="2297"/>
      <c r="E11" s="2297"/>
      <c r="F11" s="2297"/>
      <c r="G11" s="2298"/>
    </row>
    <row r="12" spans="1:7" ht="15" customHeight="1" x14ac:dyDescent="0.25">
      <c r="A12" s="1559" t="s">
        <v>1932</v>
      </c>
      <c r="B12" s="1560"/>
      <c r="C12" s="1560"/>
      <c r="D12" s="1560"/>
      <c r="E12" s="1560"/>
      <c r="F12" s="1560"/>
      <c r="G12" s="1561"/>
    </row>
    <row r="13" spans="1:7" ht="32.25" customHeight="1" x14ac:dyDescent="0.25">
      <c r="A13" s="2287" t="s">
        <v>1933</v>
      </c>
      <c r="B13" s="2288"/>
      <c r="C13" s="2288"/>
      <c r="D13" s="2288"/>
      <c r="E13" s="2288"/>
      <c r="F13" s="2288"/>
      <c r="G13" s="2289"/>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8" t="s">
        <v>2171</v>
      </c>
      <c r="B17" s="1959" t="s">
        <v>2174</v>
      </c>
      <c r="C17" s="1960" t="s">
        <v>2172</v>
      </c>
      <c r="D17" s="1867">
        <v>71370</v>
      </c>
      <c r="E17" s="1562">
        <f t="shared" ref="E17:E141" si="1">IF(D17&lt;=25000,D17,IF(D17&gt;25000,25000,0))</f>
        <v>25000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71370</v>
      </c>
      <c r="E141" s="1563">
        <f t="shared" si="1"/>
        <v>25000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&amp;RThe notes to the financial statements are an integral part of this statement.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9"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355374</v>
      </c>
      <c r="F10" s="975"/>
      <c r="G10" s="976"/>
      <c r="H10" s="162"/>
      <c r="I10" s="162"/>
    </row>
    <row r="11" spans="1:9" s="669" customFormat="1" ht="22.5" customHeight="1" x14ac:dyDescent="0.2">
      <c r="A11" s="2307" t="s">
        <v>1945</v>
      </c>
      <c r="B11" s="2308"/>
      <c r="C11" s="2308"/>
      <c r="D11" s="2309"/>
      <c r="E11" s="978">
        <v>49144.67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5094597</v>
      </c>
      <c r="F19" s="1822"/>
      <c r="G19" s="1824">
        <f>'Expenditures 15-22'!K33-SUM('Expenditures 15-22'!G33,'Expenditures 15-22'!I33)+'Expenditures 15-22'!D229</f>
        <v>5094597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295071</v>
      </c>
      <c r="F21" s="1825"/>
      <c r="G21" s="1828">
        <f>'Expenditures 15-22'!K42-SUM('Expenditures 15-22'!G42,'Expenditures 15-22'!I42)+'Expenditures 15-22'!K120-SUM('Expenditures 15-22'!G120,'Expenditures 15-22'!I120)+'Expenditures 15-22'!K180-SUM('Expenditures 15-22'!G180,'Expenditures 15-22'!I180)+'Expenditures 15-22'!D238</f>
        <v>295071</v>
      </c>
      <c r="H21" s="988"/>
      <c r="I21" s="162"/>
    </row>
    <row r="22" spans="1:9" s="669" customFormat="1" ht="12" customHeight="1" x14ac:dyDescent="0.2">
      <c r="A22" s="995" t="s">
        <v>585</v>
      </c>
      <c r="B22" s="996"/>
      <c r="C22" s="994">
        <v>2200</v>
      </c>
      <c r="D22" s="1825"/>
      <c r="E22" s="1827">
        <f>'Expenditures 15-22'!K47-SUM('Expenditures 15-22'!G47,'Expenditures 15-22'!I47)+'Expenditures 15-22'!D243</f>
        <v>334565</v>
      </c>
      <c r="F22" s="1825"/>
      <c r="G22" s="1828">
        <f>'Expenditures 15-22'!K47-SUM('Expenditures 15-22'!G47,'Expenditures 15-22'!I47)+'Expenditures 15-22'!D243</f>
        <v>334565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647653</v>
      </c>
      <c r="F23" s="1825"/>
      <c r="G23" s="1827">
        <f>'Expenditures 15-22'!K53-SUM('Expenditures 15-22'!G53,'Expenditures 15-22'!I53)+'Expenditures 15-22'!D257+'Expenditures 15-22'!K330-SUM('Expenditures 15-22'!G330,'Expenditures 15-22'!I330)</f>
        <v>647653</v>
      </c>
      <c r="H23" s="988"/>
      <c r="I23" s="162"/>
    </row>
    <row r="24" spans="1:9" s="669" customFormat="1" ht="12" customHeight="1" x14ac:dyDescent="0.2">
      <c r="A24" s="995" t="s">
        <v>587</v>
      </c>
      <c r="B24" s="996"/>
      <c r="C24" s="994">
        <v>2400</v>
      </c>
      <c r="D24" s="1825"/>
      <c r="E24" s="1827">
        <f>'Expenditures 15-22'!K57-SUM('Expenditures 15-22'!G57,'Expenditures 15-22'!I57)+'Expenditures 15-22'!D261</f>
        <v>496486</v>
      </c>
      <c r="F24" s="1825"/>
      <c r="G24" s="1828">
        <f>'Expenditures 15-22'!K57-SUM('Expenditures 15-22'!G57,'Expenditures 15-22'!I57)+'Expenditures 15-22'!D261</f>
        <v>496486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49521</v>
      </c>
      <c r="E27" s="1827">
        <f>E8</f>
        <v>0</v>
      </c>
      <c r="F27" s="1827">
        <f>'Expenditures 15-22'!K60-SUM('Expenditures 15-22'!G60,'Expenditures 15-22'!I60)+'Expenditures 15-22'!D264-E8</f>
        <v>49521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893933</v>
      </c>
      <c r="F28" s="1829">
        <f>'Expenditures 15-22'!K61-SUM('Expenditures 15-22'!G61,'Expenditures 15-22'!I61)+'Expenditures 15-22'!K124-SUM('Expenditures 15-22'!G124,'Expenditures 15-22'!I124)+'Expenditures 15-22'!D266-E9</f>
        <v>893933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462154</v>
      </c>
      <c r="F29" s="1825"/>
      <c r="G29" s="1828">
        <f>'Expenditures 15-22'!K62-SUM('Expenditures 15-22'!G62,'Expenditures 15-22'!I62)+'Expenditures 15-22'!K125-SUM('Expenditures 15-22'!G125,'Expenditures 15-22'!I125)+'Expenditures 15-22'!K182-SUM('Expenditures 15-22'!G182,'Expenditures 15-22'!I182)+'Expenditures 15-22'!D267</f>
        <v>462154</v>
      </c>
      <c r="H29" s="986"/>
    </row>
    <row r="30" spans="1:9" ht="12" customHeight="1" x14ac:dyDescent="0.2">
      <c r="A30" s="995" t="s">
        <v>102</v>
      </c>
      <c r="B30" s="998"/>
      <c r="C30" s="994">
        <v>2560</v>
      </c>
      <c r="D30" s="1825"/>
      <c r="E30" s="1827">
        <f>'Expenditures 15-22'!K63-SUM('Expenditures 15-22'!G63,'Expenditures 15-22'!I63)+'Expenditures 15-22'!D268-E10</f>
        <v>214472</v>
      </c>
      <c r="F30" s="1825"/>
      <c r="G30" s="1827">
        <f>'Expenditures 15-22'!K63-SUM('Expenditures 15-22'!G63,'Expenditures 15-22'!I63)+'Expenditures 15-22'!D268-E10</f>
        <v>214472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49521</v>
      </c>
      <c r="E41" s="1829">
        <f>SUM(E19:E40)</f>
        <v>8438931</v>
      </c>
      <c r="F41" s="1829">
        <f>SUM(F19:F39)</f>
        <v>943454</v>
      </c>
      <c r="G41" s="1829">
        <f>SUM(G19:G40)</f>
        <v>7544998</v>
      </c>
    </row>
    <row r="42" spans="1:7" x14ac:dyDescent="0.2">
      <c r="A42" s="988"/>
      <c r="B42" s="162"/>
      <c r="C42" s="1002"/>
      <c r="D42" s="2305" t="s">
        <v>543</v>
      </c>
      <c r="E42" s="2306"/>
      <c r="F42" s="1003" t="s">
        <v>544</v>
      </c>
      <c r="G42" s="1004"/>
    </row>
    <row r="43" spans="1:7" ht="12" customHeight="1" x14ac:dyDescent="0.2">
      <c r="A43" s="988"/>
      <c r="B43" s="162"/>
      <c r="C43" s="1002"/>
      <c r="D43" s="1830" t="s">
        <v>493</v>
      </c>
      <c r="E43" s="1831">
        <f>D41</f>
        <v>49521</v>
      </c>
      <c r="F43" s="1830" t="s">
        <v>495</v>
      </c>
      <c r="G43" s="1831">
        <f>F41</f>
        <v>943454</v>
      </c>
    </row>
    <row r="44" spans="1:7" ht="12" customHeight="1" x14ac:dyDescent="0.2">
      <c r="A44" s="988"/>
      <c r="B44" s="162"/>
      <c r="C44" s="1002"/>
      <c r="D44" s="1830" t="s">
        <v>494</v>
      </c>
      <c r="E44" s="1831">
        <f>E41</f>
        <v>8438931</v>
      </c>
      <c r="F44" s="1830" t="s">
        <v>494</v>
      </c>
      <c r="G44" s="1831">
        <f>G41</f>
        <v>7544998</v>
      </c>
    </row>
    <row r="45" spans="1:7" ht="12" customHeight="1" x14ac:dyDescent="0.2">
      <c r="A45" s="988"/>
      <c r="B45" s="162"/>
      <c r="C45" s="162"/>
      <c r="D45" s="1832" t="s">
        <v>1063</v>
      </c>
      <c r="E45" s="1833">
        <f>(E43/E44)</f>
        <v>5.8681603155660358E-3</v>
      </c>
      <c r="F45" s="1832" t="s">
        <v>1063</v>
      </c>
      <c r="G45" s="1833">
        <f>(G43/G44)</f>
        <v>0.12504363818254161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&amp;F&amp;RThe notes to the financial statements are an integral part of this statement.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E11" sqref="E11"/>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3" t="s">
        <v>1446</v>
      </c>
      <c r="B1" s="2313"/>
      <c r="C1" s="2313"/>
      <c r="D1" s="2313"/>
      <c r="E1" s="2313"/>
      <c r="F1" s="2313"/>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4" t="s">
        <v>1627</v>
      </c>
      <c r="B5" s="2315"/>
      <c r="C5" s="2316"/>
      <c r="D5" s="2316"/>
      <c r="E5" s="2316"/>
      <c r="F5" s="2316"/>
    </row>
    <row r="6" spans="1:10" ht="12" customHeight="1" x14ac:dyDescent="0.25">
      <c r="A6" s="1875"/>
      <c r="B6" s="1876"/>
      <c r="C6" s="2317" t="str">
        <f>COVER!A17</f>
        <v>Knoxville CUSD 202</v>
      </c>
      <c r="D6" s="2317"/>
      <c r="E6" s="2317"/>
      <c r="F6" s="1877"/>
    </row>
    <row r="7" spans="1:10" ht="11.25" customHeight="1" thickBot="1" x14ac:dyDescent="0.3">
      <c r="A7" s="1875"/>
      <c r="B7" s="1876"/>
      <c r="C7" s="2318">
        <f>COVER!A13</f>
        <v>33048202026</v>
      </c>
      <c r="D7" s="2318"/>
      <c r="E7" s="2318"/>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t="s">
        <v>2077</v>
      </c>
      <c r="D15" s="1890" t="s">
        <v>2077</v>
      </c>
      <c r="E15" s="1893" t="s">
        <v>2077</v>
      </c>
      <c r="F15" s="1892" t="s">
        <v>2101</v>
      </c>
      <c r="H15" s="1903">
        <f t="shared" si="0"/>
        <v>5</v>
      </c>
      <c r="I15" s="1903">
        <f t="shared" si="1"/>
        <v>5</v>
      </c>
      <c r="J15" s="1903">
        <f t="shared" si="2"/>
        <v>5</v>
      </c>
    </row>
    <row r="16" spans="1:10" ht="12" customHeight="1" x14ac:dyDescent="0.2">
      <c r="A16" s="1888" t="s">
        <v>1455</v>
      </c>
      <c r="B16" s="1889"/>
      <c r="C16" s="1890" t="s">
        <v>2077</v>
      </c>
      <c r="D16" s="1890" t="s">
        <v>2077</v>
      </c>
      <c r="E16" s="1893" t="s">
        <v>2077</v>
      </c>
      <c r="F16" s="1892" t="s">
        <v>2102</v>
      </c>
      <c r="H16" s="1903">
        <f t="shared" si="0"/>
        <v>5</v>
      </c>
      <c r="I16" s="1903">
        <f t="shared" si="1"/>
        <v>5</v>
      </c>
      <c r="J16" s="1903">
        <f t="shared" si="2"/>
        <v>5</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t="s">
        <v>2077</v>
      </c>
      <c r="F19" s="1892" t="s">
        <v>2103</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2104</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t="s">
        <v>2077</v>
      </c>
      <c r="F31" s="1892" t="s">
        <v>2105</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25</v>
      </c>
      <c r="I34" s="1903">
        <f>SUM(I11:I32)</f>
        <v>25</v>
      </c>
      <c r="J34" s="1903">
        <f>SUM(J11:J32)</f>
        <v>25</v>
      </c>
      <c r="K34" s="1903">
        <f>SUM(H34:J34)</f>
        <v>75</v>
      </c>
    </row>
    <row r="35" spans="1:11" ht="12" customHeight="1" x14ac:dyDescent="0.2">
      <c r="A35" s="1896" t="s">
        <v>1459</v>
      </c>
      <c r="B35" s="1897"/>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8"/>
      <c r="B39" s="1898"/>
      <c r="C39" s="1898"/>
      <c r="D39" s="1898"/>
      <c r="E39" s="1898"/>
      <c r="F39" s="1898"/>
    </row>
    <row r="40" spans="1:11" s="1895" customFormat="1" ht="12" customHeight="1" x14ac:dyDescent="0.25">
      <c r="A40" s="1899" t="s">
        <v>1458</v>
      </c>
      <c r="B40" s="1900"/>
      <c r="C40" s="2327"/>
      <c r="D40" s="2327"/>
      <c r="E40" s="2327"/>
      <c r="F40" s="2328"/>
      <c r="H40" s="1904"/>
      <c r="I40" s="1904"/>
      <c r="J40" s="1904"/>
      <c r="K40" s="1904"/>
    </row>
    <row r="41" spans="1:11" s="1895" customFormat="1" ht="12" customHeight="1" x14ac:dyDescent="0.25">
      <c r="A41" s="2329"/>
      <c r="B41" s="2330"/>
      <c r="C41" s="2330"/>
      <c r="D41" s="2330"/>
      <c r="E41" s="2330"/>
      <c r="F41" s="2331"/>
      <c r="H41" s="1904"/>
      <c r="I41" s="1904"/>
      <c r="J41" s="1904"/>
      <c r="K41" s="1904"/>
    </row>
    <row r="42" spans="1:11" s="1895" customFormat="1" ht="12" customHeight="1" x14ac:dyDescent="0.25">
      <c r="A42" s="2329"/>
      <c r="B42" s="2330"/>
      <c r="C42" s="2330"/>
      <c r="D42" s="2330"/>
      <c r="E42" s="2330"/>
      <c r="F42" s="2331"/>
      <c r="H42" s="1904"/>
      <c r="I42" s="1904"/>
      <c r="J42" s="1904"/>
      <c r="K42" s="1904"/>
    </row>
    <row r="43" spans="1:11" s="1895" customFormat="1" ht="15" x14ac:dyDescent="0.25">
      <c r="A43" s="2321"/>
      <c r="B43" s="2322"/>
      <c r="C43" s="2322"/>
      <c r="D43" s="2322"/>
      <c r="E43" s="2322"/>
      <c r="F43" s="2323"/>
      <c r="H43" s="1904"/>
      <c r="I43" s="1904"/>
      <c r="J43" s="1904"/>
      <c r="K43" s="1904"/>
    </row>
    <row r="44" spans="1:11" s="1895" customFormat="1" ht="12" hidden="1" customHeight="1" x14ac:dyDescent="0.25">
      <c r="A44" s="2321"/>
      <c r="B44" s="2322"/>
      <c r="C44" s="2322"/>
      <c r="D44" s="2322"/>
      <c r="E44" s="2322"/>
      <c r="F44" s="2323"/>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31&amp;RThe notes to the financial statements are an integral part of this statement.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11" sqref="E1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7" t="str">
        <f>COVER!A17</f>
        <v>Knoxville CUSD 202</v>
      </c>
      <c r="J6" s="2338"/>
      <c r="Q6" s="1686"/>
    </row>
    <row r="7" spans="1:17" x14ac:dyDescent="0.2">
      <c r="A7" s="2339" t="s">
        <v>924</v>
      </c>
      <c r="B7" s="2340"/>
      <c r="C7" s="2340"/>
      <c r="D7" s="2340"/>
      <c r="E7" s="2341"/>
      <c r="F7" s="1018"/>
      <c r="G7" s="1010"/>
      <c r="H7" s="1017" t="s">
        <v>390</v>
      </c>
      <c r="I7" s="2342">
        <f>COVER!A13</f>
        <v>33048202026</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206919</v>
      </c>
      <c r="F12" s="1040"/>
      <c r="G12" s="1834">
        <f t="shared" ref="G12:G18" si="0">SUM(E12:F12)</f>
        <v>206919</v>
      </c>
      <c r="H12" s="1041">
        <v>205638</v>
      </c>
      <c r="I12" s="1040"/>
      <c r="J12" s="1834">
        <f t="shared" ref="J12:J18" si="1">SUM(H12:I12)</f>
        <v>205638</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206919</v>
      </c>
      <c r="F19" s="1836">
        <f t="shared" si="2"/>
        <v>0</v>
      </c>
      <c r="G19" s="1836">
        <f t="shared" si="2"/>
        <v>206919</v>
      </c>
      <c r="H19" s="1836">
        <f t="shared" si="2"/>
        <v>205638</v>
      </c>
      <c r="I19" s="1836">
        <f t="shared" si="2"/>
        <v>0</v>
      </c>
      <c r="J19" s="1836">
        <f t="shared" si="2"/>
        <v>205638</v>
      </c>
    </row>
    <row r="20" spans="1:10" ht="13.5" thickTop="1" x14ac:dyDescent="0.2">
      <c r="A20" s="1036">
        <v>9</v>
      </c>
      <c r="B20" s="2349" t="s">
        <v>1703</v>
      </c>
      <c r="C20" s="2349"/>
      <c r="D20" s="2350"/>
      <c r="E20" s="1047"/>
      <c r="F20" s="1047"/>
      <c r="G20" s="1047"/>
      <c r="H20" s="1047"/>
      <c r="I20" s="1047"/>
      <c r="J20" s="1837">
        <f>IF(AND(G19&gt;0,J19&gt;0),(((J19-G19)/G19)),"Enter Budget Data")</f>
        <v>-6.1908282951299784E-3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1944</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&amp;RThe notes to the finanial statements are an integral part of this statement.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E11" sqref="E1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4" spans="1:2" x14ac:dyDescent="0.2">
      <c r="B4" s="1957" t="s">
        <v>2114</v>
      </c>
    </row>
    <row r="5" spans="1:2" x14ac:dyDescent="0.2">
      <c r="A5" s="1069">
        <v>1</v>
      </c>
      <c r="B5" s="329" t="s">
        <v>2115</v>
      </c>
    </row>
    <row r="6" spans="1:2" x14ac:dyDescent="0.2">
      <c r="A6" s="1069">
        <v>2</v>
      </c>
      <c r="B6" s="329" t="s">
        <v>2121</v>
      </c>
    </row>
    <row r="7" spans="1:2" x14ac:dyDescent="0.2">
      <c r="A7" s="1069">
        <v>3</v>
      </c>
      <c r="B7" s="329" t="s">
        <v>2116</v>
      </c>
    </row>
    <row r="8" spans="1:2" x14ac:dyDescent="0.2">
      <c r="A8" s="1069">
        <v>4</v>
      </c>
      <c r="B8" s="329" t="s">
        <v>2117</v>
      </c>
    </row>
    <row r="9" spans="1:2" x14ac:dyDescent="0.2">
      <c r="A9" s="1070">
        <v>5</v>
      </c>
      <c r="B9" s="329" t="s">
        <v>2118</v>
      </c>
    </row>
    <row r="10" spans="1:2" x14ac:dyDescent="0.2">
      <c r="A10" s="1070">
        <v>6</v>
      </c>
      <c r="B10" s="329" t="s">
        <v>2119</v>
      </c>
    </row>
    <row r="11" spans="1:2" x14ac:dyDescent="0.2">
      <c r="A11" s="1070">
        <v>7</v>
      </c>
      <c r="B11" s="329" t="s">
        <v>2120</v>
      </c>
    </row>
    <row r="12" spans="1:2" x14ac:dyDescent="0.2">
      <c r="A12" s="1070"/>
    </row>
    <row r="13" spans="1:2" x14ac:dyDescent="0.2">
      <c r="A13" s="1070"/>
      <c r="B13" s="1957" t="s">
        <v>2122</v>
      </c>
    </row>
    <row r="14" spans="1:2" x14ac:dyDescent="0.2">
      <c r="A14" s="1070">
        <v>8</v>
      </c>
      <c r="B14" s="329" t="s">
        <v>2123</v>
      </c>
    </row>
    <row r="15" spans="1:2" x14ac:dyDescent="0.2">
      <c r="A15" s="1070">
        <v>9</v>
      </c>
      <c r="B15" s="329" t="s">
        <v>2124</v>
      </c>
    </row>
    <row r="16" spans="1:2" x14ac:dyDescent="0.2">
      <c r="A16" s="1070"/>
    </row>
    <row r="17" spans="1:2" x14ac:dyDescent="0.2">
      <c r="A17" s="1070"/>
      <c r="B17" s="1957" t="s">
        <v>359</v>
      </c>
    </row>
    <row r="18" spans="1:2" x14ac:dyDescent="0.2">
      <c r="A18" s="1070">
        <v>10</v>
      </c>
      <c r="B18" s="329" t="s">
        <v>2125</v>
      </c>
    </row>
    <row r="19" spans="1:2" x14ac:dyDescent="0.2">
      <c r="A19" s="1070"/>
    </row>
    <row r="20" spans="1:2" x14ac:dyDescent="0.2">
      <c r="A20" s="1070"/>
      <c r="B20" s="1957" t="s">
        <v>2165</v>
      </c>
    </row>
    <row r="21" spans="1:2" x14ac:dyDescent="0.2">
      <c r="A21" s="1070">
        <v>11</v>
      </c>
      <c r="B21" s="329" t="s">
        <v>2166</v>
      </c>
    </row>
    <row r="22" spans="1:2" x14ac:dyDescent="0.2">
      <c r="A22" s="1070"/>
      <c r="B22" s="329" t="s">
        <v>2167</v>
      </c>
    </row>
    <row r="23" spans="1:2" x14ac:dyDescent="0.2">
      <c r="A23" s="1070"/>
      <c r="B23" s="329" t="s">
        <v>2168</v>
      </c>
    </row>
    <row r="24" spans="1:2" x14ac:dyDescent="0.2">
      <c r="A24" s="1070"/>
    </row>
    <row r="25" spans="1:2" x14ac:dyDescent="0.2">
      <c r="A25" s="1070"/>
      <c r="B25" s="1957" t="s">
        <v>2169</v>
      </c>
    </row>
    <row r="26" spans="1:2" x14ac:dyDescent="0.2">
      <c r="A26" s="1070">
        <v>12</v>
      </c>
      <c r="B26" s="329" t="s">
        <v>2170</v>
      </c>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Knoxville CUSD 202</v>
      </c>
    </row>
    <row r="65" spans="2:2" x14ac:dyDescent="0.2">
      <c r="B65" s="1071">
        <f>COVER!A13</f>
        <v>33048202026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oddFooter>&amp;RThe notes to the finanical statements are an integral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D48" sqref="D4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headerFooter>
    <oddFooter>&amp;RThe notes to the financial statements are an integral part of this statement.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E11" sqref="E1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oddFooter>&amp;RThe notes to the financial statements are an integral part of this statement.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oddFooter>&amp;RThe notes to the financial statements are an integral part of this statement.</oddFoot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1619250</xdr:colOff>
                <xdr:row>3</xdr:row>
                <xdr:rowOff>38100</xdr:rowOff>
              </from>
              <to>
                <xdr:col>1</xdr:col>
                <xdr:colOff>2533650</xdr:colOff>
                <xdr:row>7</xdr:row>
                <xdr:rowOff>76200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2886075</xdr:colOff>
                <xdr:row>3</xdr:row>
                <xdr:rowOff>28575</xdr:rowOff>
              </from>
              <to>
                <xdr:col>1</xdr:col>
                <xdr:colOff>3790950</xdr:colOff>
                <xdr:row>7</xdr:row>
                <xdr:rowOff>66675</xdr:rowOff>
              </to>
            </anchor>
          </objectPr>
        </oleObject>
      </mc:Choice>
      <mc:Fallback>
        <oleObject progId="Acrobat Document" dvAspect="DVASPECT_ICON" shapeId="3891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E11" sqref="E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2056</v>
      </c>
      <c r="B4" s="2377"/>
      <c r="C4" s="2377"/>
      <c r="D4" s="2377"/>
      <c r="E4" s="2377"/>
      <c r="F4" s="2378"/>
      <c r="G4" s="1075"/>
      <c r="H4" s="1075"/>
    </row>
    <row r="5" spans="1:8" ht="14.25" customHeight="1" x14ac:dyDescent="0.2">
      <c r="A5" s="2379" t="s">
        <v>2057</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8346996</v>
      </c>
      <c r="C8" s="1838">
        <f>'Acct Summary 7-8'!D8</f>
        <v>596501</v>
      </c>
      <c r="D8" s="1838">
        <f>'Acct Summary 7-8'!F8</f>
        <v>745118</v>
      </c>
      <c r="E8" s="1838">
        <f>'Acct Summary 7-8'!I8</f>
        <v>52955</v>
      </c>
      <c r="F8" s="1838">
        <f>SUM(B8:E8)</f>
        <v>9741570</v>
      </c>
    </row>
    <row r="9" spans="1:8" s="1080" customFormat="1" ht="14.25" customHeight="1" thickBot="1" x14ac:dyDescent="0.25">
      <c r="A9" s="1079" t="s">
        <v>1436</v>
      </c>
      <c r="B9" s="1839">
        <f>'Acct Summary 7-8'!C17</f>
        <v>7998798</v>
      </c>
      <c r="C9" s="1839">
        <f>'Acct Summary 7-8'!D17</f>
        <v>715755</v>
      </c>
      <c r="D9" s="1839">
        <f>'Acct Summary 7-8'!F17</f>
        <v>644940</v>
      </c>
      <c r="E9" s="1838"/>
      <c r="F9" s="1838">
        <f>SUM(B9:E9)</f>
        <v>9359493</v>
      </c>
    </row>
    <row r="10" spans="1:8" s="1080" customFormat="1" ht="14.25" thickTop="1" thickBot="1" x14ac:dyDescent="0.25">
      <c r="A10" s="1081" t="s">
        <v>1437</v>
      </c>
      <c r="B10" s="1840">
        <f>(B8-B9)</f>
        <v>348198</v>
      </c>
      <c r="C10" s="1840">
        <f>(C8-C9)</f>
        <v>-119254</v>
      </c>
      <c r="D10" s="1840">
        <f>(D8-D9)</f>
        <v>100178</v>
      </c>
      <c r="E10" s="1839">
        <f>(E8-E9)</f>
        <v>52955</v>
      </c>
      <c r="F10" s="1841">
        <f>SUM(F8-F9)</f>
        <v>382077</v>
      </c>
    </row>
    <row r="11" spans="1:8" s="1080" customFormat="1" ht="14.25" thickTop="1" thickBot="1" x14ac:dyDescent="0.25">
      <c r="A11" s="1082" t="s">
        <v>1785</v>
      </c>
      <c r="B11" s="1842">
        <f>'Acct Summary 7-8'!C81</f>
        <v>3666553</v>
      </c>
      <c r="C11" s="1842">
        <f>'Acct Summary 7-8'!D81</f>
        <v>339459</v>
      </c>
      <c r="D11" s="1842">
        <f>'Acct Summary 7-8'!F81</f>
        <v>321353</v>
      </c>
      <c r="E11" s="1842">
        <f>'Acct Summary 7-8'!I81</f>
        <v>113967</v>
      </c>
      <c r="F11" s="1843">
        <f>SUM(B11:E11)</f>
        <v>4441332</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&amp;RThe notes to the financial statements are an integral part of this statement.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&amp;F&amp;RThe notes to the financial statements are an integral part of this statement.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33048202026</v>
      </c>
    </row>
    <row r="3" spans="1:2" x14ac:dyDescent="0.2">
      <c r="A3" t="s">
        <v>1013</v>
      </c>
      <c r="B3" s="138" t="str">
        <f>COVER!A15</f>
        <v>KNOX</v>
      </c>
    </row>
    <row r="4" spans="1:2" x14ac:dyDescent="0.2">
      <c r="A4" t="s">
        <v>1064</v>
      </c>
      <c r="B4" s="138" t="str">
        <f>COVER!A17</f>
        <v>Knoxville CUSD 202</v>
      </c>
    </row>
    <row r="5" spans="1:2" x14ac:dyDescent="0.2">
      <c r="A5" t="s">
        <v>728</v>
      </c>
      <c r="B5" s="138" t="str">
        <f>COVER!A38</f>
        <v>STEPHEN WILDER</v>
      </c>
    </row>
    <row r="6" spans="1:2" x14ac:dyDescent="0.2">
      <c r="A6" t="s">
        <v>733</v>
      </c>
      <c r="B6" s="138">
        <f>COVER!P35</f>
        <v>0</v>
      </c>
    </row>
    <row r="7" spans="1:2" x14ac:dyDescent="0.2">
      <c r="A7" t="s">
        <v>729</v>
      </c>
      <c r="B7" s="138">
        <f>COVER!I38</f>
        <v>0</v>
      </c>
    </row>
    <row r="8" spans="1:2" x14ac:dyDescent="0.2">
      <c r="A8" t="s">
        <v>730</v>
      </c>
      <c r="B8" s="138" t="str">
        <f>COVER!T38</f>
        <v>JODI SCOTT</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065-024137</v>
      </c>
    </row>
    <row r="16" spans="1:2" x14ac:dyDescent="0.2">
      <c r="A16" t="s">
        <v>442</v>
      </c>
      <c r="B16" s="138" t="str">
        <f>COVER!T13</f>
        <v>BLUCKER, KNEER &amp; ASSOCIATES, LTD</v>
      </c>
    </row>
    <row r="17" spans="1:2" x14ac:dyDescent="0.2">
      <c r="A17" t="s">
        <v>939</v>
      </c>
      <c r="B17" s="138" t="str">
        <f>COVER!T15</f>
        <v>TERESA A. WELCH</v>
      </c>
    </row>
    <row r="18" spans="1:2" x14ac:dyDescent="0.2">
      <c r="A18" t="s">
        <v>1212</v>
      </c>
      <c r="B18" s="138" t="str">
        <f>COVER!T17</f>
        <v>P.O. BOX 1464</v>
      </c>
    </row>
    <row r="19" spans="1:2" x14ac:dyDescent="0.2">
      <c r="A19" t="s">
        <v>941</v>
      </c>
      <c r="B19" s="138" t="str">
        <f>COVER!T25</f>
        <v>teresabla@gmail.com</v>
      </c>
    </row>
    <row r="20" spans="1:2" x14ac:dyDescent="0.2">
      <c r="A20" t="s">
        <v>942</v>
      </c>
      <c r="B20" s="138" t="str">
        <f>COVER!T19</f>
        <v>GALESBURG</v>
      </c>
    </row>
    <row r="21" spans="1:2" x14ac:dyDescent="0.2">
      <c r="A21" t="s">
        <v>500</v>
      </c>
      <c r="B21" s="138" t="str">
        <f>COVER!X19</f>
        <v>IL</v>
      </c>
    </row>
    <row r="22" spans="1:2" x14ac:dyDescent="0.2">
      <c r="A22" t="s">
        <v>943</v>
      </c>
      <c r="B22" s="138">
        <f>COVER!Z19</f>
        <v>61401</v>
      </c>
    </row>
    <row r="23" spans="1:2" x14ac:dyDescent="0.2">
      <c r="A23" t="s">
        <v>1214</v>
      </c>
      <c r="B23" s="138" t="str">
        <f>COVER!T21</f>
        <v>309-343-4156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t="str">
        <f>IF('FP Info 3'!B51="X","Yes",0)</f>
        <v>Yes</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477267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3662687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-3866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-3866</v>
      </c>
      <c r="C91" s="2" t="s">
        <v>594</v>
      </c>
      <c r="D91" s="2" t="str">
        <f t="shared" si="0"/>
        <v>Error?</v>
      </c>
    </row>
    <row r="92" spans="1:4" x14ac:dyDescent="0.2">
      <c r="A92" s="5">
        <v>31</v>
      </c>
      <c r="B92" s="138">
        <f>'Assets-Liab 5-6'!C39</f>
        <v>3663591</v>
      </c>
      <c r="D92" s="2" t="str">
        <f t="shared" si="0"/>
        <v>Error?</v>
      </c>
    </row>
    <row r="93" spans="1:4" x14ac:dyDescent="0.2">
      <c r="A93" s="5">
        <v>32</v>
      </c>
      <c r="B93" s="138">
        <f>'Assets-Liab 5-6'!C41</f>
        <v>3662687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30700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343695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4236</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4236</v>
      </c>
      <c r="C122" s="2" t="s">
        <v>594</v>
      </c>
      <c r="D122" s="2" t="str">
        <f t="shared" si="0"/>
        <v>Error?</v>
      </c>
    </row>
    <row r="123" spans="1:4" x14ac:dyDescent="0.2">
      <c r="A123" s="5">
        <v>62</v>
      </c>
      <c r="B123" s="138">
        <f>'Assets-Liab 5-6'!D39</f>
        <v>339459</v>
      </c>
      <c r="D123" s="2" t="str">
        <f t="shared" si="0"/>
        <v>Error?</v>
      </c>
    </row>
    <row r="124" spans="1:4" x14ac:dyDescent="0.2">
      <c r="A124" s="5">
        <v>63</v>
      </c>
      <c r="B124" s="138">
        <f>'Assets-Liab 5-6'!D41</f>
        <v>343695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12240</v>
      </c>
      <c r="D129" s="2" t="str">
        <f t="shared" si="1"/>
        <v>Error?</v>
      </c>
    </row>
    <row r="130" spans="1:4" x14ac:dyDescent="0.2">
      <c r="A130" s="5">
        <v>69</v>
      </c>
      <c r="B130" s="138">
        <f>'Assets-Liab 5-6'!E12</f>
        <v>0</v>
      </c>
      <c r="D130" s="2" t="str">
        <f t="shared" si="1"/>
        <v>Error?</v>
      </c>
    </row>
    <row r="131" spans="1:4" x14ac:dyDescent="0.2">
      <c r="A131" s="5">
        <v>70</v>
      </c>
      <c r="B131" s="138">
        <f>'Assets-Liab 5-6'!E13</f>
        <v>59804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59804</v>
      </c>
      <c r="D140" s="2" t="str">
        <f t="shared" si="1"/>
        <v>Error?</v>
      </c>
    </row>
    <row r="141" spans="1:4" x14ac:dyDescent="0.2">
      <c r="A141" s="5">
        <v>80</v>
      </c>
      <c r="B141" s="138">
        <f>'Assets-Liab 5-6'!E41</f>
        <v>59804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252545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331049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9696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9696</v>
      </c>
      <c r="C169" s="2" t="s">
        <v>594</v>
      </c>
      <c r="D169" s="2" t="str">
        <f t="shared" si="1"/>
        <v>Error?</v>
      </c>
    </row>
    <row r="170" spans="1:4" x14ac:dyDescent="0.2">
      <c r="A170" s="5">
        <v>109</v>
      </c>
      <c r="B170" s="138">
        <f>'Assets-Liab 5-6'!F39</f>
        <v>321353</v>
      </c>
      <c r="D170" s="2" t="str">
        <f t="shared" si="1"/>
        <v>Error?</v>
      </c>
    </row>
    <row r="171" spans="1:4" x14ac:dyDescent="0.2">
      <c r="A171" s="5">
        <v>110</v>
      </c>
      <c r="B171" s="138">
        <f>'Assets-Liab 5-6'!F41</f>
        <v>331049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101690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340550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340550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186182</v>
      </c>
      <c r="D273" s="2" t="str">
        <f t="shared" si="3"/>
        <v>Error?</v>
      </c>
    </row>
    <row r="274" spans="1:4" x14ac:dyDescent="0.2">
      <c r="A274" s="5">
        <v>213</v>
      </c>
      <c r="B274" s="138">
        <f>'Assets-Liab 5-6'!M17</f>
        <v>46310228</v>
      </c>
      <c r="D274" s="2" t="str">
        <f t="shared" si="3"/>
        <v>Error?</v>
      </c>
    </row>
    <row r="275" spans="1:4" x14ac:dyDescent="0.2">
      <c r="A275" s="5">
        <v>214</v>
      </c>
      <c r="B275" s="138">
        <f>'Assets-Liab 5-6'!M18</f>
        <v>146372</v>
      </c>
      <c r="D275" s="2" t="str">
        <f t="shared" si="3"/>
        <v>Error?</v>
      </c>
    </row>
    <row r="276" spans="1:4" x14ac:dyDescent="0.2">
      <c r="A276" s="5">
        <v>215</v>
      </c>
      <c r="B276" s="138">
        <f>'Assets-Liab 5-6'!M19</f>
        <v>2716009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49358791</v>
      </c>
      <c r="C279" s="2" t="s">
        <v>594</v>
      </c>
      <c r="D279" s="2" t="str">
        <f t="shared" si="3"/>
        <v>Error?</v>
      </c>
    </row>
    <row r="280" spans="1:4" x14ac:dyDescent="0.2">
      <c r="A280" s="5">
        <v>219</v>
      </c>
      <c r="B280" s="138">
        <f>'Assets-Liab 5-6'!M40</f>
        <v>49358791</v>
      </c>
      <c r="D280" s="2" t="str">
        <f t="shared" si="3"/>
        <v>Error?</v>
      </c>
    </row>
    <row r="281" spans="1:4" x14ac:dyDescent="0.2">
      <c r="A281" s="5">
        <v>220</v>
      </c>
      <c r="B281" s="138">
        <f>'Assets-Liab 5-6'!M41</f>
        <v>49358791</v>
      </c>
      <c r="C281" s="2" t="s">
        <v>594</v>
      </c>
      <c r="D281" s="2" t="str">
        <f t="shared" si="3"/>
        <v>Error?</v>
      </c>
    </row>
    <row r="282" spans="1:4" x14ac:dyDescent="0.2">
      <c r="A282" s="5">
        <v>221</v>
      </c>
      <c r="B282" s="138">
        <f>'Assets-Liab 5-6'!N21</f>
        <v>59804</v>
      </c>
      <c r="D282" s="2" t="str">
        <f t="shared" si="3"/>
        <v>Error?</v>
      </c>
    </row>
    <row r="283" spans="1:4" x14ac:dyDescent="0.2">
      <c r="A283" s="5">
        <v>222</v>
      </c>
      <c r="B283" s="138">
        <f>'Assets-Liab 5-6'!N22</f>
        <v>12790196</v>
      </c>
      <c r="D283" s="2" t="str">
        <f t="shared" si="3"/>
        <v>Error?</v>
      </c>
    </row>
    <row r="284" spans="1:4" x14ac:dyDescent="0.2">
      <c r="A284" s="5">
        <v>223</v>
      </c>
      <c r="B284" s="138">
        <f>'Assets-Liab 5-6'!N23</f>
        <v>12850000</v>
      </c>
      <c r="C284" s="2" t="s">
        <v>594</v>
      </c>
      <c r="D284" s="2" t="str">
        <f t="shared" si="3"/>
        <v>Error?</v>
      </c>
    </row>
    <row r="285" spans="1:4" x14ac:dyDescent="0.2">
      <c r="A285" s="5">
        <v>224</v>
      </c>
      <c r="B285" s="138">
        <f>'Assets-Liab 5-6'!N36</f>
        <v>12850000</v>
      </c>
      <c r="D285" s="2" t="str">
        <f t="shared" si="3"/>
        <v>Error?</v>
      </c>
    </row>
    <row r="286" spans="1:4" x14ac:dyDescent="0.2">
      <c r="A286" s="10">
        <v>225</v>
      </c>
      <c r="D286" s="2" t="str">
        <f t="shared" si="3"/>
        <v>OK</v>
      </c>
    </row>
    <row r="287" spans="1:4" x14ac:dyDescent="0.2">
      <c r="A287" s="5">
        <v>226</v>
      </c>
      <c r="B287" s="138">
        <f>'Assets-Liab 5-6'!N37</f>
        <v>12850000</v>
      </c>
      <c r="C287" s="2" t="s">
        <v>594</v>
      </c>
      <c r="D287" s="2" t="str">
        <f t="shared" si="3"/>
        <v>Error?</v>
      </c>
    </row>
    <row r="288" spans="1:4" x14ac:dyDescent="0.2">
      <c r="A288" s="5">
        <v>227</v>
      </c>
      <c r="B288" s="138">
        <f>'Assets-Liab 5-6'!N41</f>
        <v>12850000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3183531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215568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4028651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187477</v>
      </c>
      <c r="D722" s="2" t="str">
        <f t="shared" si="10"/>
        <v>Error?</v>
      </c>
    </row>
    <row r="723" spans="1:4" x14ac:dyDescent="0.2">
      <c r="A723" s="5">
        <v>662</v>
      </c>
      <c r="B723" s="138">
        <f>'Expenditures 15-22'!C38</f>
        <v>52382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1423</v>
      </c>
      <c r="D726" s="2" t="str">
        <f t="shared" si="10"/>
        <v>Error?</v>
      </c>
    </row>
    <row r="727" spans="1:4" x14ac:dyDescent="0.2">
      <c r="A727" s="5">
        <v>666</v>
      </c>
      <c r="B727" s="138">
        <f>'Expenditures 15-22'!C42</f>
        <v>241282</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97503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97503</v>
      </c>
      <c r="C731" s="2" t="s">
        <v>594</v>
      </c>
      <c r="D731" s="2" t="str">
        <f t="shared" si="10"/>
        <v>Error?</v>
      </c>
    </row>
    <row r="732" spans="1:4" x14ac:dyDescent="0.2">
      <c r="A732" s="5">
        <v>671</v>
      </c>
      <c r="B732" s="138">
        <f>'Expenditures 15-22'!C49</f>
        <v>3054</v>
      </c>
      <c r="D732" s="2" t="str">
        <f t="shared" si="10"/>
        <v>Error?</v>
      </c>
    </row>
    <row r="733" spans="1:4" x14ac:dyDescent="0.2">
      <c r="A733" s="5">
        <v>672</v>
      </c>
      <c r="B733" s="138">
        <f>'Expenditures 15-22'!C50</f>
        <v>170130</v>
      </c>
      <c r="D733" s="2" t="str">
        <f t="shared" si="10"/>
        <v>Error?</v>
      </c>
    </row>
    <row r="734" spans="1:4" x14ac:dyDescent="0.2">
      <c r="A734" s="5">
        <v>673</v>
      </c>
      <c r="B734" s="138">
        <f>'Expenditures 15-22'!C53</f>
        <v>173184</v>
      </c>
      <c r="C734" s="2" t="s">
        <v>594</v>
      </c>
      <c r="D734" s="2" t="str">
        <f t="shared" si="10"/>
        <v>Error?</v>
      </c>
    </row>
    <row r="735" spans="1:4" x14ac:dyDescent="0.2">
      <c r="A735" s="5">
        <v>674</v>
      </c>
      <c r="B735" s="138">
        <f>'Expenditures 15-22'!C55</f>
        <v>406430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406430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47939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179561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227500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1145899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5174550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457831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557643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37104</v>
      </c>
      <c r="D780" s="2" t="str">
        <f t="shared" si="11"/>
        <v>Error?</v>
      </c>
    </row>
    <row r="781" spans="1:4" x14ac:dyDescent="0.2">
      <c r="A781" s="5">
        <v>720</v>
      </c>
      <c r="B781" s="138">
        <f>'Expenditures 15-22'!D38</f>
        <v>7157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44261</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10185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10185</v>
      </c>
      <c r="C789" s="2" t="s">
        <v>594</v>
      </c>
      <c r="D789" s="2" t="str">
        <f t="shared" si="11"/>
        <v>Error?</v>
      </c>
    </row>
    <row r="790" spans="1:4" x14ac:dyDescent="0.2">
      <c r="A790" s="5">
        <v>729</v>
      </c>
      <c r="B790" s="138">
        <f>'Expenditures 15-22'!D49</f>
        <v>59800</v>
      </c>
      <c r="D790" s="2" t="str">
        <f t="shared" si="11"/>
        <v>Error?</v>
      </c>
    </row>
    <row r="791" spans="1:4" x14ac:dyDescent="0.2">
      <c r="A791" s="5">
        <v>730</v>
      </c>
      <c r="B791" s="138">
        <f>'Expenditures 15-22'!D50</f>
        <v>31103</v>
      </c>
      <c r="D791" s="2" t="str">
        <f t="shared" si="11"/>
        <v>Error?</v>
      </c>
    </row>
    <row r="792" spans="1:4" x14ac:dyDescent="0.2">
      <c r="A792" s="5">
        <v>731</v>
      </c>
      <c r="B792" s="138">
        <f>'Expenditures 15-22'!D53</f>
        <v>90903</v>
      </c>
      <c r="C792" s="2" t="s">
        <v>594</v>
      </c>
      <c r="D792" s="2" t="str">
        <f t="shared" si="11"/>
        <v>Error?</v>
      </c>
    </row>
    <row r="793" spans="1:4" x14ac:dyDescent="0.2">
      <c r="A793" s="5">
        <v>732</v>
      </c>
      <c r="B793" s="138">
        <f>'Expenditures 15-22'!D55</f>
        <v>86304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86304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19420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19487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251140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808783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2872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-87</v>
      </c>
      <c r="D833" s="2" t="str">
        <f t="shared" si="12"/>
        <v>Error?</v>
      </c>
    </row>
    <row r="834" spans="1:4" x14ac:dyDescent="0.2">
      <c r="A834" s="5">
        <v>773</v>
      </c>
      <c r="B834" s="138">
        <f>'Expenditures 15-22'!E14</f>
        <v>44172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50472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3634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3634</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151161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151161</v>
      </c>
      <c r="C847" s="2" t="s">
        <v>594</v>
      </c>
      <c r="D847" s="2" t="str">
        <f t="shared" si="12"/>
        <v>Error?</v>
      </c>
    </row>
    <row r="848" spans="1:4" x14ac:dyDescent="0.2">
      <c r="A848" s="5">
        <v>787</v>
      </c>
      <c r="B848" s="138">
        <f>'Expenditures 15-22'!E49</f>
        <v>111963</v>
      </c>
      <c r="D848" s="2" t="str">
        <f t="shared" si="12"/>
        <v>Error?</v>
      </c>
    </row>
    <row r="849" spans="1:4" x14ac:dyDescent="0.2">
      <c r="A849" s="5">
        <v>788</v>
      </c>
      <c r="B849" s="138">
        <f>'Expenditures 15-22'!E50</f>
        <v>838</v>
      </c>
      <c r="D849" s="2" t="str">
        <f t="shared" si="12"/>
        <v>Error?</v>
      </c>
    </row>
    <row r="850" spans="1:4" x14ac:dyDescent="0.2">
      <c r="A850" s="5">
        <v>789</v>
      </c>
      <c r="B850" s="138">
        <f>'Expenditures 15-22'!E53</f>
        <v>112801</v>
      </c>
      <c r="C850" s="2" t="s">
        <v>594</v>
      </c>
      <c r="D850" s="2" t="str">
        <f t="shared" si="12"/>
        <v>Error?</v>
      </c>
    </row>
    <row r="851" spans="1:4" x14ac:dyDescent="0.2">
      <c r="A851" s="5">
        <v>790</v>
      </c>
      <c r="B851" s="138">
        <f>'Expenditures 15-22'!E55</f>
        <v>459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459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56440</v>
      </c>
      <c r="D856" s="2" t="str">
        <f t="shared" si="12"/>
        <v>Error?</v>
      </c>
    </row>
    <row r="857" spans="1:4" x14ac:dyDescent="0.2">
      <c r="A857" s="5">
        <v>796</v>
      </c>
      <c r="B857" s="138">
        <f>'Expenditures 15-22'!E62</f>
        <v>1291</v>
      </c>
      <c r="D857" s="2" t="str">
        <f t="shared" si="12"/>
        <v>Error?</v>
      </c>
    </row>
    <row r="858" spans="1:4" x14ac:dyDescent="0.2">
      <c r="A858" s="5">
        <v>797</v>
      </c>
      <c r="B858" s="138">
        <f>'Expenditures 15-22'!E63</f>
        <v>4598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62329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330384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934521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199656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27324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262160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1286</v>
      </c>
      <c r="D896" s="2" t="str">
        <f t="shared" si="13"/>
        <v>Error?</v>
      </c>
    </row>
    <row r="897" spans="1:4" x14ac:dyDescent="0.2">
      <c r="A897" s="5">
        <v>836</v>
      </c>
      <c r="B897" s="138">
        <f>'Expenditures 15-22'!F38</f>
        <v>3126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4412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75716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75716</v>
      </c>
      <c r="C905" s="2" t="s">
        <v>594</v>
      </c>
      <c r="D905" s="2" t="str">
        <f t="shared" si="13"/>
        <v>Error?</v>
      </c>
    </row>
    <row r="906" spans="1:4" x14ac:dyDescent="0.2">
      <c r="A906" s="5">
        <v>845</v>
      </c>
      <c r="B906" s="138">
        <f>'Expenditures 15-22'!F49</f>
        <v>60448</v>
      </c>
      <c r="D906" s="2" t="str">
        <f t="shared" si="13"/>
        <v>Error?</v>
      </c>
    </row>
    <row r="907" spans="1:4" x14ac:dyDescent="0.2">
      <c r="A907" s="5">
        <v>846</v>
      </c>
      <c r="B907" s="138">
        <f>'Expenditures 15-22'!F50</f>
        <v>960</v>
      </c>
      <c r="D907" s="2" t="str">
        <f t="shared" si="13"/>
        <v>Error?</v>
      </c>
    </row>
    <row r="908" spans="1:4" x14ac:dyDescent="0.2">
      <c r="A908" s="5">
        <v>847</v>
      </c>
      <c r="B908" s="138">
        <f>'Expenditures 15-22'!F53</f>
        <v>61408</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1515</v>
      </c>
      <c r="D913" s="2" t="str">
        <f t="shared" si="13"/>
        <v>Error?</v>
      </c>
    </row>
    <row r="914" spans="1:4" x14ac:dyDescent="0.2">
      <c r="A914" s="5">
        <v>853</v>
      </c>
      <c r="B914" s="138">
        <f>'Expenditures 15-22'!F61</f>
        <v>227088</v>
      </c>
      <c r="D914" s="2" t="str">
        <f t="shared" si="13"/>
        <v>Error?</v>
      </c>
    </row>
    <row r="915" spans="1:4" x14ac:dyDescent="0.2">
      <c r="A915" s="5">
        <v>854</v>
      </c>
      <c r="B915" s="138">
        <f>'Expenditures 15-22'!F62</f>
        <v>8995</v>
      </c>
      <c r="D915" s="2" t="str">
        <f t="shared" si="13"/>
        <v>Error?</v>
      </c>
    </row>
    <row r="916" spans="1:4" x14ac:dyDescent="0.2">
      <c r="A916" s="5">
        <v>855</v>
      </c>
      <c r="B916" s="138">
        <f>'Expenditures 15-22'!F63</f>
        <v>365477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603075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744611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1006771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1476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1476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1147</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1147</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6116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6116</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7263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8739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17581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17581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1482</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1482</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38400</v>
      </c>
      <c r="D1022" s="2" t="str">
        <f t="shared" si="14"/>
        <v>Error?</v>
      </c>
    </row>
    <row r="1023" spans="1:4" x14ac:dyDescent="0.2">
      <c r="A1023" s="5">
        <v>962</v>
      </c>
      <c r="B1023" s="138">
        <f>'Expenditures 15-22'!H50</f>
        <v>3888</v>
      </c>
      <c r="D1023" s="2" t="str">
        <f t="shared" ref="D1023:D1086" si="15">IF(ISBLANK(B1023),"OK",IF(A1023-B1023=0,"OK","Error?"))</f>
        <v>Error?</v>
      </c>
    </row>
    <row r="1024" spans="1:4" x14ac:dyDescent="0.2">
      <c r="A1024" s="5">
        <v>963</v>
      </c>
      <c r="B1024" s="138">
        <f>'Expenditures 15-22'!H53</f>
        <v>42288</v>
      </c>
      <c r="C1024" s="2" t="s">
        <v>594</v>
      </c>
      <c r="D1024" s="2" t="str">
        <f t="shared" si="15"/>
        <v>Error?</v>
      </c>
    </row>
    <row r="1025" spans="1:4" x14ac:dyDescent="0.2">
      <c r="A1025" s="5">
        <v>964</v>
      </c>
      <c r="B1025" s="138">
        <f>'Expenditures 15-22'!H55</f>
        <v>3293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3293</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790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790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47853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65434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3845366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-87</v>
      </c>
      <c r="C1105" s="2" t="s">
        <v>594</v>
      </c>
      <c r="D1105" s="2" t="str">
        <f t="shared" si="16"/>
        <v>Error?</v>
      </c>
    </row>
    <row r="1106" spans="1:4" x14ac:dyDescent="0.2">
      <c r="A1106" s="5">
        <v>1045</v>
      </c>
      <c r="B1106" s="138">
        <f>'Expenditures 15-22'!K14</f>
        <v>304645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4917983</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227349</v>
      </c>
      <c r="C1110" s="2" t="s">
        <v>594</v>
      </c>
      <c r="D1110" s="2" t="str">
        <f t="shared" si="16"/>
        <v>Error?</v>
      </c>
    </row>
    <row r="1111" spans="1:4" x14ac:dyDescent="0.2">
      <c r="A1111" s="5">
        <v>1050</v>
      </c>
      <c r="B1111" s="138">
        <f>'Expenditures 15-22'!K38</f>
        <v>67446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1423</v>
      </c>
      <c r="C1114" s="2" t="s">
        <v>594</v>
      </c>
      <c r="D1114" s="2" t="str">
        <f t="shared" si="16"/>
        <v>Error?</v>
      </c>
    </row>
    <row r="1115" spans="1:4" x14ac:dyDescent="0.2">
      <c r="A1115" s="5">
        <v>1054</v>
      </c>
      <c r="B1115" s="138">
        <f>'Expenditures 15-22'!K42</f>
        <v>296218</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340681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340681</v>
      </c>
      <c r="C1119" s="2" t="s">
        <v>594</v>
      </c>
      <c r="D1119" s="2" t="str">
        <f t="shared" si="16"/>
        <v>Error?</v>
      </c>
    </row>
    <row r="1120" spans="1:4" x14ac:dyDescent="0.2">
      <c r="A1120" s="5">
        <v>1059</v>
      </c>
      <c r="B1120" s="138">
        <f>'Expenditures 15-22'!K49</f>
        <v>273665</v>
      </c>
      <c r="C1120" s="2" t="s">
        <v>594</v>
      </c>
      <c r="D1120" s="2" t="str">
        <f t="shared" si="16"/>
        <v>Error?</v>
      </c>
    </row>
    <row r="1121" spans="1:4" x14ac:dyDescent="0.2">
      <c r="A1121" s="5">
        <v>1060</v>
      </c>
      <c r="B1121" s="138">
        <f>'Expenditures 15-22'!K50</f>
        <v>206919</v>
      </c>
      <c r="C1121" s="2" t="s">
        <v>594</v>
      </c>
      <c r="D1121" s="2" t="str">
        <f t="shared" si="16"/>
        <v>Error?</v>
      </c>
    </row>
    <row r="1122" spans="1:4" x14ac:dyDescent="0.2">
      <c r="A1122" s="5">
        <v>1061</v>
      </c>
      <c r="B1122" s="138">
        <f>'Expenditures 15-22'!K53</f>
        <v>480584</v>
      </c>
      <c r="C1122" s="2" t="s">
        <v>594</v>
      </c>
      <c r="D1122" s="2" t="str">
        <f t="shared" si="16"/>
        <v>Error?</v>
      </c>
    </row>
    <row r="1123" spans="1:4" x14ac:dyDescent="0.2">
      <c r="A1123" s="5">
        <v>1062</v>
      </c>
      <c r="B1123" s="138">
        <f>'Expenditures 15-22'!K55</f>
        <v>496486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496486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49521</v>
      </c>
      <c r="C1127" s="2" t="s">
        <v>594</v>
      </c>
      <c r="D1127" s="2" t="str">
        <f t="shared" si="16"/>
        <v>Error?</v>
      </c>
    </row>
    <row r="1128" spans="1:4" x14ac:dyDescent="0.2">
      <c r="A1128" s="5">
        <v>1067</v>
      </c>
      <c r="B1128" s="138">
        <f>'Expenditures 15-22'!K61</f>
        <v>283528</v>
      </c>
      <c r="C1128" s="2" t="s">
        <v>594</v>
      </c>
      <c r="D1128" s="2" t="str">
        <f t="shared" si="16"/>
        <v>Error?</v>
      </c>
    </row>
    <row r="1129" spans="1:4" x14ac:dyDescent="0.2">
      <c r="A1129" s="5">
        <v>1068</v>
      </c>
      <c r="B1129" s="138">
        <f>'Expenditures 15-22'!K62</f>
        <v>10286</v>
      </c>
      <c r="C1129" s="2" t="s">
        <v>594</v>
      </c>
      <c r="D1129" s="2" t="str">
        <f t="shared" si="16"/>
        <v>Error?</v>
      </c>
    </row>
    <row r="1130" spans="1:4" x14ac:dyDescent="0.2">
      <c r="A1130" s="5">
        <v>1069</v>
      </c>
      <c r="B1130" s="138">
        <f>'Expenditures 15-22'!K63</f>
        <v>569846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913181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2527150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553665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7998798</v>
      </c>
      <c r="C1152" s="2" t="s">
        <v>594</v>
      </c>
      <c r="D1152" s="2" t="str">
        <f t="shared" si="17"/>
        <v>Error?</v>
      </c>
    </row>
    <row r="1153" spans="1:4" x14ac:dyDescent="0.2">
      <c r="A1153" s="5">
        <v>1092</v>
      </c>
      <c r="B1153" s="138">
        <f>'Expenditures 15-22'!K115</f>
        <v>348198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341929</v>
      </c>
      <c r="D1221" s="2" t="str">
        <f t="shared" si="18"/>
        <v>Error?</v>
      </c>
    </row>
    <row r="1222" spans="1:4" x14ac:dyDescent="0.2">
      <c r="A1222" s="10">
        <v>1161</v>
      </c>
      <c r="D1222" s="2" t="str">
        <f t="shared" si="18"/>
        <v>OK</v>
      </c>
    </row>
    <row r="1223" spans="1:4" x14ac:dyDescent="0.2">
      <c r="A1223" s="5">
        <v>1162</v>
      </c>
      <c r="B1223" s="138">
        <f>'Expenditures 15-22'!C127</f>
        <v>341929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341929</v>
      </c>
      <c r="C1225" s="2" t="s">
        <v>594</v>
      </c>
      <c r="D1225" s="2" t="str">
        <f t="shared" si="18"/>
        <v>Error?</v>
      </c>
    </row>
    <row r="1226" spans="1:4" x14ac:dyDescent="0.2">
      <c r="A1226" s="5">
        <v>1165</v>
      </c>
      <c r="B1226" s="138">
        <f>'Expenditures 15-22'!C151</f>
        <v>341929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62968</v>
      </c>
      <c r="D1229" s="2" t="str">
        <f t="shared" si="18"/>
        <v>Error?</v>
      </c>
    </row>
    <row r="1230" spans="1:4" x14ac:dyDescent="0.2">
      <c r="A1230" s="10">
        <v>1169</v>
      </c>
      <c r="D1230" s="2" t="str">
        <f t="shared" si="18"/>
        <v>OK</v>
      </c>
    </row>
    <row r="1231" spans="1:4" x14ac:dyDescent="0.2">
      <c r="A1231" s="5">
        <v>1170</v>
      </c>
      <c r="B1231" s="138">
        <f>'Expenditures 15-22'!D127</f>
        <v>62968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62968</v>
      </c>
      <c r="C1233" s="2" t="s">
        <v>594</v>
      </c>
      <c r="D1233" s="2" t="str">
        <f t="shared" si="18"/>
        <v>Error?</v>
      </c>
    </row>
    <row r="1234" spans="1:4" x14ac:dyDescent="0.2">
      <c r="A1234" s="5">
        <v>1173</v>
      </c>
      <c r="B1234" s="138">
        <f>'Expenditures 15-22'!D151</f>
        <v>62968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95961</v>
      </c>
      <c r="D1237" s="2" t="str">
        <f t="shared" si="18"/>
        <v>Error?</v>
      </c>
    </row>
    <row r="1238" spans="1:4" x14ac:dyDescent="0.2">
      <c r="A1238" s="10">
        <v>1177</v>
      </c>
      <c r="D1238" s="2" t="str">
        <f t="shared" si="18"/>
        <v>OK</v>
      </c>
    </row>
    <row r="1239" spans="1:4" x14ac:dyDescent="0.2">
      <c r="A1239" s="5">
        <v>1178</v>
      </c>
      <c r="B1239" s="138">
        <f>'Expenditures 15-22'!E127</f>
        <v>95961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95961</v>
      </c>
      <c r="C1241" s="2" t="s">
        <v>594</v>
      </c>
      <c r="D1241" s="2" t="str">
        <f t="shared" si="18"/>
        <v>Error?</v>
      </c>
    </row>
    <row r="1242" spans="1:4" x14ac:dyDescent="0.2">
      <c r="A1242" s="5">
        <v>1181</v>
      </c>
      <c r="B1242" s="138">
        <f>'Expenditures 15-22'!E151</f>
        <v>95961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64117</v>
      </c>
      <c r="D1245" s="2" t="str">
        <f t="shared" si="18"/>
        <v>Error?</v>
      </c>
    </row>
    <row r="1246" spans="1:4" x14ac:dyDescent="0.2">
      <c r="A1246" s="10">
        <v>1185</v>
      </c>
      <c r="D1246" s="2" t="str">
        <f t="shared" si="18"/>
        <v>OK</v>
      </c>
    </row>
    <row r="1247" spans="1:4" x14ac:dyDescent="0.2">
      <c r="A1247" s="5">
        <v>1186</v>
      </c>
      <c r="B1247" s="138">
        <f>'Expenditures 15-22'!F127</f>
        <v>64117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64117</v>
      </c>
      <c r="C1249" s="2" t="s">
        <v>594</v>
      </c>
      <c r="D1249" s="2" t="str">
        <f t="shared" si="18"/>
        <v>Error?</v>
      </c>
    </row>
    <row r="1250" spans="1:4" x14ac:dyDescent="0.2">
      <c r="A1250" s="5">
        <v>1189</v>
      </c>
      <c r="B1250" s="138">
        <f>'Expenditures 15-22'!F151</f>
        <v>64117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150780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150780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150780</v>
      </c>
      <c r="C1258" s="2" t="s">
        <v>594</v>
      </c>
      <c r="D1258" s="2" t="str">
        <f t="shared" si="18"/>
        <v>Error?</v>
      </c>
    </row>
    <row r="1259" spans="1:4" x14ac:dyDescent="0.2">
      <c r="A1259" s="5">
        <v>1198</v>
      </c>
      <c r="B1259" s="138">
        <f>'Expenditures 15-22'!G151</f>
        <v>150780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715755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715755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715755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715755</v>
      </c>
      <c r="C1288" s="2" t="s">
        <v>594</v>
      </c>
      <c r="D1288" s="2" t="str">
        <f t="shared" si="19"/>
        <v>Error?</v>
      </c>
    </row>
    <row r="1289" spans="1:4" x14ac:dyDescent="0.2">
      <c r="A1289" s="5">
        <v>1228</v>
      </c>
      <c r="B1289" s="138">
        <f>'Expenditures 15-22'!K152</f>
        <v>-119254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483040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1100000</v>
      </c>
      <c r="D1315" s="2" t="str">
        <f t="shared" si="19"/>
        <v>Error?</v>
      </c>
    </row>
    <row r="1316" spans="1:4" x14ac:dyDescent="0.2">
      <c r="A1316" s="5">
        <v>1255</v>
      </c>
      <c r="B1316" s="138">
        <f>'Expenditures 15-22'!H171</f>
        <v>2750</v>
      </c>
      <c r="D1316" s="2" t="str">
        <f t="shared" si="19"/>
        <v>Error?</v>
      </c>
    </row>
    <row r="1317" spans="1:4" x14ac:dyDescent="0.2">
      <c r="A1317" s="5">
        <v>1256</v>
      </c>
      <c r="B1317" s="138">
        <f>'Expenditures 15-22'!H172</f>
        <v>1585790</v>
      </c>
      <c r="C1317" s="2" t="s">
        <v>594</v>
      </c>
      <c r="D1317" s="2" t="str">
        <f t="shared" si="19"/>
        <v>Error?</v>
      </c>
    </row>
    <row r="1318" spans="1:4" x14ac:dyDescent="0.2">
      <c r="A1318" s="5">
        <v>1257</v>
      </c>
      <c r="B1318" s="138">
        <f>'Expenditures 15-22'!H174</f>
        <v>1585790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483040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1100000</v>
      </c>
      <c r="C1329" s="2" t="s">
        <v>594</v>
      </c>
      <c r="D1329" s="2" t="str">
        <f t="shared" si="19"/>
        <v>Error?</v>
      </c>
    </row>
    <row r="1330" spans="1:4" x14ac:dyDescent="0.2">
      <c r="A1330" s="5">
        <v>1269</v>
      </c>
      <c r="B1330" s="138">
        <f>'Expenditures 15-22'!K171</f>
        <v>2750</v>
      </c>
      <c r="C1330" s="2" t="s">
        <v>594</v>
      </c>
      <c r="D1330" s="2" t="str">
        <f t="shared" si="19"/>
        <v>Error?</v>
      </c>
    </row>
    <row r="1331" spans="1:4" x14ac:dyDescent="0.2">
      <c r="A1331" s="5">
        <v>1270</v>
      </c>
      <c r="B1331" s="138">
        <f>'Expenditures 15-22'!K172</f>
        <v>1585790</v>
      </c>
      <c r="C1331" s="2" t="s">
        <v>594</v>
      </c>
      <c r="D1331" s="2" t="str">
        <f t="shared" si="19"/>
        <v>Error?</v>
      </c>
    </row>
    <row r="1332" spans="1:4" x14ac:dyDescent="0.2">
      <c r="A1332" s="5">
        <v>1271</v>
      </c>
      <c r="B1332" s="138">
        <f>'Expenditures 15-22'!K174</f>
        <v>1585790</v>
      </c>
      <c r="C1332" s="2" t="s">
        <v>594</v>
      </c>
      <c r="D1332" s="2" t="str">
        <f t="shared" si="19"/>
        <v>Error?</v>
      </c>
    </row>
    <row r="1333" spans="1:4" x14ac:dyDescent="0.2">
      <c r="A1333" s="5">
        <v>1272</v>
      </c>
      <c r="B1333" s="138">
        <f>'Expenditures 15-22'!K175</f>
        <v>-234101</v>
      </c>
      <c r="C1333" s="2" t="s">
        <v>594</v>
      </c>
      <c r="D1333" s="2" t="str">
        <f t="shared" si="19"/>
        <v>Error?</v>
      </c>
    </row>
    <row r="1334" spans="1:4" x14ac:dyDescent="0.2">
      <c r="A1334" s="10">
        <v>1273</v>
      </c>
      <c r="D1334" s="2" t="str">
        <f t="shared" si="19"/>
        <v>OK</v>
      </c>
    </row>
    <row r="1335" spans="1:4" x14ac:dyDescent="0.2">
      <c r="A1335" s="5">
        <v>1274</v>
      </c>
      <c r="B1335" s="138">
        <f>'Expenditures 15-22'!C182</f>
        <v>326539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326539</v>
      </c>
      <c r="C1339" s="2" t="s">
        <v>594</v>
      </c>
      <c r="D1339" s="2" t="str">
        <f t="shared" si="19"/>
        <v>Error?</v>
      </c>
    </row>
    <row r="1340" spans="1:4" x14ac:dyDescent="0.2">
      <c r="A1340" s="5">
        <v>1279</v>
      </c>
      <c r="B1340" s="138">
        <f>'Expenditures 15-22'!C210</f>
        <v>326539</v>
      </c>
      <c r="C1340" s="2" t="s">
        <v>594</v>
      </c>
      <c r="D1340" s="2" t="str">
        <f t="shared" si="19"/>
        <v>Error?</v>
      </c>
    </row>
    <row r="1341" spans="1:4" x14ac:dyDescent="0.2">
      <c r="A1341" s="5">
        <v>1280</v>
      </c>
      <c r="B1341" s="138">
        <f>'Expenditures 15-22'!D182</f>
        <v>7436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7436</v>
      </c>
      <c r="C1345" s="2" t="s">
        <v>594</v>
      </c>
      <c r="D1345" s="2" t="str">
        <f t="shared" si="20"/>
        <v>Error?</v>
      </c>
    </row>
    <row r="1346" spans="1:4" x14ac:dyDescent="0.2">
      <c r="A1346" s="5">
        <v>1285</v>
      </c>
      <c r="B1346" s="138">
        <f>'Expenditures 15-22'!D210</f>
        <v>7436</v>
      </c>
      <c r="C1346" s="2" t="s">
        <v>594</v>
      </c>
      <c r="D1346" s="2" t="str">
        <f t="shared" si="20"/>
        <v>Error?</v>
      </c>
    </row>
    <row r="1347" spans="1:4" x14ac:dyDescent="0.2">
      <c r="A1347" s="5">
        <v>1286</v>
      </c>
      <c r="B1347" s="138">
        <f>'Expenditures 15-22'!E182</f>
        <v>16708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16708</v>
      </c>
      <c r="C1351" s="2" t="s">
        <v>594</v>
      </c>
      <c r="D1351" s="2" t="str">
        <f t="shared" si="20"/>
        <v>Error?</v>
      </c>
    </row>
    <row r="1352" spans="1:4" x14ac:dyDescent="0.2">
      <c r="A1352" s="5">
        <v>1291</v>
      </c>
      <c r="B1352" s="138">
        <f>'Expenditures 15-22'!E196</f>
        <v>6205</v>
      </c>
      <c r="C1352" s="2" t="s">
        <v>594</v>
      </c>
      <c r="D1352" s="2" t="str">
        <f t="shared" si="20"/>
        <v>Error?</v>
      </c>
    </row>
    <row r="1353" spans="1:4" x14ac:dyDescent="0.2">
      <c r="A1353" s="5">
        <v>1292</v>
      </c>
      <c r="B1353" s="138">
        <f>'Expenditures 15-22'!E210</f>
        <v>22913</v>
      </c>
      <c r="C1353" s="2" t="s">
        <v>594</v>
      </c>
      <c r="D1353" s="2" t="str">
        <f t="shared" si="20"/>
        <v>Error?</v>
      </c>
    </row>
    <row r="1354" spans="1:4" x14ac:dyDescent="0.2">
      <c r="A1354" s="5">
        <v>1293</v>
      </c>
      <c r="B1354" s="138">
        <f>'Expenditures 15-22'!F182</f>
        <v>95032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95032</v>
      </c>
      <c r="C1358" s="2" t="s">
        <v>594</v>
      </c>
      <c r="D1358" s="2" t="str">
        <f t="shared" si="20"/>
        <v>Error?</v>
      </c>
    </row>
    <row r="1359" spans="1:4" x14ac:dyDescent="0.2">
      <c r="A1359" s="5">
        <v>1298</v>
      </c>
      <c r="B1359" s="138">
        <f>'Expenditures 15-22'!F210</f>
        <v>95032</v>
      </c>
      <c r="C1359" s="2" t="s">
        <v>594</v>
      </c>
      <c r="D1359" s="2" t="str">
        <f t="shared" si="20"/>
        <v>Error?</v>
      </c>
    </row>
    <row r="1360" spans="1:4" x14ac:dyDescent="0.2">
      <c r="A1360" s="5">
        <v>1299</v>
      </c>
      <c r="B1360" s="138">
        <f>'Expenditures 15-22'!G182</f>
        <v>193020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193020</v>
      </c>
      <c r="C1364" s="2" t="s">
        <v>594</v>
      </c>
      <c r="D1364" s="2" t="str">
        <f t="shared" si="20"/>
        <v>Error?</v>
      </c>
    </row>
    <row r="1365" spans="1:4" x14ac:dyDescent="0.2">
      <c r="A1365" s="5">
        <v>1304</v>
      </c>
      <c r="B1365" s="138">
        <f>'Expenditures 15-22'!G210</f>
        <v>193020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638735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638735</v>
      </c>
      <c r="C1381" s="2" t="s">
        <v>594</v>
      </c>
      <c r="D1381" s="2" t="str">
        <f t="shared" si="20"/>
        <v>Error?</v>
      </c>
    </row>
    <row r="1382" spans="1:4" x14ac:dyDescent="0.2">
      <c r="A1382" s="5">
        <v>1321</v>
      </c>
      <c r="B1382" s="138">
        <f>'Expenditures 15-22'!K196</f>
        <v>6205</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644940</v>
      </c>
      <c r="C1388" s="2" t="s">
        <v>594</v>
      </c>
      <c r="D1388" s="2" t="str">
        <f t="shared" si="20"/>
        <v>Error?</v>
      </c>
    </row>
    <row r="1389" spans="1:4" x14ac:dyDescent="0.2">
      <c r="A1389" s="5">
        <v>1328</v>
      </c>
      <c r="B1389" s="138">
        <f>'Expenditures 15-22'!K211</f>
        <v>100178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178090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45430</v>
      </c>
      <c r="D1431" s="2" t="str">
        <f t="shared" si="21"/>
        <v>Error?</v>
      </c>
    </row>
    <row r="1432" spans="1:4" x14ac:dyDescent="0.2">
      <c r="A1432" s="5">
        <v>1371</v>
      </c>
      <c r="B1432" s="138">
        <f>'Expenditures 15-22'!D267</f>
        <v>6153</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51583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51583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254244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178090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45430</v>
      </c>
      <c r="C1495" s="2" t="s">
        <v>594</v>
      </c>
      <c r="D1495" s="2" t="str">
        <f t="shared" si="22"/>
        <v>Error?</v>
      </c>
    </row>
    <row r="1496" spans="1:4" x14ac:dyDescent="0.2">
      <c r="A1496" s="5">
        <v>1435</v>
      </c>
      <c r="B1496" s="138">
        <f>'Expenditures 15-22'!K267</f>
        <v>6153</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51583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51583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254244</v>
      </c>
      <c r="C1517" s="2" t="s">
        <v>594</v>
      </c>
      <c r="D1517" s="2" t="str">
        <f t="shared" si="22"/>
        <v>Error?</v>
      </c>
    </row>
    <row r="1518" spans="1:4" x14ac:dyDescent="0.2">
      <c r="A1518" s="5">
        <v>1457</v>
      </c>
      <c r="B1518" s="138">
        <f>'Expenditures 15-22'!K296</f>
        <v>10088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3318355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3666553</v>
      </c>
      <c r="C1630" s="2" t="s">
        <v>594</v>
      </c>
      <c r="D1630" s="2" t="str">
        <f t="shared" si="24"/>
        <v>Error?</v>
      </c>
    </row>
    <row r="1631" spans="1:4" x14ac:dyDescent="0.2">
      <c r="A1631" s="5">
        <v>1570</v>
      </c>
      <c r="B1631" s="138">
        <f>'Acct Summary 7-8'!D79</f>
        <v>458713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339459</v>
      </c>
      <c r="C1644" s="2" t="s">
        <v>594</v>
      </c>
      <c r="D1644" s="2" t="str">
        <f t="shared" si="24"/>
        <v>Error?</v>
      </c>
    </row>
    <row r="1645" spans="1:4" x14ac:dyDescent="0.2">
      <c r="A1645" s="5">
        <v>1584</v>
      </c>
      <c r="B1645" s="138">
        <f>'Acct Summary 7-8'!E79</f>
        <v>1070068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59804</v>
      </c>
      <c r="C1658" s="2" t="s">
        <v>594</v>
      </c>
      <c r="D1658" s="2" t="str">
        <f t="shared" si="24"/>
        <v>Error?</v>
      </c>
    </row>
    <row r="1659" spans="1:4" x14ac:dyDescent="0.2">
      <c r="A1659" s="5">
        <v>1598</v>
      </c>
      <c r="B1659" s="138">
        <f>'Acct Summary 7-8'!F79</f>
        <v>221175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321353</v>
      </c>
      <c r="C1672" s="2" t="s">
        <v>594</v>
      </c>
      <c r="D1672" s="2" t="str">
        <f t="shared" si="25"/>
        <v>Error?</v>
      </c>
    </row>
    <row r="1673" spans="1:4" x14ac:dyDescent="0.2">
      <c r="A1673" s="5">
        <v>1612</v>
      </c>
      <c r="B1673" s="138">
        <f>'Acct Summary 7-8'!G79</f>
        <v>330462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340550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3070634</v>
      </c>
      <c r="C1744" s="2" t="s">
        <v>594</v>
      </c>
      <c r="D1744" s="2" t="str">
        <f t="shared" si="26"/>
        <v>Error?</v>
      </c>
    </row>
    <row r="1745" spans="1:5" x14ac:dyDescent="0.2">
      <c r="A1745" s="5">
        <v>1684</v>
      </c>
      <c r="B1745" s="138">
        <f>'Tax Sched 23'!B5</f>
        <v>529421</v>
      </c>
      <c r="C1745" s="2" t="s">
        <v>594</v>
      </c>
      <c r="D1745" s="2" t="str">
        <f t="shared" si="26"/>
        <v>Error?</v>
      </c>
    </row>
    <row r="1746" spans="1:5" x14ac:dyDescent="0.2">
      <c r="A1746" s="5">
        <v>1685</v>
      </c>
      <c r="B1746" s="138">
        <f>'Tax Sched 23'!B6</f>
        <v>563319</v>
      </c>
      <c r="C1746" s="2" t="s">
        <v>594</v>
      </c>
      <c r="D1746" s="2" t="str">
        <f t="shared" si="26"/>
        <v>Error?</v>
      </c>
    </row>
    <row r="1747" spans="1:5" x14ac:dyDescent="0.2">
      <c r="A1747" s="5">
        <v>1686</v>
      </c>
      <c r="B1747" s="138">
        <f>'Tax Sched 23'!B7</f>
        <v>211768</v>
      </c>
      <c r="C1747" s="2" t="s">
        <v>594</v>
      </c>
      <c r="D1747" s="2" t="str">
        <f t="shared" si="26"/>
        <v>Error?</v>
      </c>
    </row>
    <row r="1748" spans="1:5" x14ac:dyDescent="0.2">
      <c r="A1748" s="5">
        <v>1687</v>
      </c>
      <c r="B1748" s="138">
        <f>'Tax Sched 23'!B8</f>
        <v>40175</v>
      </c>
      <c r="C1748" s="2" t="s">
        <v>594</v>
      </c>
      <c r="D1748" s="2" t="str">
        <f t="shared" si="26"/>
        <v>Error?</v>
      </c>
    </row>
    <row r="1749" spans="1:5" x14ac:dyDescent="0.2">
      <c r="A1749" s="5">
        <v>1688</v>
      </c>
      <c r="B1749" s="138">
        <f>'Tax Sched 23'!B10</f>
        <v>52941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215832</v>
      </c>
      <c r="C1752" s="2" t="s">
        <v>594</v>
      </c>
      <c r="D1752" s="2" t="str">
        <f t="shared" si="26"/>
        <v>Error?</v>
      </c>
    </row>
    <row r="1753" spans="1:5" x14ac:dyDescent="0.2">
      <c r="A1753" s="5">
        <v>1692</v>
      </c>
      <c r="B1753" s="138">
        <f>'Tax Sched 23'!B12</f>
        <v>52941</v>
      </c>
      <c r="C1753" s="2" t="s">
        <v>594</v>
      </c>
      <c r="D1753" s="2" t="str">
        <f t="shared" si="26"/>
        <v>Error?</v>
      </c>
    </row>
    <row r="1754" spans="1:5" x14ac:dyDescent="0.2">
      <c r="A1754" s="5">
        <v>1693</v>
      </c>
      <c r="B1754" s="138">
        <f>'Tax Sched 23'!B14</f>
        <v>42353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4866707</v>
      </c>
      <c r="C1759" s="2" t="s">
        <v>594</v>
      </c>
      <c r="D1759" s="2" t="str">
        <f t="shared" si="26"/>
        <v>Error?</v>
      </c>
    </row>
    <row r="1760" spans="1:5" x14ac:dyDescent="0.2">
      <c r="A1760" s="5">
        <v>1699</v>
      </c>
      <c r="B1760" s="138">
        <f>'Tax Sched 23'!D4</f>
        <v>1303127</v>
      </c>
      <c r="C1760" s="2" t="s">
        <v>594</v>
      </c>
      <c r="D1760" s="2" t="str">
        <f t="shared" si="26"/>
        <v>Error?</v>
      </c>
    </row>
    <row r="1761" spans="1:5" x14ac:dyDescent="0.2">
      <c r="A1761" s="5">
        <v>1700</v>
      </c>
      <c r="B1761" s="138">
        <f>'Tax Sched 23'!D5</f>
        <v>224677</v>
      </c>
      <c r="C1761" s="2" t="s">
        <v>594</v>
      </c>
      <c r="D1761" s="2" t="str">
        <f t="shared" si="26"/>
        <v>Error?</v>
      </c>
    </row>
    <row r="1762" spans="1:5" s="8" customFormat="1" x14ac:dyDescent="0.2">
      <c r="A1762" s="5">
        <v>1701</v>
      </c>
      <c r="B1762" s="138">
        <f>'Tax Sched 23'!D6</f>
        <v>337621</v>
      </c>
      <c r="C1762" s="2" t="s">
        <v>594</v>
      </c>
      <c r="D1762" s="2" t="str">
        <f t="shared" si="26"/>
        <v>Error?</v>
      </c>
      <c r="E1762" s="9"/>
    </row>
    <row r="1763" spans="1:5" x14ac:dyDescent="0.2">
      <c r="A1763" s="5">
        <v>1702</v>
      </c>
      <c r="B1763" s="138">
        <f>'Tax Sched 23'!D7</f>
        <v>89870</v>
      </c>
      <c r="C1763" s="2" t="s">
        <v>594</v>
      </c>
      <c r="D1763" s="2" t="str">
        <f t="shared" si="26"/>
        <v>Error?</v>
      </c>
    </row>
    <row r="1764" spans="1:5" x14ac:dyDescent="0.2">
      <c r="A1764" s="5">
        <v>1703</v>
      </c>
      <c r="B1764" s="138">
        <f>'Tax Sched 23'!D8</f>
        <v>25834</v>
      </c>
      <c r="C1764" s="2" t="s">
        <v>594</v>
      </c>
      <c r="D1764" s="2" t="str">
        <f t="shared" si="26"/>
        <v>Error?</v>
      </c>
    </row>
    <row r="1765" spans="1:5" x14ac:dyDescent="0.2">
      <c r="A1765" s="5">
        <v>1704</v>
      </c>
      <c r="B1765" s="138">
        <f>'Tax Sched 23'!D10</f>
        <v>22467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101095</v>
      </c>
      <c r="C1768" s="2" t="s">
        <v>594</v>
      </c>
      <c r="D1768" s="2" t="str">
        <f t="shared" si="26"/>
        <v>Error?</v>
      </c>
    </row>
    <row r="1769" spans="1:5" x14ac:dyDescent="0.2">
      <c r="A1769" s="5">
        <v>1708</v>
      </c>
      <c r="B1769" s="138">
        <f>'Tax Sched 23'!D12</f>
        <v>22467</v>
      </c>
      <c r="C1769" s="2" t="s">
        <v>594</v>
      </c>
      <c r="D1769" s="2" t="str">
        <f t="shared" si="26"/>
        <v>Error?</v>
      </c>
    </row>
    <row r="1770" spans="1:5" x14ac:dyDescent="0.2">
      <c r="A1770" s="5">
        <v>1709</v>
      </c>
      <c r="B1770" s="138">
        <f>'Tax Sched 23'!D14</f>
        <v>17973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2187639</v>
      </c>
      <c r="C1775" s="2" t="s">
        <v>594</v>
      </c>
      <c r="D1775" s="2" t="str">
        <f t="shared" si="26"/>
        <v>Error?</v>
      </c>
    </row>
    <row r="1776" spans="1:5" x14ac:dyDescent="0.2">
      <c r="A1776" s="5">
        <v>1715</v>
      </c>
      <c r="B1776" s="138">
        <f>'Tax Sched 23'!C4</f>
        <v>1767507</v>
      </c>
      <c r="D1776" s="2" t="str">
        <f t="shared" si="26"/>
        <v>Error?</v>
      </c>
    </row>
    <row r="1777" spans="1:4" x14ac:dyDescent="0.2">
      <c r="A1777" s="5">
        <v>1716</v>
      </c>
      <c r="B1777" s="138">
        <f>'Tax Sched 23'!C5</f>
        <v>304744</v>
      </c>
      <c r="D1777" s="2" t="str">
        <f t="shared" si="26"/>
        <v>Error?</v>
      </c>
    </row>
    <row r="1778" spans="1:4" x14ac:dyDescent="0.2">
      <c r="A1778" s="5">
        <v>1717</v>
      </c>
      <c r="B1778" s="138">
        <f>'Tax Sched 23'!C6</f>
        <v>225698</v>
      </c>
      <c r="D1778" s="2" t="str">
        <f t="shared" si="26"/>
        <v>Error?</v>
      </c>
    </row>
    <row r="1779" spans="1:4" x14ac:dyDescent="0.2">
      <c r="A1779" s="5">
        <v>1718</v>
      </c>
      <c r="B1779" s="138">
        <f>'Tax Sched 23'!C7</f>
        <v>121898</v>
      </c>
      <c r="D1779" s="2" t="str">
        <f t="shared" si="26"/>
        <v>Error?</v>
      </c>
    </row>
    <row r="1780" spans="1:4" x14ac:dyDescent="0.2">
      <c r="A1780" s="5">
        <v>1719</v>
      </c>
      <c r="B1780" s="138">
        <f>'Tax Sched 23'!C8</f>
        <v>14341</v>
      </c>
      <c r="D1780" s="2" t="str">
        <f t="shared" si="26"/>
        <v>Error?</v>
      </c>
    </row>
    <row r="1781" spans="1:4" x14ac:dyDescent="0.2">
      <c r="A1781" s="5">
        <v>1720</v>
      </c>
      <c r="B1781" s="138">
        <f>'Tax Sched 23'!C10</f>
        <v>30474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114737</v>
      </c>
      <c r="D1784" s="2" t="str">
        <f t="shared" si="26"/>
        <v>Error?</v>
      </c>
    </row>
    <row r="1785" spans="1:4" x14ac:dyDescent="0.2">
      <c r="A1785" s="5">
        <v>1724</v>
      </c>
      <c r="B1785" s="138">
        <f>'Tax Sched 23'!C12</f>
        <v>30474</v>
      </c>
      <c r="D1785" s="2" t="str">
        <f t="shared" si="26"/>
        <v>Error?</v>
      </c>
    </row>
    <row r="1786" spans="1:4" x14ac:dyDescent="0.2">
      <c r="A1786" s="5">
        <v>1725</v>
      </c>
      <c r="B1786" s="138">
        <f>'Tax Sched 23'!C14</f>
        <v>24380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2679068</v>
      </c>
      <c r="C1791" s="2" t="s">
        <v>594</v>
      </c>
      <c r="D1791" s="2" t="str">
        <f t="shared" ref="D1791:D1854" si="27">IF(ISBLANK(B1791),"OK",IF(A1791-B1791=0,"OK","Error?"))</f>
        <v>Error?</v>
      </c>
    </row>
    <row r="1792" spans="1:4" x14ac:dyDescent="0.2">
      <c r="A1792" s="5">
        <v>1731</v>
      </c>
      <c r="B1792" s="138">
        <f>'Tax Sched 23'!F4</f>
        <v>1313645</v>
      </c>
      <c r="C1792" s="2" t="s">
        <v>594</v>
      </c>
      <c r="D1792" s="2" t="str">
        <f t="shared" si="27"/>
        <v>Error?</v>
      </c>
    </row>
    <row r="1793" spans="1:4" x14ac:dyDescent="0.2">
      <c r="A1793" s="5">
        <v>1732</v>
      </c>
      <c r="B1793" s="138">
        <f>'Tax Sched 23'!F5</f>
        <v>226489</v>
      </c>
      <c r="C1793" s="2" t="s">
        <v>594</v>
      </c>
      <c r="D1793" s="2" t="str">
        <f t="shared" si="27"/>
        <v>Error?</v>
      </c>
    </row>
    <row r="1794" spans="1:4" x14ac:dyDescent="0.2">
      <c r="A1794" s="5">
        <v>1733</v>
      </c>
      <c r="B1794" s="138">
        <f>'Tax Sched 23'!F6</f>
        <v>167744</v>
      </c>
      <c r="C1794" s="2" t="s">
        <v>594</v>
      </c>
      <c r="D1794" s="2" t="str">
        <f t="shared" si="27"/>
        <v>Error?</v>
      </c>
    </row>
    <row r="1795" spans="1:4" x14ac:dyDescent="0.2">
      <c r="A1795" s="5">
        <v>1734</v>
      </c>
      <c r="B1795" s="138">
        <f>'Tax Sched 23'!F7</f>
        <v>90595</v>
      </c>
      <c r="C1795" s="2" t="s">
        <v>594</v>
      </c>
      <c r="D1795" s="2" t="str">
        <f t="shared" si="27"/>
        <v>Error?</v>
      </c>
    </row>
    <row r="1796" spans="1:4" x14ac:dyDescent="0.2">
      <c r="A1796" s="5">
        <v>1735</v>
      </c>
      <c r="B1796" s="138">
        <f>'Tax Sched 23'!F8</f>
        <v>10659</v>
      </c>
      <c r="C1796" s="2" t="s">
        <v>594</v>
      </c>
      <c r="D1796" s="2" t="str">
        <f t="shared" si="27"/>
        <v>Error?</v>
      </c>
    </row>
    <row r="1797" spans="1:4" x14ac:dyDescent="0.2">
      <c r="A1797" s="5">
        <v>1736</v>
      </c>
      <c r="B1797" s="138">
        <f>'Tax Sched 23'!F10</f>
        <v>22649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85272</v>
      </c>
      <c r="C1800" s="2" t="s">
        <v>594</v>
      </c>
      <c r="D1800" s="2" t="str">
        <f t="shared" si="27"/>
        <v>Error?</v>
      </c>
    </row>
    <row r="1801" spans="1:4" x14ac:dyDescent="0.2">
      <c r="A1801" s="5">
        <v>1740</v>
      </c>
      <c r="B1801" s="138">
        <f>'Tax Sched 23'!F12</f>
        <v>22649</v>
      </c>
      <c r="C1801" s="2" t="s">
        <v>594</v>
      </c>
      <c r="D1801" s="2" t="str">
        <f t="shared" si="27"/>
        <v>Error?</v>
      </c>
    </row>
    <row r="1802" spans="1:4" x14ac:dyDescent="0.2">
      <c r="A1802" s="5">
        <v>1741</v>
      </c>
      <c r="B1802" s="138">
        <f>'Tax Sched 23'!F14</f>
        <v>18119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1991129</v>
      </c>
      <c r="C1807" s="2" t="s">
        <v>594</v>
      </c>
      <c r="D1807" s="2" t="str">
        <f t="shared" si="27"/>
        <v>Error?</v>
      </c>
    </row>
    <row r="1808" spans="1:4" x14ac:dyDescent="0.2">
      <c r="A1808" s="5">
        <v>1747</v>
      </c>
      <c r="B1808" s="138">
        <f>'Tax Sched 23'!E4</f>
        <v>3081152</v>
      </c>
      <c r="D1808" s="2" t="str">
        <f t="shared" si="27"/>
        <v>Error?</v>
      </c>
    </row>
    <row r="1809" spans="1:4" x14ac:dyDescent="0.2">
      <c r="A1809" s="5">
        <v>1748</v>
      </c>
      <c r="B1809" s="138">
        <f>'Tax Sched 23'!E5</f>
        <v>531233</v>
      </c>
      <c r="D1809" s="2" t="str">
        <f t="shared" si="27"/>
        <v>Error?</v>
      </c>
    </row>
    <row r="1810" spans="1:4" x14ac:dyDescent="0.2">
      <c r="A1810" s="5">
        <v>1749</v>
      </c>
      <c r="B1810" s="138">
        <f>'Tax Sched 23'!E6</f>
        <v>393442</v>
      </c>
      <c r="D1810" s="2" t="str">
        <f t="shared" si="27"/>
        <v>Error?</v>
      </c>
    </row>
    <row r="1811" spans="1:4" x14ac:dyDescent="0.2">
      <c r="A1811" s="5">
        <v>1750</v>
      </c>
      <c r="B1811" s="138">
        <f>'Tax Sched 23'!E7</f>
        <v>212493</v>
      </c>
      <c r="D1811" s="2" t="str">
        <f t="shared" si="27"/>
        <v>Error?</v>
      </c>
    </row>
    <row r="1812" spans="1:4" x14ac:dyDescent="0.2">
      <c r="A1812" s="5">
        <v>1751</v>
      </c>
      <c r="B1812" s="138">
        <f>'Tax Sched 23'!E8</f>
        <v>25000</v>
      </c>
      <c r="D1812" s="2" t="str">
        <f t="shared" si="27"/>
        <v>Error?</v>
      </c>
    </row>
    <row r="1813" spans="1:4" x14ac:dyDescent="0.2">
      <c r="A1813" s="5">
        <v>1752</v>
      </c>
      <c r="B1813" s="138">
        <f>'Tax Sched 23'!E10</f>
        <v>53123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200009</v>
      </c>
      <c r="D1816" s="2" t="str">
        <f t="shared" si="27"/>
        <v>Error?</v>
      </c>
    </row>
    <row r="1817" spans="1:4" x14ac:dyDescent="0.2">
      <c r="A1817" s="5">
        <v>1756</v>
      </c>
      <c r="B1817" s="138">
        <f>'Tax Sched 23'!E12</f>
        <v>53123</v>
      </c>
      <c r="D1817" s="2" t="str">
        <f t="shared" si="27"/>
        <v>Error?</v>
      </c>
    </row>
    <row r="1818" spans="1:4" x14ac:dyDescent="0.2">
      <c r="A1818" s="5">
        <v>1757</v>
      </c>
      <c r="B1818" s="138">
        <f>'Tax Sched 23'!E14</f>
        <v>42499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4670197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14680000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42353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42353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457236</v>
      </c>
      <c r="C1982" s="2" t="s">
        <v>594</v>
      </c>
      <c r="D1982" s="2" t="str">
        <f t="shared" si="29"/>
        <v>Error?</v>
      </c>
    </row>
    <row r="1983" spans="1:5" x14ac:dyDescent="0.2">
      <c r="A1983" s="5">
        <v>1922</v>
      </c>
      <c r="B1983" s="138">
        <f>'Rest Tax Levies-Tort Im 25'!H24</f>
        <v>-414883</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186182</v>
      </c>
      <c r="D2008" s="2" t="str">
        <f t="shared" si="30"/>
        <v>Error?</v>
      </c>
    </row>
    <row r="2009" spans="1:4" x14ac:dyDescent="0.2">
      <c r="A2009" s="5">
        <v>1948</v>
      </c>
      <c r="B2009" s="138">
        <f>'Cap Outlay Deprec 26'!C8</f>
        <v>45795405</v>
      </c>
      <c r="D2009" s="2" t="str">
        <f t="shared" si="30"/>
        <v>Error?</v>
      </c>
    </row>
    <row r="2010" spans="1:4" x14ac:dyDescent="0.2">
      <c r="A2010" s="5">
        <v>1949</v>
      </c>
      <c r="B2010" s="138">
        <f>'Cap Outlay Deprec 26'!C10</f>
        <v>146372</v>
      </c>
      <c r="D2010" s="2" t="str">
        <f t="shared" si="30"/>
        <v>Error?</v>
      </c>
    </row>
    <row r="2011" spans="1:4" x14ac:dyDescent="0.2">
      <c r="A2011" s="5">
        <v>1950</v>
      </c>
      <c r="B2011" s="138">
        <f>'Cap Outlay Deprec 26'!C12</f>
        <v>1729819</v>
      </c>
      <c r="D2011" s="2" t="str">
        <f t="shared" si="30"/>
        <v>Error?</v>
      </c>
    </row>
    <row r="2012" spans="1:4" x14ac:dyDescent="0.2">
      <c r="A2012" s="5">
        <v>1951</v>
      </c>
      <c r="B2012" s="138">
        <f>'Cap Outlay Deprec 26'!C13</f>
        <v>986190</v>
      </c>
      <c r="D2012" s="2" t="str">
        <f t="shared" si="30"/>
        <v>Error?</v>
      </c>
    </row>
    <row r="2013" spans="1:4" x14ac:dyDescent="0.2">
      <c r="A2013" s="5">
        <v>1952</v>
      </c>
      <c r="B2013" s="138">
        <f>'Cap Outlay Deprec 26'!C16</f>
        <v>49249707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514823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623907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514823</v>
      </c>
      <c r="C2025" s="2" t="s">
        <v>594</v>
      </c>
      <c r="D2025" s="2" t="str">
        <f t="shared" si="30"/>
        <v>Error?</v>
      </c>
    </row>
    <row r="2026" spans="1:4" x14ac:dyDescent="0.2">
      <c r="A2026" s="5">
        <v>1965</v>
      </c>
      <c r="B2026" s="138">
        <f>'Cap Outlay Deprec 26'!F5</f>
        <v>186182</v>
      </c>
      <c r="C2026" s="2" t="s">
        <v>594</v>
      </c>
      <c r="D2026" s="2" t="str">
        <f t="shared" si="30"/>
        <v>Error?</v>
      </c>
    </row>
    <row r="2027" spans="1:4" x14ac:dyDescent="0.2">
      <c r="A2027" s="5">
        <v>1966</v>
      </c>
      <c r="B2027" s="138">
        <f>'Cap Outlay Deprec 26'!F8</f>
        <v>46310228</v>
      </c>
      <c r="C2027" s="2" t="s">
        <v>594</v>
      </c>
      <c r="D2027" s="2" t="str">
        <f t="shared" si="30"/>
        <v>Error?</v>
      </c>
    </row>
    <row r="2028" spans="1:4" x14ac:dyDescent="0.2">
      <c r="A2028" s="5">
        <v>1967</v>
      </c>
      <c r="B2028" s="138">
        <f>'Cap Outlay Deprec 26'!F10</f>
        <v>146372</v>
      </c>
      <c r="C2028" s="2" t="s">
        <v>594</v>
      </c>
      <c r="D2028" s="2" t="str">
        <f t="shared" si="30"/>
        <v>Error?</v>
      </c>
    </row>
    <row r="2029" spans="1:4" x14ac:dyDescent="0.2">
      <c r="A2029" s="5">
        <v>1968</v>
      </c>
      <c r="B2029" s="138">
        <f>'Cap Outlay Deprec 26'!F12</f>
        <v>1729819</v>
      </c>
      <c r="C2029" s="2" t="s">
        <v>594</v>
      </c>
      <c r="D2029" s="2" t="str">
        <f t="shared" si="30"/>
        <v>Error?</v>
      </c>
    </row>
    <row r="2030" spans="1:4" x14ac:dyDescent="0.2">
      <c r="A2030" s="5">
        <v>1969</v>
      </c>
      <c r="B2030" s="138">
        <f>'Cap Outlay Deprec 26'!F13</f>
        <v>986190</v>
      </c>
      <c r="C2030" s="2" t="s">
        <v>594</v>
      </c>
      <c r="D2030" s="2" t="str">
        <f t="shared" si="30"/>
        <v>Error?</v>
      </c>
    </row>
    <row r="2031" spans="1:4" x14ac:dyDescent="0.2">
      <c r="A2031" s="5">
        <v>1970</v>
      </c>
      <c r="B2031" s="138">
        <f>'Cap Outlay Deprec 26'!F16</f>
        <v>49358791</v>
      </c>
      <c r="C2031" s="2" t="s">
        <v>594</v>
      </c>
      <c r="D2031" s="2" t="str">
        <f t="shared" si="30"/>
        <v>Error?</v>
      </c>
    </row>
    <row r="2032" spans="1:4" x14ac:dyDescent="0.2">
      <c r="A2032" s="10">
        <v>1971</v>
      </c>
      <c r="D2032" s="2" t="str">
        <f t="shared" si="30"/>
        <v>OK</v>
      </c>
    </row>
    <row r="2033" spans="1:4" x14ac:dyDescent="0.2">
      <c r="A2033" s="5">
        <v>1972</v>
      </c>
      <c r="B2033" s="138">
        <f>'Cap Outlay Deprec 26'!H8</f>
        <v>6807526</v>
      </c>
      <c r="D2033" s="2" t="str">
        <f t="shared" si="30"/>
        <v>Error?</v>
      </c>
    </row>
    <row r="2034" spans="1:4" x14ac:dyDescent="0.2">
      <c r="A2034" s="5">
        <v>1973</v>
      </c>
      <c r="B2034" s="138">
        <f>'Cap Outlay Deprec 26'!H10</f>
        <v>118983</v>
      </c>
      <c r="D2034" s="2" t="str">
        <f t="shared" si="30"/>
        <v>Error?</v>
      </c>
    </row>
    <row r="2035" spans="1:4" x14ac:dyDescent="0.2">
      <c r="A2035" s="5">
        <v>1974</v>
      </c>
      <c r="B2035" s="138">
        <f>'Cap Outlay Deprec 26'!H12</f>
        <v>1567044</v>
      </c>
      <c r="D2035" s="2" t="str">
        <f t="shared" si="30"/>
        <v>Error?</v>
      </c>
    </row>
    <row r="2036" spans="1:4" x14ac:dyDescent="0.2">
      <c r="A2036" s="5">
        <v>1975</v>
      </c>
      <c r="B2036" s="138">
        <f>'Cap Outlay Deprec 26'!H13</f>
        <v>947516</v>
      </c>
      <c r="D2036" s="2" t="str">
        <f t="shared" si="30"/>
        <v>Error?</v>
      </c>
    </row>
    <row r="2037" spans="1:4" x14ac:dyDescent="0.2">
      <c r="A2037" s="5">
        <v>1976</v>
      </c>
      <c r="B2037" s="138">
        <f>'Cap Outlay Deprec 26'!H16</f>
        <v>9441069</v>
      </c>
      <c r="C2037" s="2" t="s">
        <v>594</v>
      </c>
      <c r="D2037" s="2" t="str">
        <f t="shared" si="30"/>
        <v>Error?</v>
      </c>
    </row>
    <row r="2038" spans="1:4" x14ac:dyDescent="0.2">
      <c r="A2038" s="10">
        <v>1977</v>
      </c>
      <c r="D2038" s="2" t="str">
        <f t="shared" si="30"/>
        <v>OK</v>
      </c>
    </row>
    <row r="2039" spans="1:4" x14ac:dyDescent="0.2">
      <c r="A2039" s="5">
        <v>1978</v>
      </c>
      <c r="B2039" s="138">
        <f>'Cap Outlay Deprec 26'!I8</f>
        <v>939344</v>
      </c>
      <c r="D2039" s="2" t="str">
        <f t="shared" si="30"/>
        <v>Error?</v>
      </c>
    </row>
    <row r="2040" spans="1:4" x14ac:dyDescent="0.2">
      <c r="A2040" s="5">
        <v>1979</v>
      </c>
      <c r="B2040" s="138">
        <f>'Cap Outlay Deprec 26'!I10</f>
        <v>5388</v>
      </c>
      <c r="D2040" s="2" t="str">
        <f t="shared" si="30"/>
        <v>Error?</v>
      </c>
    </row>
    <row r="2041" spans="1:4" x14ac:dyDescent="0.2">
      <c r="A2041" s="5">
        <v>1980</v>
      </c>
      <c r="B2041" s="138">
        <f>'Cap Outlay Deprec 26'!I12</f>
        <v>54010</v>
      </c>
      <c r="D2041" s="2" t="str">
        <f t="shared" si="30"/>
        <v>Error?</v>
      </c>
    </row>
    <row r="2042" spans="1:4" x14ac:dyDescent="0.2">
      <c r="A2042" s="5">
        <v>1981</v>
      </c>
      <c r="B2042" s="138">
        <f>'Cap Outlay Deprec 26'!I13</f>
        <v>13967</v>
      </c>
      <c r="D2042" s="2" t="str">
        <f t="shared" si="30"/>
        <v>Error?</v>
      </c>
    </row>
    <row r="2043" spans="1:4" x14ac:dyDescent="0.2">
      <c r="A2043" s="5">
        <v>1982</v>
      </c>
      <c r="B2043" s="138">
        <f>'Cap Outlay Deprec 26'!I16</f>
        <v>1012709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7746870</v>
      </c>
      <c r="C2051" s="2" t="s">
        <v>594</v>
      </c>
      <c r="D2051" s="2" t="str">
        <f t="shared" si="31"/>
        <v>Error?</v>
      </c>
    </row>
    <row r="2052" spans="1:4" x14ac:dyDescent="0.2">
      <c r="A2052" s="5">
        <v>1991</v>
      </c>
      <c r="B2052" s="138">
        <f>'Cap Outlay Deprec 26'!K10</f>
        <v>124371</v>
      </c>
      <c r="C2052" s="2" t="s">
        <v>594</v>
      </c>
      <c r="D2052" s="2" t="str">
        <f t="shared" si="31"/>
        <v>Error?</v>
      </c>
    </row>
    <row r="2053" spans="1:4" x14ac:dyDescent="0.2">
      <c r="A2053" s="5">
        <v>1992</v>
      </c>
      <c r="B2053" s="138">
        <f>'Cap Outlay Deprec 26'!K12</f>
        <v>1621054</v>
      </c>
      <c r="C2053" s="2" t="s">
        <v>594</v>
      </c>
      <c r="D2053" s="2" t="str">
        <f t="shared" si="31"/>
        <v>Error?</v>
      </c>
    </row>
    <row r="2054" spans="1:4" x14ac:dyDescent="0.2">
      <c r="A2054" s="5">
        <v>1993</v>
      </c>
      <c r="B2054" s="138">
        <f>'Cap Outlay Deprec 26'!K13</f>
        <v>961483</v>
      </c>
      <c r="C2054" s="2" t="s">
        <v>594</v>
      </c>
      <c r="D2054" s="2" t="str">
        <f t="shared" si="31"/>
        <v>Error?</v>
      </c>
    </row>
    <row r="2055" spans="1:4" x14ac:dyDescent="0.2">
      <c r="A2055" s="5">
        <v>1994</v>
      </c>
      <c r="B2055" s="138">
        <f>'Cap Outlay Deprec 26'!K16</f>
        <v>10453778</v>
      </c>
      <c r="C2055" s="2" t="s">
        <v>594</v>
      </c>
      <c r="D2055" s="2" t="str">
        <f t="shared" si="31"/>
        <v>Error?</v>
      </c>
    </row>
    <row r="2056" spans="1:4" x14ac:dyDescent="0.2">
      <c r="A2056" s="5">
        <v>1995</v>
      </c>
      <c r="B2056" s="138">
        <f>'Cap Outlay Deprec 26'!L5</f>
        <v>186182</v>
      </c>
      <c r="C2056" s="2" t="s">
        <v>594</v>
      </c>
      <c r="D2056" s="2" t="str">
        <f t="shared" si="31"/>
        <v>Error?</v>
      </c>
    </row>
    <row r="2057" spans="1:4" x14ac:dyDescent="0.2">
      <c r="A2057" s="5">
        <v>1996</v>
      </c>
      <c r="B2057" s="138">
        <f>'Cap Outlay Deprec 26'!L8</f>
        <v>38563358</v>
      </c>
      <c r="C2057" s="2" t="s">
        <v>594</v>
      </c>
      <c r="D2057" s="2" t="str">
        <f t="shared" si="31"/>
        <v>Error?</v>
      </c>
    </row>
    <row r="2058" spans="1:4" x14ac:dyDescent="0.2">
      <c r="A2058" s="5">
        <v>1997</v>
      </c>
      <c r="B2058" s="138">
        <f>'Cap Outlay Deprec 26'!L10</f>
        <v>22001</v>
      </c>
      <c r="C2058" s="2" t="s">
        <v>594</v>
      </c>
      <c r="D2058" s="2" t="str">
        <f t="shared" si="31"/>
        <v>Error?</v>
      </c>
    </row>
    <row r="2059" spans="1:4" x14ac:dyDescent="0.2">
      <c r="A2059" s="5">
        <v>1998</v>
      </c>
      <c r="B2059" s="138">
        <f>'Cap Outlay Deprec 26'!L12</f>
        <v>108765</v>
      </c>
      <c r="C2059" s="2" t="s">
        <v>594</v>
      </c>
      <c r="D2059" s="2" t="str">
        <f t="shared" si="31"/>
        <v>Error?</v>
      </c>
    </row>
    <row r="2060" spans="1:4" x14ac:dyDescent="0.2">
      <c r="A2060" s="5">
        <v>1999</v>
      </c>
      <c r="B2060" s="138">
        <f>'Cap Outlay Deprec 26'!L13</f>
        <v>24707</v>
      </c>
      <c r="C2060" s="2" t="s">
        <v>594</v>
      </c>
      <c r="D2060" s="2" t="str">
        <f t="shared" si="31"/>
        <v>Error?</v>
      </c>
    </row>
    <row r="2061" spans="1:4" x14ac:dyDescent="0.2">
      <c r="A2061" s="5">
        <v>2000</v>
      </c>
      <c r="B2061" s="138">
        <f>'Cap Outlay Deprec 26'!L16</f>
        <v>38905013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553665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2962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340550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3598917</v>
      </c>
      <c r="C2551" s="2" t="s">
        <v>594</v>
      </c>
      <c r="D2551" s="2" t="str">
        <f t="shared" si="38"/>
        <v>Error?</v>
      </c>
    </row>
    <row r="2552" spans="1:4" x14ac:dyDescent="0.2">
      <c r="A2552" s="10">
        <v>2491</v>
      </c>
      <c r="D2552" s="2" t="str">
        <f t="shared" si="38"/>
        <v>OK</v>
      </c>
    </row>
    <row r="2553" spans="1:4" x14ac:dyDescent="0.2">
      <c r="A2553" s="5">
        <v>2492</v>
      </c>
      <c r="B2553" s="138">
        <f>'Acct Summary 7-8'!C6</f>
        <v>4208754</v>
      </c>
      <c r="C2553" s="2" t="s">
        <v>594</v>
      </c>
      <c r="D2553" s="2" t="str">
        <f t="shared" si="38"/>
        <v>Error?</v>
      </c>
    </row>
    <row r="2554" spans="1:4" x14ac:dyDescent="0.2">
      <c r="A2554" s="5">
        <v>2493</v>
      </c>
      <c r="B2554" s="138">
        <f>'Acct Summary 7-8'!C7</f>
        <v>539325</v>
      </c>
      <c r="C2554" s="2" t="s">
        <v>594</v>
      </c>
      <c r="D2554" s="2" t="str">
        <f t="shared" si="38"/>
        <v>Error?</v>
      </c>
    </row>
    <row r="2555" spans="1:4" x14ac:dyDescent="0.2">
      <c r="A2555" s="5">
        <v>2494</v>
      </c>
      <c r="B2555" s="138">
        <f>'Acct Summary 7-8'!C8</f>
        <v>8346996</v>
      </c>
      <c r="C2555" s="2" t="s">
        <v>594</v>
      </c>
      <c r="D2555" s="2" t="str">
        <f t="shared" si="38"/>
        <v>Error?</v>
      </c>
    </row>
    <row r="2556" spans="1:4" x14ac:dyDescent="0.2">
      <c r="A2556" s="5">
        <v>2495</v>
      </c>
      <c r="B2556" s="138">
        <f>'Acct Summary 7-8'!C12</f>
        <v>4917983</v>
      </c>
      <c r="C2556" s="2" t="s">
        <v>594</v>
      </c>
      <c r="D2556" s="2" t="str">
        <f t="shared" si="38"/>
        <v>Error?</v>
      </c>
    </row>
    <row r="2557" spans="1:4" x14ac:dyDescent="0.2">
      <c r="A2557" s="5">
        <v>2496</v>
      </c>
      <c r="B2557" s="138">
        <f>'Acct Summary 7-8'!C13</f>
        <v>2527150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553665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7998798</v>
      </c>
      <c r="C2561" s="2" t="s">
        <v>594</v>
      </c>
      <c r="D2561" s="2" t="str">
        <f t="shared" si="39"/>
        <v>Error?</v>
      </c>
    </row>
    <row r="2562" spans="1:4" x14ac:dyDescent="0.2">
      <c r="A2562" s="5">
        <v>2501</v>
      </c>
      <c r="B2562" s="138">
        <f>'Acct Summary 7-8'!C20</f>
        <v>348198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531501</v>
      </c>
      <c r="C2564" s="2" t="s">
        <v>594</v>
      </c>
      <c r="D2564" s="2" t="str">
        <f t="shared" si="39"/>
        <v>Error?</v>
      </c>
    </row>
    <row r="2565" spans="1:4" x14ac:dyDescent="0.2">
      <c r="A2565" s="10">
        <v>2504</v>
      </c>
      <c r="D2565" s="2" t="str">
        <f t="shared" si="39"/>
        <v>OK</v>
      </c>
    </row>
    <row r="2566" spans="1:4" x14ac:dyDescent="0.2">
      <c r="A2566" s="5">
        <v>2505</v>
      </c>
      <c r="B2566" s="138">
        <f>'Acct Summary 7-8'!D6</f>
        <v>65000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596501</v>
      </c>
      <c r="C2568" s="2" t="s">
        <v>594</v>
      </c>
      <c r="D2568" s="2" t="str">
        <f t="shared" si="39"/>
        <v>Error?</v>
      </c>
    </row>
    <row r="2569" spans="1:4" x14ac:dyDescent="0.2">
      <c r="A2569" s="5">
        <v>2508</v>
      </c>
      <c r="B2569" s="138">
        <f>'Acct Summary 7-8'!D13</f>
        <v>715755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715755</v>
      </c>
      <c r="C2573" s="2" t="s">
        <v>594</v>
      </c>
      <c r="D2573" s="2" t="str">
        <f t="shared" si="39"/>
        <v>Error?</v>
      </c>
    </row>
    <row r="2574" spans="1:4" x14ac:dyDescent="0.2">
      <c r="A2574" s="5">
        <v>2513</v>
      </c>
      <c r="B2574" s="138">
        <f>'Acct Summary 7-8'!D20</f>
        <v>-119254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244794</v>
      </c>
      <c r="C2591" s="2" t="s">
        <v>594</v>
      </c>
      <c r="D2591" s="2" t="str">
        <f t="shared" si="39"/>
        <v>Error?</v>
      </c>
    </row>
    <row r="2592" spans="1:4" x14ac:dyDescent="0.2">
      <c r="A2592" s="10">
        <v>2531</v>
      </c>
      <c r="D2592" s="2" t="str">
        <f t="shared" si="39"/>
        <v>OK</v>
      </c>
    </row>
    <row r="2593" spans="1:4" x14ac:dyDescent="0.2">
      <c r="A2593" s="5">
        <v>2532</v>
      </c>
      <c r="B2593" s="138">
        <f>'Acct Summary 7-8'!F6</f>
        <v>500324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745118</v>
      </c>
      <c r="C2595" s="2" t="s">
        <v>594</v>
      </c>
      <c r="D2595" s="2" t="str">
        <f t="shared" si="39"/>
        <v>Error?</v>
      </c>
    </row>
    <row r="2596" spans="1:4" x14ac:dyDescent="0.2">
      <c r="A2596" s="5">
        <v>2535</v>
      </c>
      <c r="B2596" s="138">
        <f>'Acct Summary 7-8'!F13</f>
        <v>638735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6205</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644940</v>
      </c>
      <c r="C2600" s="2" t="s">
        <v>594</v>
      </c>
      <c r="D2600" s="2" t="str">
        <f t="shared" si="39"/>
        <v>Error?</v>
      </c>
    </row>
    <row r="2601" spans="1:4" x14ac:dyDescent="0.2">
      <c r="A2601" s="5">
        <v>2540</v>
      </c>
      <c r="B2601" s="138">
        <f>'Acct Summary 7-8'!F20</f>
        <v>100178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264332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264332</v>
      </c>
      <c r="C2606" s="2" t="s">
        <v>594</v>
      </c>
      <c r="D2606" s="2" t="str">
        <f t="shared" si="39"/>
        <v>Error?</v>
      </c>
    </row>
    <row r="2607" spans="1:4" x14ac:dyDescent="0.2">
      <c r="A2607" s="5">
        <v>2546</v>
      </c>
      <c r="B2607" s="138">
        <f>'Acct Summary 7-8'!G12</f>
        <v>178090</v>
      </c>
      <c r="C2607" s="2" t="s">
        <v>594</v>
      </c>
      <c r="D2607" s="2" t="str">
        <f t="shared" si="39"/>
        <v>Error?</v>
      </c>
    </row>
    <row r="2608" spans="1:4" x14ac:dyDescent="0.2">
      <c r="A2608" s="5">
        <v>2547</v>
      </c>
      <c r="B2608" s="138">
        <f>'Acct Summary 7-8'!G13</f>
        <v>51583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254244</v>
      </c>
      <c r="C2612" s="2" t="s">
        <v>594</v>
      </c>
      <c r="D2612" s="2" t="str">
        <f t="shared" si="39"/>
        <v>Error?</v>
      </c>
    </row>
    <row r="2613" spans="1:4" x14ac:dyDescent="0.2">
      <c r="A2613" s="5">
        <v>2552</v>
      </c>
      <c r="B2613" s="138">
        <f>'Acct Summary 7-8'!G20</f>
        <v>10088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1222978</v>
      </c>
      <c r="C2630" s="2" t="s">
        <v>594</v>
      </c>
      <c r="D2630" s="2" t="str">
        <f t="shared" si="40"/>
        <v>Error?</v>
      </c>
    </row>
    <row r="2631" spans="1:4" x14ac:dyDescent="0.2">
      <c r="A2631" s="5">
        <v>2570</v>
      </c>
      <c r="B2631" s="138">
        <f>'Acct Summary 7-8'!E6</f>
        <v>128711</v>
      </c>
      <c r="C2631" s="2" t="s">
        <v>594</v>
      </c>
      <c r="D2631" s="2" t="str">
        <f t="shared" si="40"/>
        <v>Error?</v>
      </c>
    </row>
    <row r="2632" spans="1:4" x14ac:dyDescent="0.2">
      <c r="A2632" s="5">
        <v>2571</v>
      </c>
      <c r="B2632" s="138">
        <f>'Acct Summary 7-8'!E8</f>
        <v>1351689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1585790</v>
      </c>
      <c r="C2634" s="2" t="s">
        <v>594</v>
      </c>
      <c r="D2634" s="2" t="str">
        <f t="shared" si="40"/>
        <v>Error?</v>
      </c>
    </row>
    <row r="2635" spans="1:4" x14ac:dyDescent="0.2">
      <c r="A2635" s="5">
        <v>2574</v>
      </c>
      <c r="B2635" s="138">
        <f>'Acct Summary 7-8'!E17</f>
        <v>1585790</v>
      </c>
      <c r="C2635" s="2" t="s">
        <v>594</v>
      </c>
      <c r="D2635" s="2" t="str">
        <f t="shared" si="40"/>
        <v>Error?</v>
      </c>
    </row>
    <row r="2636" spans="1:4" x14ac:dyDescent="0.2">
      <c r="A2636" s="5">
        <v>2575</v>
      </c>
      <c r="B2636" s="138">
        <f>'Acct Summary 7-8'!E20</f>
        <v>-234101</v>
      </c>
      <c r="C2636" s="2" t="s">
        <v>594</v>
      </c>
      <c r="D2636" s="2" t="str">
        <f t="shared" si="40"/>
        <v>Error?</v>
      </c>
    </row>
    <row r="2637" spans="1:4" x14ac:dyDescent="0.2">
      <c r="A2637" s="5">
        <v>2576</v>
      </c>
      <c r="B2637" s="138">
        <f>'Acct Summary 7-8'!E80</f>
        <v>-776163</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553665</v>
      </c>
      <c r="C2789" s="2" t="s">
        <v>594</v>
      </c>
      <c r="D2789" s="2" t="str">
        <f t="shared" si="42"/>
        <v>Error?</v>
      </c>
    </row>
    <row r="2790" spans="1:4" x14ac:dyDescent="0.2">
      <c r="A2790" s="5">
        <v>2729</v>
      </c>
      <c r="B2790" s="138">
        <f>'Expenditures 15-22'!E102</f>
        <v>553665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6205</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6205</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113967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23698</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179516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113967</v>
      </c>
      <c r="D2912" s="2" t="str">
        <f t="shared" si="44"/>
        <v>Error?</v>
      </c>
    </row>
    <row r="2913" spans="1:4" x14ac:dyDescent="0.2">
      <c r="A2913" s="5">
        <v>2852</v>
      </c>
      <c r="B2913" s="138">
        <f>'Assets-Liab 5-6'!I41</f>
        <v>113967</v>
      </c>
      <c r="C2913" s="2" t="s">
        <v>594</v>
      </c>
      <c r="D2913" s="2" t="str">
        <f t="shared" si="44"/>
        <v>Error?</v>
      </c>
    </row>
    <row r="2914" spans="1:4" x14ac:dyDescent="0.2">
      <c r="A2914" s="5">
        <v>2853</v>
      </c>
      <c r="B2914" s="138">
        <f>'Assets-Liab 5-6'!L33</f>
        <v>179516</v>
      </c>
      <c r="D2914" s="2" t="str">
        <f t="shared" si="44"/>
        <v>Error?</v>
      </c>
    </row>
    <row r="2915" spans="1:4" x14ac:dyDescent="0.2">
      <c r="A2915" s="10">
        <v>2854</v>
      </c>
      <c r="D2915" s="2" t="str">
        <f t="shared" si="44"/>
        <v>OK</v>
      </c>
    </row>
    <row r="2916" spans="1:4" x14ac:dyDescent="0.2">
      <c r="A2916" s="5">
        <v>2855</v>
      </c>
      <c r="B2916" s="138">
        <f>'Assets-Liab 5-6'!L34</f>
        <v>179516</v>
      </c>
      <c r="C2916" s="2" t="s">
        <v>594</v>
      </c>
      <c r="D2916" s="2" t="str">
        <f t="shared" si="44"/>
        <v>Error?</v>
      </c>
    </row>
    <row r="2917" spans="1:4" x14ac:dyDescent="0.2">
      <c r="A2917" s="5">
        <v>2856</v>
      </c>
      <c r="B2917" s="138">
        <f>'Assets-Liab 5-6'!L41</f>
        <v>179516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28367</v>
      </c>
      <c r="D2949" s="2" t="str">
        <f t="shared" si="45"/>
        <v>Error?</v>
      </c>
    </row>
    <row r="2950" spans="1:4" x14ac:dyDescent="0.2">
      <c r="A2950" s="5">
        <v>2889</v>
      </c>
      <c r="B2950" s="138">
        <f>'Expenditures 15-22'!E79</f>
        <v>466173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59125</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28367</v>
      </c>
      <c r="C2973" s="2" t="s">
        <v>594</v>
      </c>
      <c r="D2973" s="2" t="str">
        <f t="shared" si="45"/>
        <v>Error?</v>
      </c>
    </row>
    <row r="2974" spans="1:4" x14ac:dyDescent="0.2">
      <c r="A2974" s="5">
        <v>2913</v>
      </c>
      <c r="B2974" s="138">
        <f>'Expenditures 15-22'!K79</f>
        <v>466173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59125</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6205</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6205</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107147</v>
      </c>
      <c r="D3055" s="2" t="str">
        <f t="shared" si="46"/>
        <v>Error?</v>
      </c>
    </row>
    <row r="3056" spans="1:4" x14ac:dyDescent="0.2">
      <c r="A3056" s="5">
        <v>2995</v>
      </c>
      <c r="B3056" s="138">
        <f>'Expenditures 15-22'!D10</f>
        <v>17270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29339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153756</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52955</v>
      </c>
      <c r="C3225" s="2" t="s">
        <v>594</v>
      </c>
      <c r="D3225" s="2" t="str">
        <f t="shared" si="49"/>
        <v>Error?</v>
      </c>
    </row>
    <row r="3226" spans="1:4" x14ac:dyDescent="0.2">
      <c r="A3226" s="5">
        <v>3165</v>
      </c>
      <c r="B3226" s="138">
        <f>'Acct Summary 7-8'!I8</f>
        <v>52955</v>
      </c>
      <c r="C3226" s="2" t="s">
        <v>594</v>
      </c>
      <c r="D3226" s="2" t="str">
        <f t="shared" si="49"/>
        <v>Error?</v>
      </c>
    </row>
    <row r="3227" spans="1:4" x14ac:dyDescent="0.2">
      <c r="A3227" s="5">
        <v>3166</v>
      </c>
      <c r="B3227" s="138">
        <f>'Acct Summary 7-8'!I20</f>
        <v>52955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348198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-119254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100178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10088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-234101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52955</v>
      </c>
      <c r="C3320" s="2" t="s">
        <v>594</v>
      </c>
      <c r="D3320" s="2" t="str">
        <f t="shared" si="50"/>
        <v>Error?</v>
      </c>
    </row>
    <row r="3321" spans="1:4" x14ac:dyDescent="0.2">
      <c r="A3321" s="5">
        <v>3260</v>
      </c>
      <c r="B3321" s="138">
        <f>'Acct Summary 7-8'!I79</f>
        <v>61012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113967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384713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68712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3811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457236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178090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178090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3185420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312995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47564</v>
      </c>
      <c r="D3417" s="2" t="str">
        <f t="shared" si="52"/>
        <v>Error?</v>
      </c>
    </row>
    <row r="3418" spans="1:4" x14ac:dyDescent="0.2">
      <c r="A3418" s="10">
        <v>3357</v>
      </c>
      <c r="D3418" s="2" t="str">
        <f t="shared" si="52"/>
        <v>OK</v>
      </c>
    </row>
    <row r="3419" spans="1:4" x14ac:dyDescent="0.2">
      <c r="A3419" s="5">
        <v>3358</v>
      </c>
      <c r="B3419" s="138">
        <f>'Assets-Liab 5-6'!F4</f>
        <v>78504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238860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113967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155818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34382</v>
      </c>
      <c r="C3446" s="2" t="s">
        <v>594</v>
      </c>
      <c r="D3446" s="2" t="str">
        <f t="shared" si="52"/>
        <v>Error?</v>
      </c>
    </row>
    <row r="3447" spans="1:4" x14ac:dyDescent="0.2">
      <c r="A3447" s="5">
        <v>3386</v>
      </c>
      <c r="B3447" s="138">
        <f>'Tax Sched 23'!D16</f>
        <v>20041</v>
      </c>
      <c r="C3447" s="2" t="s">
        <v>594</v>
      </c>
      <c r="D3447" s="2" t="str">
        <f t="shared" si="52"/>
        <v>Error?</v>
      </c>
    </row>
    <row r="3448" spans="1:4" x14ac:dyDescent="0.2">
      <c r="A3448" s="5">
        <v>3387</v>
      </c>
      <c r="B3448" s="138">
        <f>'Tax Sched 23'!C16</f>
        <v>14341</v>
      </c>
      <c r="D3448" s="2" t="str">
        <f t="shared" si="52"/>
        <v>Error?</v>
      </c>
    </row>
    <row r="3449" spans="1:4" x14ac:dyDescent="0.2">
      <c r="A3449" s="5">
        <v>3388</v>
      </c>
      <c r="B3449" s="138">
        <f>'Tax Sched 23'!F16</f>
        <v>10659</v>
      </c>
      <c r="C3449" s="2" t="s">
        <v>594</v>
      </c>
      <c r="D3449" s="2" t="str">
        <f t="shared" si="52"/>
        <v>Error?</v>
      </c>
    </row>
    <row r="3450" spans="1:4" x14ac:dyDescent="0.2">
      <c r="A3450" s="5">
        <v>3389</v>
      </c>
      <c r="B3450" s="138">
        <f>'Tax Sched 23'!E16</f>
        <v>25000</v>
      </c>
      <c r="D3450" s="2" t="str">
        <f t="shared" si="52"/>
        <v>Error?</v>
      </c>
    </row>
    <row r="3451" spans="1:4" x14ac:dyDescent="0.2">
      <c r="A3451" s="5">
        <v>3390</v>
      </c>
      <c r="B3451" s="138">
        <f>'Cap Outlay Deprec 26'!C15</f>
        <v>405739</v>
      </c>
      <c r="D3451" s="2" t="str">
        <f t="shared" si="52"/>
        <v>Error?</v>
      </c>
    </row>
    <row r="3452" spans="1:4" x14ac:dyDescent="0.2">
      <c r="A3452" s="5">
        <v>3391</v>
      </c>
      <c r="B3452" s="138">
        <f>'Cap Outlay Deprec 26'!D15</f>
        <v>109084</v>
      </c>
      <c r="D3452" s="2" t="str">
        <f t="shared" si="52"/>
        <v>Error?</v>
      </c>
    </row>
    <row r="3453" spans="1:4" x14ac:dyDescent="0.2">
      <c r="A3453" s="5">
        <v>3392</v>
      </c>
      <c r="B3453" s="138">
        <f>'Cap Outlay Deprec 26'!E15</f>
        <v>514823</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351079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69740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420819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420819</v>
      </c>
      <c r="D3567" s="2" t="str">
        <f t="shared" si="54"/>
        <v>Error?</v>
      </c>
    </row>
    <row r="3568" spans="1:4" x14ac:dyDescent="0.2">
      <c r="A3568" s="5">
        <v>3507</v>
      </c>
      <c r="B3568" s="138">
        <f>'Assets-Liab 5-6'!K41</f>
        <v>420819</v>
      </c>
      <c r="C3568" s="2" t="s">
        <v>594</v>
      </c>
      <c r="D3568" s="2" t="str">
        <f t="shared" si="54"/>
        <v>Error?</v>
      </c>
    </row>
    <row r="3569" spans="1:4" x14ac:dyDescent="0.2">
      <c r="A3569" s="5">
        <v>3508</v>
      </c>
      <c r="B3569" s="138">
        <f>'Acct Summary 7-8'!K4</f>
        <v>53436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53436</v>
      </c>
      <c r="C3571" s="2" t="s">
        <v>594</v>
      </c>
      <c r="D3571" s="2" t="str">
        <f t="shared" si="54"/>
        <v>Error?</v>
      </c>
    </row>
    <row r="3572" spans="1:4" x14ac:dyDescent="0.2">
      <c r="A3572" s="5">
        <v>3511</v>
      </c>
      <c r="B3572" s="138">
        <f>'Acct Summary 7-8'!K13</f>
        <v>7521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7521</v>
      </c>
      <c r="C3575" s="2" t="s">
        <v>594</v>
      </c>
      <c r="D3575" s="2" t="str">
        <f t="shared" si="54"/>
        <v>Error?</v>
      </c>
    </row>
    <row r="3576" spans="1:4" x14ac:dyDescent="0.2">
      <c r="A3576" s="5">
        <v>3515</v>
      </c>
      <c r="B3576" s="138">
        <f>'Acct Summary 7-8'!K20</f>
        <v>45915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45915</v>
      </c>
      <c r="C3588" s="2" t="s">
        <v>594</v>
      </c>
      <c r="D3588" s="2" t="str">
        <f t="shared" si="55"/>
        <v>Error?</v>
      </c>
    </row>
    <row r="3589" spans="1:4" x14ac:dyDescent="0.2">
      <c r="A3589" s="5">
        <v>3528</v>
      </c>
      <c r="B3589" s="138">
        <f>'Acct Summary 7-8'!K79</f>
        <v>374904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420819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7521</v>
      </c>
      <c r="D3632" s="2" t="str">
        <f t="shared" si="55"/>
        <v>Error?</v>
      </c>
    </row>
    <row r="3633" spans="1:4" x14ac:dyDescent="0.2">
      <c r="A3633" s="5">
        <v>3572</v>
      </c>
      <c r="B3633" s="138">
        <f>'Expenditures 15-22'!E350</f>
        <v>7521</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7521</v>
      </c>
      <c r="C3635" s="2" t="s">
        <v>594</v>
      </c>
      <c r="D3635" s="2" t="str">
        <f t="shared" si="55"/>
        <v>Error?</v>
      </c>
    </row>
    <row r="3636" spans="1:4" x14ac:dyDescent="0.2">
      <c r="A3636" s="5">
        <v>3575</v>
      </c>
      <c r="B3636" s="138">
        <f>'Expenditures 15-22'!E367</f>
        <v>7521</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7521</v>
      </c>
      <c r="C3669" s="2" t="s">
        <v>594</v>
      </c>
      <c r="D3669" s="2" t="str">
        <f t="shared" si="56"/>
        <v>Error?</v>
      </c>
    </row>
    <row r="3670" spans="1:4" x14ac:dyDescent="0.2">
      <c r="A3670" s="5">
        <v>3609</v>
      </c>
      <c r="B3670" s="138">
        <f>'Expenditures 15-22'!K350</f>
        <v>7521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7521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7521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45915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24571</v>
      </c>
      <c r="D3721" s="2" t="str">
        <f t="shared" si="57"/>
        <v>Error?</v>
      </c>
    </row>
    <row r="3722" spans="1:4" x14ac:dyDescent="0.2">
      <c r="A3722" s="5">
        <v>3661</v>
      </c>
      <c r="B3722" s="138">
        <f>'Expenditures 15-22'!D285</f>
        <v>24571</v>
      </c>
      <c r="C3722" s="2" t="s">
        <v>594</v>
      </c>
      <c r="D3722" s="2" t="str">
        <f t="shared" si="57"/>
        <v>Error?</v>
      </c>
    </row>
    <row r="3723" spans="1:4" x14ac:dyDescent="0.2">
      <c r="A3723" s="5">
        <v>3662</v>
      </c>
      <c r="B3723" s="138">
        <f>'Expenditures 15-22'!K283</f>
        <v>24571</v>
      </c>
      <c r="C3723" s="2" t="s">
        <v>594</v>
      </c>
      <c r="D3723" s="2" t="str">
        <f t="shared" si="57"/>
        <v>Error?</v>
      </c>
    </row>
    <row r="3724" spans="1:4" x14ac:dyDescent="0.2">
      <c r="A3724" s="5">
        <v>3663</v>
      </c>
      <c r="B3724" s="138">
        <f>'Expenditures 15-22'!K285</f>
        <v>24571</v>
      </c>
      <c r="C3724" s="2" t="s">
        <v>594</v>
      </c>
      <c r="D3724" s="2" t="str">
        <f t="shared" si="57"/>
        <v>Error?</v>
      </c>
    </row>
    <row r="3725" spans="1:4" x14ac:dyDescent="0.2">
      <c r="A3725" s="5">
        <v>3664</v>
      </c>
      <c r="B3725" s="138">
        <f>'Tax Sched 23'!B13</f>
        <v>52941</v>
      </c>
      <c r="C3725" s="2" t="s">
        <v>594</v>
      </c>
      <c r="D3725" s="2" t="str">
        <f t="shared" si="57"/>
        <v>Error?</v>
      </c>
    </row>
    <row r="3726" spans="1:4" x14ac:dyDescent="0.2">
      <c r="A3726" s="5">
        <v>3665</v>
      </c>
      <c r="B3726" s="138">
        <f>'Tax Sched 23'!D13</f>
        <v>22467</v>
      </c>
      <c r="C3726" s="2" t="s">
        <v>594</v>
      </c>
      <c r="D3726" s="2" t="str">
        <f t="shared" si="57"/>
        <v>Error?</v>
      </c>
    </row>
    <row r="3727" spans="1:4" x14ac:dyDescent="0.2">
      <c r="A3727" s="5">
        <v>3666</v>
      </c>
      <c r="B3727" s="138">
        <f>'Tax Sched 23'!C13</f>
        <v>30474</v>
      </c>
      <c r="D3727" s="2" t="str">
        <f t="shared" si="57"/>
        <v>Error?</v>
      </c>
    </row>
    <row r="3728" spans="1:4" x14ac:dyDescent="0.2">
      <c r="A3728" s="5">
        <v>3667</v>
      </c>
      <c r="B3728" s="138">
        <f>'Tax Sched 23'!F13</f>
        <v>22649</v>
      </c>
      <c r="C3728" s="2" t="s">
        <v>594</v>
      </c>
      <c r="D3728" s="2" t="str">
        <f t="shared" si="57"/>
        <v>Error?</v>
      </c>
    </row>
    <row r="3729" spans="1:4" x14ac:dyDescent="0.2">
      <c r="A3729" s="5">
        <v>3668</v>
      </c>
      <c r="B3729" s="138">
        <f>'Tax Sched 23'!E13</f>
        <v>53123</v>
      </c>
      <c r="D3729" s="2" t="str">
        <f t="shared" si="57"/>
        <v>Error?</v>
      </c>
    </row>
    <row r="3730" spans="1:4" x14ac:dyDescent="0.2">
      <c r="A3730" s="5">
        <v>3669</v>
      </c>
      <c r="B3730" s="138">
        <f>'ICR Computation 30'!E10</f>
        <v>355374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3107824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11454820</v>
      </c>
      <c r="C4122" s="2" t="s">
        <v>594</v>
      </c>
      <c r="D4122" s="2" t="str">
        <f t="shared" si="63"/>
        <v>Error?</v>
      </c>
    </row>
    <row r="4123" spans="1:4" x14ac:dyDescent="0.2">
      <c r="A4123" s="5">
        <v>4062</v>
      </c>
      <c r="B4123" s="138">
        <f>'Acct Summary 7-8'!D10</f>
        <v>596501</v>
      </c>
      <c r="C4123" s="2" t="s">
        <v>594</v>
      </c>
      <c r="D4123" s="2" t="str">
        <f t="shared" si="63"/>
        <v>Error?</v>
      </c>
    </row>
    <row r="4124" spans="1:4" x14ac:dyDescent="0.2">
      <c r="A4124" s="5">
        <v>4063</v>
      </c>
      <c r="B4124" s="138">
        <f>'Acct Summary 7-8'!E10</f>
        <v>1351689</v>
      </c>
      <c r="C4124" s="2" t="s">
        <v>594</v>
      </c>
      <c r="D4124" s="2" t="str">
        <f t="shared" si="63"/>
        <v>Error?</v>
      </c>
    </row>
    <row r="4125" spans="1:4" x14ac:dyDescent="0.2">
      <c r="A4125" s="5">
        <v>4064</v>
      </c>
      <c r="B4125" s="138">
        <f>'Acct Summary 7-8'!F10</f>
        <v>745118</v>
      </c>
      <c r="C4125" s="2" t="s">
        <v>594</v>
      </c>
      <c r="D4125" s="2" t="str">
        <f t="shared" si="63"/>
        <v>Error?</v>
      </c>
    </row>
    <row r="4126" spans="1:4" x14ac:dyDescent="0.2">
      <c r="A4126" s="5">
        <v>4065</v>
      </c>
      <c r="B4126" s="138">
        <f>'Acct Summary 7-8'!G10</f>
        <v>264332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52955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53436</v>
      </c>
      <c r="C4130" s="2" t="s">
        <v>594</v>
      </c>
      <c r="D4130" s="2" t="str">
        <f t="shared" si="63"/>
        <v>Error?</v>
      </c>
    </row>
    <row r="4131" spans="1:4" x14ac:dyDescent="0.2">
      <c r="A4131" s="5">
        <v>4070</v>
      </c>
      <c r="B4131" s="138">
        <f>'Acct Summary 7-8'!C18</f>
        <v>3107824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11106622</v>
      </c>
      <c r="C4136" s="2" t="s">
        <v>594</v>
      </c>
      <c r="D4136" s="2" t="str">
        <f t="shared" si="63"/>
        <v>Error?</v>
      </c>
    </row>
    <row r="4137" spans="1:4" x14ac:dyDescent="0.2">
      <c r="A4137" s="5">
        <v>4076</v>
      </c>
      <c r="B4137" s="138">
        <f>'Acct Summary 7-8'!D19</f>
        <v>715755</v>
      </c>
      <c r="C4137" s="2" t="s">
        <v>594</v>
      </c>
      <c r="D4137" s="2" t="str">
        <f t="shared" si="63"/>
        <v>Error?</v>
      </c>
    </row>
    <row r="4138" spans="1:4" x14ac:dyDescent="0.2">
      <c r="A4138" s="5">
        <v>4077</v>
      </c>
      <c r="B4138" s="138">
        <f>'Acct Summary 7-8'!E19</f>
        <v>1585790</v>
      </c>
      <c r="C4138" s="2" t="s">
        <v>594</v>
      </c>
      <c r="D4138" s="2" t="str">
        <f t="shared" si="63"/>
        <v>Error?</v>
      </c>
    </row>
    <row r="4139" spans="1:4" x14ac:dyDescent="0.2">
      <c r="A4139" s="5">
        <v>4078</v>
      </c>
      <c r="B4139" s="138">
        <f>'Acct Summary 7-8'!F19</f>
        <v>644940</v>
      </c>
      <c r="C4139" s="2" t="s">
        <v>594</v>
      </c>
      <c r="D4139" s="2" t="str">
        <f t="shared" si="63"/>
        <v>Error?</v>
      </c>
    </row>
    <row r="4140" spans="1:4" x14ac:dyDescent="0.2">
      <c r="A4140" s="5">
        <v>4079</v>
      </c>
      <c r="B4140" s="138">
        <f>'Acct Summary 7-8'!G19</f>
        <v>254244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7521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12850000</v>
      </c>
      <c r="C4171" s="2" t="s">
        <v>594</v>
      </c>
      <c r="D4171" s="2" t="str">
        <f t="shared" si="64"/>
        <v>Error?</v>
      </c>
    </row>
    <row r="4172" spans="1:4" x14ac:dyDescent="0.2">
      <c r="A4172" s="5">
        <v>4111</v>
      </c>
      <c r="B4172" s="138">
        <f>'Short-Term Long-Term Debt 24'!J49</f>
        <v>12790196</v>
      </c>
      <c r="C4172" s="2" t="s">
        <v>594</v>
      </c>
      <c r="D4172" s="2" t="str">
        <f t="shared" si="64"/>
        <v>Error?</v>
      </c>
    </row>
    <row r="4173" spans="1:4" x14ac:dyDescent="0.2">
      <c r="A4173" s="5">
        <v>4112</v>
      </c>
      <c r="B4173" s="138">
        <f>'Short-Term Long-Term Debt 24'!H49</f>
        <v>1100000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-730000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4069</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500</v>
      </c>
      <c r="C4267" s="2" t="s">
        <v>594</v>
      </c>
      <c r="D4267" s="2" t="str">
        <f t="shared" si="65"/>
        <v>Error?</v>
      </c>
      <c r="E4267" s="128"/>
    </row>
    <row r="4268" spans="1:5" x14ac:dyDescent="0.2">
      <c r="A4268" s="12">
        <v>4207</v>
      </c>
      <c r="B4268" s="138">
        <f>('FP Info 3'!J10)*100000</f>
        <v>3900</v>
      </c>
      <c r="C4268" s="2" t="s">
        <v>594</v>
      </c>
      <c r="D4268" s="2" t="str">
        <f t="shared" si="65"/>
        <v>Error?</v>
      </c>
    </row>
    <row r="4269" spans="1:5" x14ac:dyDescent="0.2">
      <c r="A4269" s="12">
        <v>4208</v>
      </c>
      <c r="B4269" s="138">
        <f>'FP Info 3'!J16</f>
        <v>4441332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15910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44140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17364</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108246417</v>
      </c>
      <c r="D4995" s="2" t="str">
        <f t="shared" si="77"/>
        <v>Error?</v>
      </c>
    </row>
    <row r="4996" spans="1:4" x14ac:dyDescent="0.2">
      <c r="A4996" s="12">
        <v>4935</v>
      </c>
      <c r="B4996" s="138">
        <f>'FP Info 3'!H31</f>
        <v>14938005.546000002</v>
      </c>
      <c r="D4996" s="2" t="str">
        <f t="shared" si="77"/>
        <v>Error?</v>
      </c>
    </row>
    <row r="4997" spans="1:4" x14ac:dyDescent="0.2">
      <c r="A4997" s="12">
        <v>4936</v>
      </c>
      <c r="B4997" s="138">
        <f>'FP Info 3'!H37</f>
        <v>12850000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52941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3070634</v>
      </c>
      <c r="D5061" s="2" t="str">
        <f t="shared" si="78"/>
        <v>Error?</v>
      </c>
    </row>
    <row r="5062" spans="1:4" x14ac:dyDescent="0.2">
      <c r="A5062" s="10">
        <v>5001</v>
      </c>
      <c r="D5062" s="2" t="str">
        <f t="shared" si="78"/>
        <v>OK</v>
      </c>
    </row>
    <row r="5063" spans="1:4" x14ac:dyDescent="0.2">
      <c r="A5063" s="5">
        <v>5002</v>
      </c>
      <c r="B5063" s="138">
        <f>'Revenues 9-14'!C7</f>
        <v>42353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3165928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17726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17726</v>
      </c>
      <c r="C5087" s="2" t="s">
        <v>594</v>
      </c>
      <c r="D5087" s="2" t="str">
        <f t="shared" si="78"/>
        <v>Error?</v>
      </c>
    </row>
    <row r="5088" spans="1:4" x14ac:dyDescent="0.2">
      <c r="A5088" s="5">
        <v>5027</v>
      </c>
      <c r="B5088" s="138">
        <f>'Revenues 9-14'!C65</f>
        <v>3568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3568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718</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241800</v>
      </c>
      <c r="C5096" s="2" t="s">
        <v>594</v>
      </c>
      <c r="D5096" s="2" t="str">
        <f t="shared" si="78"/>
        <v>Error?</v>
      </c>
    </row>
    <row r="5097" spans="1:4" x14ac:dyDescent="0.2">
      <c r="A5097" s="5">
        <v>5036</v>
      </c>
      <c r="B5097" s="138">
        <f>'Revenues 9-14'!C77</f>
        <v>30016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11800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41816</v>
      </c>
      <c r="C5102" s="2" t="s">
        <v>594</v>
      </c>
      <c r="D5102" s="2" t="str">
        <f t="shared" si="78"/>
        <v>Error?</v>
      </c>
    </row>
    <row r="5103" spans="1:4" x14ac:dyDescent="0.2">
      <c r="A5103" s="5">
        <v>5042</v>
      </c>
      <c r="B5103" s="138">
        <f>'Revenues 9-14'!C84</f>
        <v>75448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3402</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78850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31525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1350</v>
      </c>
      <c r="D5118" s="2" t="str">
        <f t="shared" si="78"/>
        <v>Error?</v>
      </c>
    </row>
    <row r="5119" spans="1:4" x14ac:dyDescent="0.2">
      <c r="A5119" s="5">
        <v>5058</v>
      </c>
      <c r="B5119" s="138">
        <f>'Revenues 9-14'!C107</f>
        <v>12239</v>
      </c>
      <c r="D5119" s="2" t="str">
        <f t="shared" ref="D5119:D5182" si="79">IF(ISBLANK(B5119),"OK",IF(A5119-B5119=0,"OK","Error?"))</f>
        <v>Error?</v>
      </c>
    </row>
    <row r="5120" spans="1:4" x14ac:dyDescent="0.2">
      <c r="A5120" s="5">
        <v>5059</v>
      </c>
      <c r="B5120" s="138">
        <f>'Revenues 9-14'!C108</f>
        <v>49229</v>
      </c>
      <c r="C5120" s="2" t="s">
        <v>594</v>
      </c>
      <c r="D5120" s="2" t="str">
        <f t="shared" si="79"/>
        <v>Error?</v>
      </c>
    </row>
    <row r="5121" spans="1:4" x14ac:dyDescent="0.2">
      <c r="A5121" s="5">
        <v>5060</v>
      </c>
      <c r="B5121" s="138">
        <f>'Revenues 9-14'!C109</f>
        <v>3598917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3801977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3801977</v>
      </c>
      <c r="C5132" s="2" t="s">
        <v>594</v>
      </c>
      <c r="D5132" s="2" t="str">
        <f t="shared" si="79"/>
        <v>Error?</v>
      </c>
    </row>
    <row r="5133" spans="1:4" x14ac:dyDescent="0.2">
      <c r="A5133" s="5">
        <v>5072</v>
      </c>
      <c r="B5133" s="138">
        <f>'Revenues 9-14'!C124</f>
        <v>14473</v>
      </c>
      <c r="D5133" s="2" t="str">
        <f t="shared" si="79"/>
        <v>Error?</v>
      </c>
    </row>
    <row r="5134" spans="1:4" x14ac:dyDescent="0.2">
      <c r="A5134" s="5">
        <v>5073</v>
      </c>
      <c r="B5134" s="138">
        <f>'Revenues 9-14'!C125</f>
        <v>72085</v>
      </c>
      <c r="D5134" s="2" t="str">
        <f t="shared" si="79"/>
        <v>Error?</v>
      </c>
    </row>
    <row r="5135" spans="1:4" x14ac:dyDescent="0.2">
      <c r="A5135" s="5">
        <v>5074</v>
      </c>
      <c r="B5135" s="138">
        <f>'Revenues 9-14'!C126</f>
        <v>35728</v>
      </c>
      <c r="D5135" s="2" t="str">
        <f t="shared" si="79"/>
        <v>Error?</v>
      </c>
    </row>
    <row r="5136" spans="1:4" x14ac:dyDescent="0.2">
      <c r="A5136" s="10">
        <v>5075</v>
      </c>
      <c r="D5136" s="2" t="str">
        <f t="shared" si="79"/>
        <v>OK</v>
      </c>
    </row>
    <row r="5137" spans="1:4" x14ac:dyDescent="0.2">
      <c r="A5137" s="5">
        <v>5076</v>
      </c>
      <c r="B5137" s="138">
        <f>'Revenues 9-14'!C127</f>
        <v>6275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128561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4069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3869</v>
      </c>
      <c r="D5167" s="2" t="str">
        <f t="shared" si="79"/>
        <v>Error?</v>
      </c>
    </row>
    <row r="5168" spans="1:4" x14ac:dyDescent="0.2">
      <c r="A5168" s="5">
        <v>5107</v>
      </c>
      <c r="B5168" s="138">
        <f>'Revenues 9-14'!C147</f>
        <v>16623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253655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406777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4208754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231768</v>
      </c>
      <c r="D5239" s="2" t="str">
        <f t="shared" si="80"/>
        <v>Error?</v>
      </c>
    </row>
    <row r="5240" spans="1:4" x14ac:dyDescent="0.2">
      <c r="A5240" s="5">
        <v>5179</v>
      </c>
      <c r="B5240" s="138">
        <f>'Revenues 9-14'!C195</f>
        <v>1183</v>
      </c>
      <c r="D5240" s="2" t="str">
        <f t="shared" si="80"/>
        <v>Error?</v>
      </c>
    </row>
    <row r="5241" spans="1:4" x14ac:dyDescent="0.2">
      <c r="A5241" s="5">
        <v>5180</v>
      </c>
      <c r="B5241" s="138">
        <f>'Revenues 9-14'!C196</f>
        <v>63405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296356</v>
      </c>
      <c r="C5246" s="2" t="s">
        <v>594</v>
      </c>
      <c r="D5246" s="2" t="str">
        <f t="shared" si="80"/>
        <v>Error?</v>
      </c>
    </row>
    <row r="5247" spans="1:4" x14ac:dyDescent="0.2">
      <c r="A5247" s="5">
        <v>5186</v>
      </c>
      <c r="B5247" s="138">
        <f>'Revenues 9-14'!C203</f>
        <v>165555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165555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539325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539325</v>
      </c>
      <c r="C5326" s="2" t="s">
        <v>594</v>
      </c>
      <c r="D5326" s="2" t="str">
        <f t="shared" si="82"/>
        <v>Error?</v>
      </c>
    </row>
    <row r="5327" spans="1:4" x14ac:dyDescent="0.2">
      <c r="A5327" s="5">
        <v>5266</v>
      </c>
      <c r="B5327" s="138">
        <f>'Revenues 9-14'!C275</f>
        <v>8346996</v>
      </c>
      <c r="C5327" s="2" t="s">
        <v>594</v>
      </c>
      <c r="D5327" s="2" t="str">
        <f t="shared" si="82"/>
        <v>Error?</v>
      </c>
    </row>
    <row r="5328" spans="1:4" x14ac:dyDescent="0.2">
      <c r="A5328" s="5">
        <v>5267</v>
      </c>
      <c r="B5328" s="138">
        <f>'Revenues 9-14'!D5</f>
        <v>529421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529421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230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1850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1850</v>
      </c>
      <c r="C5355" s="2" t="s">
        <v>594</v>
      </c>
      <c r="D5355" s="2" t="str">
        <f t="shared" si="82"/>
        <v>Error?</v>
      </c>
    </row>
    <row r="5356" spans="1:4" x14ac:dyDescent="0.2">
      <c r="A5356" s="5">
        <v>5295</v>
      </c>
      <c r="B5356" s="138">
        <f>'Revenues 9-14'!D109</f>
        <v>531501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65000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65000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65000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596501</v>
      </c>
      <c r="C5508" s="2" t="s">
        <v>594</v>
      </c>
      <c r="D5508" s="2" t="str">
        <f t="shared" si="85"/>
        <v>Error?</v>
      </c>
    </row>
    <row r="5509" spans="1:4" x14ac:dyDescent="0.2">
      <c r="A5509" s="5">
        <v>5448</v>
      </c>
      <c r="B5509" s="138">
        <f>'Revenues 9-14'!E5</f>
        <v>563319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563319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109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659550</v>
      </c>
      <c r="C5526" s="2" t="s">
        <v>594</v>
      </c>
      <c r="D5526" s="2" t="str">
        <f t="shared" si="85"/>
        <v>Error?</v>
      </c>
    </row>
    <row r="5527" spans="1:4" x14ac:dyDescent="0.2">
      <c r="A5527" s="5">
        <v>5466</v>
      </c>
      <c r="B5527" s="138">
        <f>'Revenues 9-14'!E109</f>
        <v>1222978</v>
      </c>
      <c r="C5527" s="2" t="s">
        <v>594</v>
      </c>
      <c r="D5527" s="2" t="str">
        <f t="shared" si="85"/>
        <v>Error?</v>
      </c>
    </row>
    <row r="5528" spans="1:4" x14ac:dyDescent="0.2">
      <c r="A5528" s="5">
        <v>5467</v>
      </c>
      <c r="B5528" s="138">
        <f>'Revenues 9-14'!E117</f>
        <v>128711</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128711</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128711</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1351689</v>
      </c>
      <c r="C5552" s="2" t="s">
        <v>594</v>
      </c>
      <c r="D5552" s="2" t="str">
        <f t="shared" si="85"/>
        <v>Error?</v>
      </c>
    </row>
    <row r="5553" spans="1:4" x14ac:dyDescent="0.2">
      <c r="A5553" s="5">
        <v>5492</v>
      </c>
      <c r="B5553" s="138">
        <f>'Revenues 9-14'!F5</f>
        <v>211768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211768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1692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1692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31334</v>
      </c>
      <c r="D5586" s="2" t="str">
        <f t="shared" si="86"/>
        <v>Error?</v>
      </c>
    </row>
    <row r="5587" spans="1:4" x14ac:dyDescent="0.2">
      <c r="A5587" s="5">
        <v>5526</v>
      </c>
      <c r="B5587" s="138">
        <f>'Revenues 9-14'!F108</f>
        <v>31334</v>
      </c>
      <c r="C5587" s="2" t="s">
        <v>594</v>
      </c>
      <c r="D5587" s="2" t="str">
        <f t="shared" si="86"/>
        <v>Error?</v>
      </c>
    </row>
    <row r="5588" spans="1:4" x14ac:dyDescent="0.2">
      <c r="A5588" s="5">
        <v>5527</v>
      </c>
      <c r="B5588" s="138">
        <f>'Revenues 9-14'!F109</f>
        <v>244794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100000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275367</v>
      </c>
      <c r="D5615" s="2" t="str">
        <f t="shared" si="86"/>
        <v>Error?</v>
      </c>
    </row>
    <row r="5616" spans="1:4" x14ac:dyDescent="0.2">
      <c r="A5616" s="10">
        <v>5555</v>
      </c>
      <c r="D5616" s="2" t="str">
        <f t="shared" si="86"/>
        <v>OK</v>
      </c>
    </row>
    <row r="5617" spans="1:4" x14ac:dyDescent="0.2">
      <c r="A5617" s="5">
        <v>5556</v>
      </c>
      <c r="B5617" s="138">
        <f>'Revenues 9-14'!F152</f>
        <v>124957</v>
      </c>
      <c r="D5617" s="2" t="str">
        <f t="shared" si="86"/>
        <v>Error?</v>
      </c>
    </row>
    <row r="5618" spans="1:4" x14ac:dyDescent="0.2">
      <c r="A5618" s="5">
        <v>5557</v>
      </c>
      <c r="B5618" s="138">
        <f>'Revenues 9-14'!F154</f>
        <v>400324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400324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500324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745118</v>
      </c>
      <c r="C5720" s="2" t="s">
        <v>594</v>
      </c>
      <c r="D5720" s="2" t="str">
        <f t="shared" si="88"/>
        <v>Error?</v>
      </c>
    </row>
    <row r="5721" spans="1:4" x14ac:dyDescent="0.2">
      <c r="A5721" s="5">
        <v>5660</v>
      </c>
      <c r="B5721" s="138">
        <f>'Revenues 9-14'!G5</f>
        <v>40175</v>
      </c>
      <c r="D5721" s="2" t="str">
        <f t="shared" si="88"/>
        <v>Error?</v>
      </c>
    </row>
    <row r="5722" spans="1:4" x14ac:dyDescent="0.2">
      <c r="A5722" s="5">
        <v>5661</v>
      </c>
      <c r="B5722" s="138">
        <f>'Revenues 9-14'!G7</f>
        <v>0</v>
      </c>
      <c r="D5722" s="2" t="str">
        <f t="shared" si="88"/>
        <v>Error?</v>
      </c>
    </row>
    <row r="5723" spans="1:4" x14ac:dyDescent="0.2">
      <c r="A5723" s="5">
        <v>5662</v>
      </c>
      <c r="B5723" s="138">
        <f>'Revenues 9-14'!G8</f>
        <v>34382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74557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189045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189045</v>
      </c>
      <c r="C5730" s="2" t="s">
        <v>594</v>
      </c>
      <c r="D5730" s="2" t="str">
        <f t="shared" si="88"/>
        <v>Error?</v>
      </c>
    </row>
    <row r="5731" spans="1:4" x14ac:dyDescent="0.2">
      <c r="A5731" s="5">
        <v>5670</v>
      </c>
      <c r="B5731" s="138">
        <f>'Revenues 9-14'!G65</f>
        <v>730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730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264332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52941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52941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52955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52941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52941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495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495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53436</v>
      </c>
      <c r="C6023" s="2" t="s">
        <v>594</v>
      </c>
      <c r="D6023" s="2" t="str">
        <f t="shared" si="93"/>
        <v>Error?</v>
      </c>
    </row>
    <row r="6024" spans="1:5" x14ac:dyDescent="0.2">
      <c r="A6024" s="5">
        <v>5963</v>
      </c>
      <c r="B6024" s="138">
        <f>'Revenues 9-14'!G109</f>
        <v>264332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52955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53436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241082</v>
      </c>
      <c r="D6031" s="2" t="str">
        <f t="shared" si="93"/>
        <v>Error?</v>
      </c>
    </row>
    <row r="6032" spans="1:5" x14ac:dyDescent="0.2">
      <c r="A6032" s="5">
        <v>5971</v>
      </c>
      <c r="B6032" s="138">
        <f>'Acct Summary 7-8'!G15</f>
        <v>24571</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49144.67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977.98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272222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272222</v>
      </c>
      <c r="D6215" s="2" t="str">
        <f t="shared" si="96"/>
        <v>Error?</v>
      </c>
      <c r="E6215" s="2" t="s">
        <v>199</v>
      </c>
    </row>
    <row r="6216" spans="1:5" x14ac:dyDescent="0.2">
      <c r="A6216">
        <v>6155</v>
      </c>
      <c r="B6216" s="138">
        <f>'Assets-Liab 5-6'!J41</f>
        <v>272222</v>
      </c>
      <c r="D6216" s="2" t="str">
        <f t="shared" si="96"/>
        <v>Error?</v>
      </c>
      <c r="E6216" s="2" t="s">
        <v>199</v>
      </c>
    </row>
    <row r="6217" spans="1:5" x14ac:dyDescent="0.2">
      <c r="A6217">
        <v>6156</v>
      </c>
      <c r="B6217" s="138">
        <f>'Assets-Liab 5-6'!J4</f>
        <v>265624</v>
      </c>
      <c r="D6217" s="2" t="str">
        <f t="shared" si="96"/>
        <v>Error?</v>
      </c>
      <c r="E6217" s="2" t="s">
        <v>199</v>
      </c>
    </row>
    <row r="6218" spans="1:5" x14ac:dyDescent="0.2">
      <c r="A6218">
        <v>6157</v>
      </c>
      <c r="B6218" s="138">
        <f>'Assets-Liab 5-6'!J5</f>
        <v>6598</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215927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215927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215927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167069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167069</v>
      </c>
      <c r="D6229" s="2" t="str">
        <f t="shared" si="96"/>
        <v>Error?</v>
      </c>
      <c r="E6229" s="2" t="s">
        <v>199</v>
      </c>
    </row>
    <row r="6230" spans="1:5" x14ac:dyDescent="0.2">
      <c r="A6230">
        <v>6169</v>
      </c>
      <c r="B6230" s="138">
        <f>'Acct Summary 7-8'!J20</f>
        <v>48858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48858</v>
      </c>
      <c r="D6263" s="2" t="str">
        <f t="shared" si="96"/>
        <v>Error?</v>
      </c>
      <c r="E6263" s="2" t="s">
        <v>199</v>
      </c>
    </row>
    <row r="6264" spans="1:5" x14ac:dyDescent="0.2">
      <c r="A6264">
        <v>6203</v>
      </c>
      <c r="B6264" s="138">
        <f>'Acct Summary 7-8'!J79</f>
        <v>223364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272222</v>
      </c>
      <c r="D6266" s="2" t="str">
        <f t="shared" si="96"/>
        <v>Error?</v>
      </c>
      <c r="E6266" s="2" t="s">
        <v>199</v>
      </c>
    </row>
    <row r="6267" spans="1:5" x14ac:dyDescent="0.2">
      <c r="A6267">
        <v>6206</v>
      </c>
      <c r="B6267" s="138">
        <f>'Acct Summary 7-8'!C82</f>
        <v>348198</v>
      </c>
      <c r="D6267" s="2" t="str">
        <f t="shared" si="96"/>
        <v>Error?</v>
      </c>
      <c r="E6267" s="2" t="s">
        <v>199</v>
      </c>
    </row>
    <row r="6268" spans="1:5" x14ac:dyDescent="0.2">
      <c r="A6268">
        <v>6207</v>
      </c>
      <c r="B6268" s="138">
        <f>'Acct Summary 7-8'!D82</f>
        <v>-119254</v>
      </c>
      <c r="D6268" s="2" t="str">
        <f t="shared" si="96"/>
        <v>Error?</v>
      </c>
      <c r="E6268" s="2" t="s">
        <v>199</v>
      </c>
    </row>
    <row r="6269" spans="1:5" x14ac:dyDescent="0.2">
      <c r="A6269">
        <v>6208</v>
      </c>
      <c r="B6269" s="138">
        <f>'Acct Summary 7-8'!E82</f>
        <v>-1010264</v>
      </c>
      <c r="D6269" s="2" t="str">
        <f t="shared" si="96"/>
        <v>Error?</v>
      </c>
      <c r="E6269" s="2" t="s">
        <v>199</v>
      </c>
    </row>
    <row r="6270" spans="1:5" x14ac:dyDescent="0.2">
      <c r="A6270">
        <v>6209</v>
      </c>
      <c r="B6270" s="138">
        <f>'Acct Summary 7-8'!F82</f>
        <v>100178</v>
      </c>
      <c r="D6270" s="2" t="str">
        <f t="shared" si="96"/>
        <v>Error?</v>
      </c>
      <c r="E6270" s="2" t="s">
        <v>199</v>
      </c>
    </row>
    <row r="6271" spans="1:5" x14ac:dyDescent="0.2">
      <c r="A6271">
        <v>6210</v>
      </c>
      <c r="B6271" s="138">
        <f>'Acct Summary 7-8'!G82</f>
        <v>10088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52955</v>
      </c>
      <c r="D6273" s="2" t="str">
        <f t="shared" si="97"/>
        <v>Error?</v>
      </c>
      <c r="E6273" s="2" t="s">
        <v>199</v>
      </c>
    </row>
    <row r="6274" spans="1:5" x14ac:dyDescent="0.2">
      <c r="A6274">
        <v>6213</v>
      </c>
      <c r="B6274" s="138">
        <f>'Acct Summary 7-8'!J82</f>
        <v>48858</v>
      </c>
      <c r="D6274" s="2" t="str">
        <f t="shared" si="97"/>
        <v>Error?</v>
      </c>
      <c r="E6274" s="2" t="s">
        <v>199</v>
      </c>
    </row>
    <row r="6275" spans="1:5" x14ac:dyDescent="0.2">
      <c r="A6275">
        <v>6214</v>
      </c>
      <c r="B6275" s="138">
        <f>'Acct Summary 7-8'!K82</f>
        <v>45915</v>
      </c>
      <c r="D6275" s="2" t="str">
        <f t="shared" si="97"/>
        <v>Error?</v>
      </c>
      <c r="E6275" s="2" t="s">
        <v>199</v>
      </c>
    </row>
    <row r="6276" spans="1:5" x14ac:dyDescent="0.2">
      <c r="A6276">
        <v>6215</v>
      </c>
      <c r="B6276" s="138">
        <f>'Acct Summary 7-8'!C83</f>
        <v>9.4966034856171444E-2</v>
      </c>
      <c r="D6276" s="2" t="str">
        <f t="shared" si="97"/>
        <v>Error?</v>
      </c>
      <c r="E6276" s="2" t="s">
        <v>199</v>
      </c>
    </row>
    <row r="6277" spans="1:5" x14ac:dyDescent="0.2">
      <c r="A6277">
        <v>6216</v>
      </c>
      <c r="B6277" s="138">
        <f>'Acct Summary 7-8'!D83</f>
        <v>-0.3513060487422634</v>
      </c>
      <c r="D6277" s="2" t="str">
        <f t="shared" si="97"/>
        <v>Error?</v>
      </c>
      <c r="E6277" s="2" t="s">
        <v>199</v>
      </c>
    </row>
    <row r="6278" spans="1:5" x14ac:dyDescent="0.2">
      <c r="A6278">
        <v>6217</v>
      </c>
      <c r="B6278" s="138">
        <f>'Acct Summary 7-8'!E83</f>
        <v>-16.892916861748379</v>
      </c>
      <c r="D6278" s="2" t="str">
        <f t="shared" si="97"/>
        <v>Error?</v>
      </c>
      <c r="E6278" s="2" t="s">
        <v>199</v>
      </c>
    </row>
    <row r="6279" spans="1:5" x14ac:dyDescent="0.2">
      <c r="A6279">
        <v>6218</v>
      </c>
      <c r="B6279" s="138">
        <f>'Acct Summary 7-8'!F83</f>
        <v>0.31173818199923448</v>
      </c>
      <c r="D6279" s="2" t="str">
        <f t="shared" si="97"/>
        <v>Error?</v>
      </c>
      <c r="E6279" s="2" t="s">
        <v>199</v>
      </c>
    </row>
    <row r="6280" spans="1:5" x14ac:dyDescent="0.2">
      <c r="A6280">
        <v>6219</v>
      </c>
      <c r="B6280" s="138">
        <f>'Acct Summary 7-8'!G83</f>
        <v>2.962266921156952E-2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0.46465204839997543</v>
      </c>
      <c r="D6282" s="2" t="str">
        <f t="shared" si="97"/>
        <v>Error?</v>
      </c>
      <c r="E6282" s="2" t="s">
        <v>199</v>
      </c>
    </row>
    <row r="6283" spans="1:5" x14ac:dyDescent="0.2">
      <c r="A6283">
        <v>6222</v>
      </c>
      <c r="B6283" s="138">
        <f>'Acct Summary 7-8'!J83</f>
        <v>0.17947851386001132</v>
      </c>
      <c r="D6283" s="2" t="str">
        <f t="shared" si="97"/>
        <v>Error?</v>
      </c>
      <c r="E6283" s="2" t="s">
        <v>199</v>
      </c>
    </row>
    <row r="6284" spans="1:5" x14ac:dyDescent="0.2">
      <c r="A6284">
        <v>6223</v>
      </c>
      <c r="B6284" s="138">
        <f>'Acct Summary 7-8'!K83</f>
        <v>0.1091086666714193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215832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215832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4115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215927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124024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139291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17776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167069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215927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81767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81767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5013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5013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61489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61489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10851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10851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7949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7949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167069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167069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167069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167069</v>
      </c>
      <c r="D7224" s="2" t="str">
        <f t="shared" si="111"/>
        <v>Error?</v>
      </c>
    </row>
    <row r="7225" spans="1:4" x14ac:dyDescent="0.2">
      <c r="A7225">
        <v>7164</v>
      </c>
      <c r="B7225" s="138">
        <f>'Expenditures 15-22'!K343</f>
        <v>48858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13237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2030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13668</v>
      </c>
      <c r="D7263" s="2" t="str">
        <f t="shared" si="112"/>
        <v>Error?</v>
      </c>
    </row>
    <row r="7264" spans="1:4" x14ac:dyDescent="0.2">
      <c r="A7264">
        <f t="shared" si="113"/>
        <v>7203</v>
      </c>
      <c r="B7264" s="138">
        <f>'Expenditures 15-22'!D17</f>
        <v>593</v>
      </c>
      <c r="D7264" s="2" t="str">
        <f t="shared" si="112"/>
        <v>Error?</v>
      </c>
    </row>
    <row r="7265" spans="1:5" x14ac:dyDescent="0.2">
      <c r="A7265">
        <f t="shared" si="113"/>
        <v>7204</v>
      </c>
      <c r="B7265" s="138">
        <f>'Expenditures 15-22'!E17</f>
        <v>3515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1012709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4115</v>
      </c>
      <c r="D7712" s="2" t="str">
        <f t="shared" si="126"/>
        <v>Error?</v>
      </c>
      <c r="E7712" s="2" t="s">
        <v>881</v>
      </c>
    </row>
    <row r="7713" spans="1:6" x14ac:dyDescent="0.2">
      <c r="A7713">
        <v>7652</v>
      </c>
      <c r="B7713" s="138">
        <f>'Rest Tax Levies-Tort Im 25'!J8</f>
        <v>659550</v>
      </c>
      <c r="D7713" s="2" t="str">
        <f t="shared" si="126"/>
        <v>Error?</v>
      </c>
      <c r="E7713" s="2" t="s">
        <v>881</v>
      </c>
    </row>
    <row r="7714" spans="1:6" x14ac:dyDescent="0.2">
      <c r="A7714">
        <v>7653</v>
      </c>
      <c r="B7714" s="138">
        <f>'Rest Tax Levies-Tort Im 25'!K9</f>
        <v>16623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659550</v>
      </c>
      <c r="D7718" s="2" t="str">
        <f t="shared" si="126"/>
        <v>Error?</v>
      </c>
      <c r="E7718" s="2" t="s">
        <v>881</v>
      </c>
    </row>
    <row r="7719" spans="1:6" x14ac:dyDescent="0.2">
      <c r="A7719">
        <v>7658</v>
      </c>
      <c r="B7719" s="138">
        <f>'Rest Tax Levies-Tort Im 25'!K12</f>
        <v>20738</v>
      </c>
      <c r="D7719" s="2" t="str">
        <f t="shared" si="126"/>
        <v>Error?</v>
      </c>
      <c r="E7719" s="2" t="s">
        <v>881</v>
      </c>
    </row>
    <row r="7720" spans="1:6" x14ac:dyDescent="0.2">
      <c r="A7720">
        <v>7659</v>
      </c>
      <c r="B7720" s="138">
        <f>'Rest Tax Levies-Tort Im 25'!H14</f>
        <v>457236</v>
      </c>
      <c r="D7720" s="2" t="str">
        <f t="shared" si="126"/>
        <v>Error?</v>
      </c>
      <c r="E7720" s="2" t="s">
        <v>881</v>
      </c>
    </row>
    <row r="7721" spans="1:6" x14ac:dyDescent="0.2">
      <c r="A7721">
        <v>7660</v>
      </c>
      <c r="B7721" s="138">
        <f>'Rest Tax Levies-Tort Im 25'!K14</f>
        <v>17776</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483040</v>
      </c>
      <c r="D7724" s="2" t="str">
        <f t="shared" si="126"/>
        <v>Error?</v>
      </c>
      <c r="E7724" s="2" t="s">
        <v>881</v>
      </c>
      <c r="F7724" s="2"/>
    </row>
    <row r="7725" spans="1:6" x14ac:dyDescent="0.2">
      <c r="A7725">
        <v>7664</v>
      </c>
      <c r="B7725" s="138">
        <f>'Rest Tax Levies-Tort Im 25'!J19</f>
        <v>1100000</v>
      </c>
      <c r="D7725" s="2" t="str">
        <f t="shared" si="126"/>
        <v>Error?</v>
      </c>
      <c r="E7725" s="2" t="s">
        <v>881</v>
      </c>
    </row>
    <row r="7726" spans="1:6" x14ac:dyDescent="0.2">
      <c r="A7726">
        <v>7665</v>
      </c>
      <c r="B7726" s="138">
        <f>'Rest Tax Levies-Tort Im 25'!J20</f>
        <v>2750</v>
      </c>
      <c r="D7726" s="2" t="str">
        <f t="shared" si="126"/>
        <v>Error?</v>
      </c>
      <c r="E7726" s="2" t="s">
        <v>881</v>
      </c>
    </row>
    <row r="7727" spans="1:6" x14ac:dyDescent="0.2">
      <c r="A7727">
        <v>7666</v>
      </c>
      <c r="B7727" s="138">
        <f>'Rest Tax Levies-Tort Im 25'!J21</f>
        <v>1585790</v>
      </c>
      <c r="D7727" s="2" t="str">
        <f t="shared" si="126"/>
        <v>Error?</v>
      </c>
      <c r="E7727" s="2" t="s">
        <v>881</v>
      </c>
    </row>
    <row r="7728" spans="1:6" x14ac:dyDescent="0.2">
      <c r="A7728">
        <v>7667</v>
      </c>
      <c r="B7728" s="138">
        <f>'Revenues 9-14'!E103</f>
        <v>659550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1585790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-926240</v>
      </c>
      <c r="D7732" s="2" t="str">
        <f t="shared" si="126"/>
        <v>Error?</v>
      </c>
      <c r="E7732" s="2" t="s">
        <v>881</v>
      </c>
    </row>
    <row r="7733" spans="1:6" x14ac:dyDescent="0.2">
      <c r="A7733">
        <v>7672</v>
      </c>
      <c r="B7733" s="138">
        <f>'Rest Tax Levies-Tort Im 25'!K24</f>
        <v>2962</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-414883</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-926240</v>
      </c>
      <c r="D7742" s="2" t="str">
        <f t="shared" si="126"/>
        <v>Error?</v>
      </c>
      <c r="E7742" s="2" t="s">
        <v>881</v>
      </c>
    </row>
    <row r="7743" spans="1:6" x14ac:dyDescent="0.2">
      <c r="A7743">
        <v>7682</v>
      </c>
      <c r="B7743" s="138">
        <f>'Rest Tax Levies-Tort Im 25'!K26</f>
        <v>2962</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71370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1" t="s">
        <v>1253</v>
      </c>
      <c r="B2" s="2401"/>
      <c r="C2" s="2401"/>
      <c r="D2" s="2401"/>
      <c r="E2" s="2401"/>
      <c r="F2" s="2401"/>
      <c r="G2" s="2401"/>
      <c r="H2" s="2401"/>
      <c r="I2" s="2401"/>
      <c r="J2" s="2401"/>
      <c r="K2" s="2401"/>
      <c r="L2" s="2401"/>
    </row>
    <row r="3" spans="1:29" ht="13.5" customHeight="1" x14ac:dyDescent="0.2">
      <c r="A3" s="2432" t="s">
        <v>1252</v>
      </c>
      <c r="B3" s="2432"/>
      <c r="C3" s="2432"/>
      <c r="D3" s="2432"/>
      <c r="E3" s="2432"/>
      <c r="F3" s="2432"/>
      <c r="G3" s="2432"/>
      <c r="H3" s="2432"/>
      <c r="I3" s="2432"/>
      <c r="J3" s="2432"/>
      <c r="K3" s="2432"/>
      <c r="L3" s="2432"/>
    </row>
    <row r="4" spans="1:29" ht="13.5" customHeight="1" x14ac:dyDescent="0.2">
      <c r="A4" s="2401" t="s">
        <v>1799</v>
      </c>
      <c r="B4" s="2422"/>
      <c r="C4" s="2422"/>
      <c r="D4" s="2422"/>
      <c r="E4" s="2422"/>
      <c r="F4" s="2422"/>
      <c r="G4" s="2422"/>
      <c r="H4" s="2422"/>
      <c r="I4" s="2422"/>
      <c r="J4" s="2422"/>
      <c r="K4" s="2422"/>
      <c r="L4" s="242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3" t="str">
        <f>COVER!A17</f>
        <v>Knoxville CUSD 202</v>
      </c>
      <c r="B7" s="2424"/>
      <c r="C7" s="2424"/>
      <c r="D7" s="2425"/>
      <c r="E7" s="2426">
        <f>COVER!A13</f>
        <v>33048202026</v>
      </c>
      <c r="F7" s="2427"/>
      <c r="G7" s="2433" t="str">
        <f>COVER!T23</f>
        <v>065-024137</v>
      </c>
      <c r="H7" s="2434"/>
      <c r="I7" s="2434"/>
      <c r="J7" s="2434"/>
      <c r="K7" s="2434"/>
      <c r="L7" s="243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6"/>
      <c r="B9" s="2437"/>
      <c r="C9" s="2437"/>
      <c r="D9" s="2437"/>
      <c r="E9" s="2437"/>
      <c r="F9" s="2438"/>
      <c r="G9" s="2407" t="str">
        <f>COVER!T13</f>
        <v>BLUCKER, KNEER &amp; ASSOCIATES, LTD</v>
      </c>
      <c r="H9" s="2439"/>
      <c r="I9" s="2439"/>
      <c r="J9" s="2439"/>
      <c r="K9" s="2439"/>
      <c r="L9" s="2440"/>
    </row>
    <row r="10" spans="1:29" ht="13.5" customHeight="1" x14ac:dyDescent="0.2">
      <c r="A10" s="2413" t="str">
        <f>COVER!A38</f>
        <v>STEPHEN WILDER</v>
      </c>
      <c r="B10" s="2414"/>
      <c r="C10" s="2414"/>
      <c r="D10" s="2414"/>
      <c r="E10" s="2414"/>
      <c r="F10" s="2415"/>
      <c r="G10" s="2407" t="str">
        <f>COVER!T17</f>
        <v>P.O. BOX 1464</v>
      </c>
      <c r="H10" s="2408"/>
      <c r="I10" s="2408"/>
      <c r="J10" s="2408"/>
      <c r="K10" s="2408"/>
      <c r="L10" s="2409"/>
    </row>
    <row r="11" spans="1:29" ht="13.5" customHeight="1" x14ac:dyDescent="0.2">
      <c r="A11" s="1185" t="s">
        <v>1599</v>
      </c>
      <c r="B11" s="1186"/>
      <c r="C11" s="1187"/>
      <c r="D11" s="1192"/>
      <c r="E11" s="1187"/>
      <c r="F11" s="1191"/>
      <c r="G11" s="2407" t="str">
        <f>COVER!T19</f>
        <v>GALESBURG</v>
      </c>
      <c r="H11" s="2408"/>
      <c r="I11" s="2408"/>
      <c r="J11" s="2408"/>
      <c r="K11" s="2408"/>
      <c r="L11" s="2409"/>
    </row>
    <row r="12" spans="1:29" ht="13.5" customHeight="1" x14ac:dyDescent="0.2">
      <c r="A12" s="2416" t="s">
        <v>1598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1600</v>
      </c>
      <c r="H13" s="2403"/>
      <c r="I13" s="2419" t="str">
        <f>COVER!T25</f>
        <v>teresabla@gmail.com</v>
      </c>
      <c r="J13" s="2420"/>
      <c r="K13" s="2420"/>
      <c r="L13" s="2421"/>
    </row>
    <row r="14" spans="1:29" ht="13.5" customHeight="1" x14ac:dyDescent="0.2">
      <c r="A14" s="2407" t="str">
        <f>COVER!A19</f>
        <v>809 E. MAIN STREET</v>
      </c>
      <c r="B14" s="2408"/>
      <c r="C14" s="2408"/>
      <c r="D14" s="2408"/>
      <c r="E14" s="2408"/>
      <c r="F14" s="2409"/>
      <c r="G14" s="1196" t="s">
        <v>1247</v>
      </c>
      <c r="H14" s="1194"/>
      <c r="I14" s="1194"/>
      <c r="J14" s="1194"/>
      <c r="K14" s="1194"/>
      <c r="L14" s="1195"/>
    </row>
    <row r="15" spans="1:29" ht="13.5" customHeight="1" x14ac:dyDescent="0.2">
      <c r="A15" s="2407" t="str">
        <f>COVER!A21</f>
        <v xml:space="preserve">KNOXVILLE </v>
      </c>
      <c r="B15" s="2408"/>
      <c r="C15" s="2408"/>
      <c r="D15" s="2408"/>
      <c r="E15" s="2408"/>
      <c r="F15" s="2409"/>
      <c r="G15" s="2404" t="str">
        <f>COVER!T15</f>
        <v>TERESA A. WELCH</v>
      </c>
      <c r="H15" s="2405"/>
      <c r="I15" s="2405"/>
      <c r="J15" s="2405"/>
      <c r="K15" s="2405"/>
      <c r="L15" s="2406"/>
    </row>
    <row r="16" spans="1:29" ht="12.2" customHeight="1" x14ac:dyDescent="0.2">
      <c r="A16" s="2429">
        <f>COVER!A25</f>
        <v>61448</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6" t="s">
        <v>1246</v>
      </c>
      <c r="H17" s="1194"/>
      <c r="I17" s="1194"/>
      <c r="J17" s="1194"/>
      <c r="K17" s="1198" t="s">
        <v>1245</v>
      </c>
      <c r="L17" s="1191"/>
      <c r="M17" s="1184"/>
    </row>
    <row r="18" spans="1:13" ht="12.2" customHeight="1" x14ac:dyDescent="0.2">
      <c r="A18" s="2413"/>
      <c r="B18" s="2414"/>
      <c r="C18" s="2414"/>
      <c r="D18" s="2414"/>
      <c r="E18" s="2414"/>
      <c r="F18" s="2415"/>
      <c r="G18" s="2423" t="str">
        <f>COVER!T21</f>
        <v>309-343-4156</v>
      </c>
      <c r="H18" s="2424"/>
      <c r="I18" s="2424"/>
      <c r="J18" s="2424"/>
      <c r="K18" s="2423" t="str">
        <f>COVER!X21</f>
        <v>309-343-0174</v>
      </c>
      <c r="L18" s="242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oddFooter>&amp;RThe notes to the financial statements are an integral part of this statement.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Knoxville CUSD 202</v>
      </c>
      <c r="B1" s="2422"/>
      <c r="C1" s="2422"/>
      <c r="D1" s="2422"/>
    </row>
    <row r="2" spans="1:11" s="1215" customFormat="1" ht="12.75" x14ac:dyDescent="0.2">
      <c r="A2" s="2446">
        <f>'Single Audit Cover'!E7</f>
        <v>33048202026</v>
      </c>
      <c r="B2" s="2447"/>
      <c r="C2" s="2447"/>
      <c r="D2" s="2447"/>
    </row>
    <row r="3" spans="1:11" s="1215" customFormat="1" ht="12.75" x14ac:dyDescent="0.2">
      <c r="A3" s="2445" t="s">
        <v>1593</v>
      </c>
      <c r="B3" s="2422"/>
      <c r="C3" s="2422"/>
      <c r="D3" s="242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oddFooter>&amp;RThe notes to the financial statements are an integral part of this statement.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Knoxville CUSD 202</v>
      </c>
      <c r="B1" s="2449"/>
      <c r="C1" s="2449"/>
      <c r="D1" s="2449"/>
      <c r="E1" s="2449"/>
    </row>
    <row r="2" spans="1:5" x14ac:dyDescent="0.2">
      <c r="A2" s="2450">
        <f>'Single Audit Cover'!E7</f>
        <v>33048202026</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539325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49144.67</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-15910</v>
      </c>
    </row>
    <row r="19" spans="1:4" ht="13.5" thickBot="1" x14ac:dyDescent="0.25">
      <c r="A19" s="1265" t="s">
        <v>1297</v>
      </c>
      <c r="D19" s="1266">
        <f>SUM(D10:D17)</f>
        <v>572559.67000000004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572559.67000000004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572559.67000000004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&amp;RThe notes to the financial statements are an integral part of this statement.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Knoxville CUSD 202</v>
      </c>
      <c r="B1" s="2462"/>
      <c r="C1" s="2462"/>
      <c r="D1" s="2462"/>
      <c r="E1" s="2462"/>
      <c r="F1" s="2462"/>
    </row>
    <row r="2" spans="1:7" ht="13.5" customHeight="1" x14ac:dyDescent="0.2">
      <c r="A2" s="2463">
        <f>'Single Audit Cover'!E7</f>
        <v>33048202026</v>
      </c>
      <c r="B2" s="2463"/>
      <c r="C2" s="2463"/>
      <c r="D2" s="2463"/>
      <c r="E2" s="2463"/>
      <c r="F2" s="2463"/>
      <c r="G2" s="1275"/>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1831</v>
      </c>
      <c r="C6" s="317"/>
      <c r="D6" s="317"/>
    </row>
    <row r="7" spans="1:7" ht="60.95" customHeight="1" x14ac:dyDescent="0.2">
      <c r="A7" s="2461" t="s">
        <v>1832</v>
      </c>
      <c r="B7" s="2461"/>
      <c r="C7" s="2461"/>
      <c r="D7" s="2461"/>
      <c r="E7" s="2461"/>
      <c r="F7" s="246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1" t="s">
        <v>1834</v>
      </c>
      <c r="B13" s="2461"/>
      <c r="C13" s="2461"/>
      <c r="D13" s="2461"/>
      <c r="E13" s="2461"/>
      <c r="F13" s="2461"/>
    </row>
    <row r="14" spans="1:7" ht="9.75" customHeight="1" x14ac:dyDescent="0.2">
      <c r="C14" s="1260"/>
      <c r="D14" s="1260"/>
    </row>
    <row r="15" spans="1:7" ht="13.5" customHeight="1" x14ac:dyDescent="0.2">
      <c r="C15" s="1871" t="s">
        <v>1332</v>
      </c>
      <c r="D15" s="2459" t="s">
        <v>1331</v>
      </c>
      <c r="E15" s="2459"/>
      <c r="F15" s="2459"/>
    </row>
    <row r="16" spans="1:7" ht="13.5" customHeight="1" x14ac:dyDescent="0.2">
      <c r="A16" s="1282"/>
      <c r="B16" s="1276" t="s">
        <v>1330</v>
      </c>
      <c r="C16" s="1871" t="s">
        <v>1329</v>
      </c>
      <c r="D16" s="2460" t="s">
        <v>1670</v>
      </c>
      <c r="E16" s="2460"/>
      <c r="F16" s="2460"/>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5" t="s">
        <v>1835</v>
      </c>
      <c r="B32" s="2455"/>
      <c r="C32" s="2455"/>
      <c r="D32" s="2455"/>
      <c r="E32" s="2455"/>
      <c r="F32" s="2455"/>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6">
        <f>+C33+C34</f>
        <v>0</v>
      </c>
      <c r="F34" s="2457"/>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1672</v>
      </c>
      <c r="C49" s="2458"/>
      <c r="D49" s="2458"/>
      <c r="E49" s="1399"/>
    </row>
    <row r="50" spans="1:5" s="1300" customFormat="1" ht="3.75" customHeight="1" x14ac:dyDescent="0.2">
      <c r="A50" s="1299"/>
      <c r="B50" s="1870"/>
      <c r="C50" s="1870"/>
      <c r="D50" s="1870"/>
      <c r="E50" s="1399"/>
    </row>
    <row r="51" spans="1:5" s="1300" customFormat="1" ht="20.25" customHeight="1" x14ac:dyDescent="0.2">
      <c r="A51" s="1301">
        <v>6</v>
      </c>
      <c r="B51" s="2453" t="s">
        <v>1632</v>
      </c>
      <c r="C51" s="2453"/>
      <c r="D51" s="2453"/>
    </row>
    <row r="52" spans="1:5" ht="14.25" customHeight="1" x14ac:dyDescent="0.2">
      <c r="A52" s="1301"/>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oddFooter>&amp;RThe notes to the financial statements are an integral part of this statement.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Knoxville CUSD 202</v>
      </c>
      <c r="C1" s="2466"/>
      <c r="D1" s="2466"/>
      <c r="E1" s="2466"/>
      <c r="F1" s="2466"/>
      <c r="G1" s="2466"/>
      <c r="H1" s="2466"/>
      <c r="I1" s="2466"/>
      <c r="J1" s="2466"/>
      <c r="K1" s="2466"/>
      <c r="L1" s="2466"/>
      <c r="M1" s="2466"/>
    </row>
    <row r="2" spans="2:14" ht="15" x14ac:dyDescent="0.2">
      <c r="B2" s="2463">
        <f>'Single Audit Cover'!E7</f>
        <v>33048202026</v>
      </c>
      <c r="C2" s="2463"/>
      <c r="D2" s="2463"/>
      <c r="E2" s="2463"/>
      <c r="F2" s="2463"/>
      <c r="G2" s="2463"/>
      <c r="H2" s="2463"/>
      <c r="I2" s="2463"/>
      <c r="J2" s="2463"/>
      <c r="K2" s="2463"/>
      <c r="L2" s="2463"/>
      <c r="M2" s="2463"/>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&amp;RThe notes to the financial statements are an integral part of this statement.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2077</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2099</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&amp;F&amp;RThe notes to the financial statements are an integral part of this statement.</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Knoxville CUSD 202</v>
      </c>
      <c r="C1" s="2481"/>
      <c r="D1" s="2481"/>
      <c r="E1" s="2481"/>
      <c r="F1" s="2481"/>
      <c r="G1" s="2481"/>
      <c r="H1" s="2481"/>
      <c r="I1" s="2481"/>
      <c r="J1" s="1422"/>
    </row>
    <row r="2" spans="2:10" s="317" customFormat="1" ht="12.75" customHeight="1" x14ac:dyDescent="0.2">
      <c r="B2" s="2482">
        <f>'Single Audit Cover'!E7</f>
        <v>33048202026</v>
      </c>
      <c r="C2" s="2483"/>
      <c r="D2" s="2483"/>
      <c r="E2" s="2483"/>
      <c r="F2" s="2483"/>
      <c r="G2" s="2483"/>
      <c r="H2" s="2483"/>
      <c r="I2" s="2483"/>
      <c r="J2" s="1422"/>
    </row>
    <row r="3" spans="2:10" s="317" customFormat="1" ht="12.75" customHeight="1" x14ac:dyDescent="0.2">
      <c r="B3" s="2484" t="s">
        <v>1347</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1346</v>
      </c>
      <c r="C7" s="2485"/>
      <c r="D7" s="2485"/>
      <c r="E7" s="2485"/>
      <c r="F7" s="2485"/>
      <c r="G7" s="2485"/>
      <c r="H7" s="2485"/>
      <c r="I7" s="248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6"/>
      <c r="D11" s="248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7"/>
      <c r="E29" s="2487"/>
      <c r="F29" s="2487"/>
      <c r="G29" s="2487"/>
      <c r="H29" s="2487"/>
      <c r="I29" s="248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8" t="s">
        <v>1854</v>
      </c>
      <c r="D37" s="2489"/>
      <c r="E37" s="2489"/>
      <c r="F37" s="2490"/>
      <c r="G37" s="2488" t="s">
        <v>1674</v>
      </c>
      <c r="H37" s="2489"/>
      <c r="I37" s="2490"/>
    </row>
    <row r="38" spans="2:9" ht="16.5" customHeight="1" x14ac:dyDescent="0.2">
      <c r="B38" s="1444"/>
      <c r="C38" s="2476"/>
      <c r="D38" s="2477"/>
      <c r="E38" s="2477"/>
      <c r="F38" s="2478"/>
      <c r="G38" s="2491"/>
      <c r="H38" s="2492"/>
      <c r="I38" s="2493"/>
    </row>
    <row r="39" spans="2:9" ht="16.5" customHeight="1" x14ac:dyDescent="0.2">
      <c r="B39" s="1444"/>
      <c r="C39" s="2476"/>
      <c r="D39" s="2477"/>
      <c r="E39" s="2477"/>
      <c r="F39" s="2478"/>
      <c r="G39" s="2479"/>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69" t="s">
        <v>1675</v>
      </c>
      <c r="D43" s="2470"/>
      <c r="E43" s="2470"/>
      <c r="F43" s="2471"/>
      <c r="G43" s="2472">
        <f>SUM(G38:I42)</f>
        <v>0</v>
      </c>
      <c r="H43" s="2472"/>
      <c r="I43" s="2472"/>
    </row>
    <row r="44" spans="2:9" ht="12.75" customHeight="1" x14ac:dyDescent="0.2"/>
    <row r="45" spans="2:9" ht="12.75" customHeight="1" x14ac:dyDescent="0.2">
      <c r="B45" s="1435" t="s">
        <v>1952</v>
      </c>
      <c r="D45" s="2473">
        <v>0</v>
      </c>
      <c r="E45" s="2474"/>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5"/>
      <c r="F49" s="2475"/>
      <c r="G49" s="2475"/>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oddFooter>&amp;RThe notes to the financial statements are an integral part of this statement.</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E11" sqref="E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Knoxville CUSD 202</v>
      </c>
      <c r="C1" s="2480"/>
      <c r="D1" s="2480"/>
      <c r="E1" s="2480"/>
      <c r="F1" s="2480"/>
      <c r="G1" s="2480"/>
      <c r="H1" s="2480"/>
      <c r="I1" s="2480"/>
      <c r="J1" s="2480"/>
      <c r="K1" s="2480"/>
      <c r="L1" s="1374"/>
      <c r="M1" s="1374"/>
    </row>
    <row r="2" spans="1:13" ht="12" customHeight="1" x14ac:dyDescent="0.2">
      <c r="B2" s="2482">
        <f>'Single Audit Cover'!E7</f>
        <v>33048202026</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2012</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2138</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2141</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2142</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2139</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2143</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t="s">
        <v>2140</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2" zoomScale="110" zoomScaleNormal="110" workbookViewId="0">
      <selection activeCell="E11" sqref="E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Knoxville CUSD 202</v>
      </c>
      <c r="C1" s="2480"/>
      <c r="D1" s="2480"/>
      <c r="E1" s="2480"/>
      <c r="F1" s="2480"/>
      <c r="G1" s="2480"/>
      <c r="H1" s="2480"/>
      <c r="I1" s="2480"/>
      <c r="J1" s="2480"/>
      <c r="K1" s="2480"/>
      <c r="L1" s="1374"/>
      <c r="M1" s="1374"/>
    </row>
    <row r="2" spans="1:13" ht="12" customHeight="1" x14ac:dyDescent="0.2">
      <c r="B2" s="2482">
        <f>'Single Audit Cover'!E7</f>
        <v>33048202026</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956"/>
      <c r="M3" s="1956"/>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2014</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2144</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2145</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t="s">
        <v>2146</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2147</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2148</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2149</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t="s">
        <v>2150</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E11" sqref="E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Knoxville CUSD 202</v>
      </c>
      <c r="C1" s="2480"/>
      <c r="D1" s="2480"/>
      <c r="E1" s="2480"/>
      <c r="F1" s="2480"/>
      <c r="G1" s="2480"/>
      <c r="H1" s="2480"/>
      <c r="I1" s="2480"/>
      <c r="J1" s="2480"/>
      <c r="K1" s="2480"/>
      <c r="L1" s="1374"/>
      <c r="M1" s="1374"/>
    </row>
    <row r="2" spans="1:13" ht="12" customHeight="1" x14ac:dyDescent="0.2">
      <c r="B2" s="2482">
        <f>'Single Audit Cover'!E7</f>
        <v>33048202026</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956"/>
      <c r="M3" s="1956"/>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3</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2151</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2152</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t="s">
        <v>2153</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2154</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2157</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2155</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t="s">
        <v>2156</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4" zoomScale="110" zoomScaleNormal="110" workbookViewId="0">
      <selection activeCell="E11" sqref="E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Knoxville CUSD 202</v>
      </c>
      <c r="C1" s="2480"/>
      <c r="D1" s="2480"/>
      <c r="E1" s="2480"/>
      <c r="F1" s="2480"/>
      <c r="G1" s="2480"/>
      <c r="H1" s="2480"/>
      <c r="I1" s="2480"/>
      <c r="J1" s="2480"/>
      <c r="K1" s="2480"/>
      <c r="L1" s="1374"/>
      <c r="M1" s="1374"/>
    </row>
    <row r="2" spans="1:13" ht="12" customHeight="1" x14ac:dyDescent="0.2">
      <c r="B2" s="2482">
        <f>'Single Audit Cover'!E7</f>
        <v>33048202026</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956"/>
      <c r="M3" s="1956"/>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4</v>
      </c>
      <c r="E10" s="322"/>
      <c r="F10" s="1387" t="s">
        <v>1362</v>
      </c>
      <c r="G10" s="1388" t="s">
        <v>2077</v>
      </c>
      <c r="H10" s="1389" t="s">
        <v>1361</v>
      </c>
      <c r="I10" s="1388" t="s">
        <v>1231</v>
      </c>
      <c r="J10" s="1390" t="s">
        <v>1360</v>
      </c>
      <c r="K10" s="322"/>
      <c r="L10" s="1381"/>
    </row>
    <row r="11" spans="1:13" ht="13.5" customHeight="1" x14ac:dyDescent="0.2">
      <c r="B11" s="322"/>
      <c r="C11" s="322"/>
      <c r="D11" s="322"/>
      <c r="E11" s="322"/>
      <c r="F11" s="322"/>
      <c r="G11" s="1383"/>
      <c r="H11" s="322"/>
      <c r="I11" s="1391" t="s">
        <v>1359</v>
      </c>
      <c r="J11" s="322"/>
      <c r="K11" s="1392" t="s">
        <v>1231</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2158</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2159</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t="s">
        <v>2160</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2161</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2162</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2163</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t="s">
        <v>2164</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Knoxville CUSD 202</v>
      </c>
      <c r="C1" s="2503"/>
      <c r="D1" s="2503"/>
      <c r="E1" s="2503"/>
      <c r="F1" s="2503"/>
      <c r="G1" s="2503"/>
      <c r="H1" s="2503"/>
      <c r="I1" s="2503"/>
      <c r="J1" s="2503"/>
      <c r="K1" s="2503"/>
      <c r="L1" s="1465"/>
    </row>
    <row r="2" spans="1:12" ht="12.75" customHeight="1" x14ac:dyDescent="0.2">
      <c r="B2" s="2504">
        <f>'Single Audit Cover'!E7</f>
        <v>33048202026</v>
      </c>
      <c r="C2" s="2504"/>
      <c r="D2" s="2504"/>
      <c r="E2" s="2504"/>
      <c r="F2" s="2504"/>
      <c r="G2" s="2504"/>
      <c r="H2" s="2504"/>
      <c r="I2" s="2504"/>
      <c r="J2" s="2504"/>
      <c r="K2" s="2504"/>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&amp;RThe notes to the financial statements are an integral part of this statement.</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E11" sqref="E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Knoxville CUSD 202</v>
      </c>
      <c r="C1" s="2480"/>
      <c r="D1" s="2480"/>
      <c r="E1" s="1491"/>
    </row>
    <row r="2" spans="2:5" s="1282" customFormat="1" ht="12.75" customHeight="1" x14ac:dyDescent="0.2">
      <c r="B2" s="2482">
        <f>'Single Audit Cover'!E7</f>
        <v>33048202026</v>
      </c>
      <c r="C2" s="2482"/>
      <c r="D2" s="2482"/>
      <c r="E2" s="1492"/>
    </row>
    <row r="3" spans="2:5" ht="12.75" customHeight="1" x14ac:dyDescent="0.2">
      <c r="B3" s="2496" t="s">
        <v>1869</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t="s">
        <v>2126</v>
      </c>
      <c r="C8" s="324" t="s">
        <v>2127</v>
      </c>
      <c r="D8" s="324" t="s">
        <v>2129</v>
      </c>
      <c r="E8" s="324"/>
    </row>
    <row r="9" spans="2:5" ht="13.5" customHeight="1" x14ac:dyDescent="0.2">
      <c r="B9" s="1497"/>
      <c r="C9" s="323" t="s">
        <v>2128</v>
      </c>
      <c r="D9" s="323" t="s">
        <v>2130</v>
      </c>
      <c r="E9" s="323"/>
    </row>
    <row r="10" spans="2:5" ht="13.5" customHeight="1" x14ac:dyDescent="0.2">
      <c r="B10" s="1496"/>
      <c r="C10" s="323"/>
      <c r="D10" s="323"/>
      <c r="E10" s="323"/>
    </row>
    <row r="11" spans="2:5" ht="13.5" customHeight="1" x14ac:dyDescent="0.2">
      <c r="B11" s="1496" t="s">
        <v>2131</v>
      </c>
      <c r="C11" s="323" t="s">
        <v>2132</v>
      </c>
      <c r="D11" s="323" t="s">
        <v>2129</v>
      </c>
      <c r="E11" s="323"/>
    </row>
    <row r="12" spans="2:5" ht="13.5" customHeight="1" x14ac:dyDescent="0.2">
      <c r="B12" s="1496"/>
      <c r="C12" s="323"/>
      <c r="D12" s="323" t="s">
        <v>2130</v>
      </c>
      <c r="E12" s="323"/>
    </row>
    <row r="13" spans="2:5" ht="13.5" customHeight="1" x14ac:dyDescent="0.2">
      <c r="B13" s="1496"/>
      <c r="C13" s="323"/>
      <c r="D13" s="323"/>
      <c r="E13" s="323"/>
    </row>
    <row r="14" spans="2:5" ht="13.5" customHeight="1" x14ac:dyDescent="0.2">
      <c r="B14" s="1496" t="s">
        <v>2133</v>
      </c>
      <c r="C14" s="323" t="s">
        <v>2134</v>
      </c>
      <c r="D14" s="323" t="s">
        <v>2135</v>
      </c>
      <c r="E14" s="323"/>
    </row>
    <row r="15" spans="2:5" ht="13.5" customHeight="1" x14ac:dyDescent="0.2">
      <c r="B15" s="1496"/>
      <c r="C15" s="323"/>
      <c r="D15" s="323" t="s">
        <v>2136</v>
      </c>
      <c r="E15" s="323"/>
    </row>
    <row r="16" spans="2:5" ht="13.5" customHeight="1" x14ac:dyDescent="0.2">
      <c r="B16" s="1496"/>
      <c r="C16" s="323"/>
      <c r="D16" s="323" t="s">
        <v>2137</v>
      </c>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&amp;RThe notes to the financial statements are an integral part of this statement.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1"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108246417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2.9000000000000001E-2</v>
      </c>
      <c r="E10" s="356" t="s">
        <v>1062</v>
      </c>
      <c r="F10" s="355">
        <v>5.0000000000000001E-3</v>
      </c>
      <c r="G10" s="356" t="s">
        <v>1062</v>
      </c>
      <c r="H10" s="355">
        <v>5.0000000000000001E-3</v>
      </c>
      <c r="I10" s="356" t="s">
        <v>1063</v>
      </c>
      <c r="J10" s="1754">
        <f>ROUND(D10+F10+H10,5)</f>
        <v>3.9E-2</v>
      </c>
      <c r="K10" s="222"/>
      <c r="L10" s="355">
        <v>5.0000000000000001E-4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9741570</v>
      </c>
      <c r="E16" s="356"/>
      <c r="F16" s="1755">
        <f>SUM('Acct Summary 7-8'!C17,'Acct Summary 7-8'!D17,'Acct Summary 7-8'!F17)</f>
        <v>9359493</v>
      </c>
      <c r="G16" s="356"/>
      <c r="H16" s="1755">
        <f>SUM(D16-F16)</f>
        <v>382077</v>
      </c>
      <c r="I16" s="222"/>
      <c r="J16" s="1755">
        <f>SUM('Acct Summary 7-8'!C81,'Acct Summary 7-8'!D81,'Acct Summary 7-8'!F81,'Acct Summary 7-8'!I81)</f>
        <v>4441332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14938005.546000002</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12850000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t="s">
        <v>2077</v>
      </c>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t="s">
        <v>2100</v>
      </c>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&amp;F&amp;RThe notes to the financial statements are an integral part of this statement.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D48" sqref="D4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Knoxville CUSD 202</v>
      </c>
      <c r="E7" s="391"/>
      <c r="G7" s="252"/>
      <c r="H7" s="387"/>
      <c r="I7" s="387"/>
      <c r="J7" s="387"/>
      <c r="K7" s="387"/>
      <c r="L7" s="329"/>
      <c r="M7" s="329"/>
      <c r="N7" s="329"/>
      <c r="O7" s="329"/>
      <c r="P7" s="329"/>
    </row>
    <row r="8" spans="1:18" ht="12.75" x14ac:dyDescent="0.2">
      <c r="A8" s="329"/>
      <c r="B8" s="329"/>
      <c r="C8" s="389" t="s">
        <v>1187</v>
      </c>
      <c r="D8" s="392">
        <f>COVER!A13</f>
        <v>33048202026</v>
      </c>
      <c r="E8" s="393"/>
      <c r="G8" s="329"/>
      <c r="H8" s="329"/>
      <c r="I8" s="329"/>
      <c r="J8" s="329"/>
      <c r="K8" s="329"/>
      <c r="L8" s="329"/>
      <c r="M8" s="329"/>
      <c r="N8" s="329"/>
      <c r="O8" s="329"/>
      <c r="P8" s="329"/>
    </row>
    <row r="9" spans="1:18" ht="12.75" x14ac:dyDescent="0.2">
      <c r="A9" s="329"/>
      <c r="B9" s="329"/>
      <c r="C9" s="389" t="s">
        <v>737</v>
      </c>
      <c r="D9" s="394" t="str">
        <f>COVER!A15</f>
        <v>KNOX</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4441332</v>
      </c>
      <c r="I12" s="404"/>
      <c r="J12" s="404"/>
      <c r="K12" s="405">
        <f>TRUNC((H12/H13*100000),5)/100000</f>
        <v>0.45591542220000003</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9741570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9359493</v>
      </c>
      <c r="I17" s="404"/>
      <c r="J17" s="416"/>
      <c r="K17" s="405">
        <f>TRUNC((H17/H18*100000),5)/100000</f>
        <v>0.96077870399999998</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9741570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4451398</v>
      </c>
      <c r="I24" s="422"/>
      <c r="J24" s="422"/>
      <c r="K24" s="423">
        <f>TRUNC(((H24/H25*100000)/100000),2)</f>
        <v>171.21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25998.591670000002</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3588368.7235500002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12850000</v>
      </c>
      <c r="I32" s="420"/>
      <c r="J32" s="420"/>
      <c r="K32" s="423">
        <f>TRUNC(100-((((H32/H33*100))*100)/100),2)</f>
        <v>13.97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14938005.546000002</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&amp;F&amp;RThe notes to the financial statements are an integral part of this statement.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C1" colorId="8" zoomScale="110" zoomScaleNormal="110" workbookViewId="0">
      <pane ySplit="2" topLeftCell="A3" activePane="bottomLeft" state="frozen"/>
      <selection activeCell="D48" sqref="D48"/>
      <selection pane="bottomLeft" activeCell="D48" sqref="D4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3185420</v>
      </c>
      <c r="D4" s="466">
        <v>312995</v>
      </c>
      <c r="E4" s="466">
        <v>47564</v>
      </c>
      <c r="F4" s="466">
        <v>78504</v>
      </c>
      <c r="G4" s="466">
        <v>238860</v>
      </c>
      <c r="H4" s="466"/>
      <c r="I4" s="466">
        <v>113967</v>
      </c>
      <c r="J4" s="467">
        <v>265624</v>
      </c>
      <c r="K4" s="466">
        <v>351079</v>
      </c>
      <c r="L4" s="466">
        <v>155818</v>
      </c>
      <c r="M4" s="468"/>
      <c r="N4" s="469"/>
    </row>
    <row r="5" spans="1:14" x14ac:dyDescent="0.2">
      <c r="A5" s="463" t="s">
        <v>1049</v>
      </c>
      <c r="B5" s="470">
        <v>120</v>
      </c>
      <c r="C5" s="465">
        <v>477267</v>
      </c>
      <c r="D5" s="466">
        <v>30700</v>
      </c>
      <c r="E5" s="466">
        <v>12240</v>
      </c>
      <c r="F5" s="466">
        <v>252545</v>
      </c>
      <c r="G5" s="466">
        <v>101690</v>
      </c>
      <c r="H5" s="466"/>
      <c r="I5" s="466"/>
      <c r="J5" s="467">
        <v>6598</v>
      </c>
      <c r="K5" s="471">
        <v>69740</v>
      </c>
      <c r="L5" s="472">
        <v>23698</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3662687</v>
      </c>
      <c r="D13" s="1759">
        <f t="shared" ref="D13:L13" si="0">SUM(D4:D12)</f>
        <v>343695</v>
      </c>
      <c r="E13" s="1759">
        <f t="shared" si="0"/>
        <v>59804</v>
      </c>
      <c r="F13" s="1759">
        <f t="shared" si="0"/>
        <v>331049</v>
      </c>
      <c r="G13" s="1759">
        <f t="shared" si="0"/>
        <v>340550</v>
      </c>
      <c r="H13" s="1759">
        <f t="shared" si="0"/>
        <v>0</v>
      </c>
      <c r="I13" s="1759">
        <f t="shared" si="0"/>
        <v>113967</v>
      </c>
      <c r="J13" s="1759">
        <f t="shared" si="0"/>
        <v>272222</v>
      </c>
      <c r="K13" s="1759">
        <f t="shared" si="0"/>
        <v>420819</v>
      </c>
      <c r="L13" s="1759">
        <f t="shared" si="0"/>
        <v>179516</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186182</v>
      </c>
      <c r="N16" s="484"/>
    </row>
    <row r="17" spans="1:14" s="485" customFormat="1" ht="12.75" customHeight="1" x14ac:dyDescent="0.2">
      <c r="A17" s="482" t="s">
        <v>1470</v>
      </c>
      <c r="B17" s="483">
        <v>230</v>
      </c>
      <c r="C17" s="477"/>
      <c r="D17" s="477"/>
      <c r="E17" s="477"/>
      <c r="F17" s="477"/>
      <c r="G17" s="477"/>
      <c r="H17" s="477"/>
      <c r="I17" s="477"/>
      <c r="J17" s="477"/>
      <c r="K17" s="477"/>
      <c r="L17" s="477"/>
      <c r="M17" s="467">
        <v>46310228</v>
      </c>
      <c r="N17" s="484"/>
    </row>
    <row r="18" spans="1:14" s="485" customFormat="1" ht="12.75" customHeight="1" x14ac:dyDescent="0.2">
      <c r="A18" s="482" t="s">
        <v>1471</v>
      </c>
      <c r="B18" s="483">
        <v>240</v>
      </c>
      <c r="C18" s="477"/>
      <c r="D18" s="477"/>
      <c r="E18" s="477"/>
      <c r="F18" s="477"/>
      <c r="G18" s="477"/>
      <c r="H18" s="477"/>
      <c r="I18" s="477"/>
      <c r="J18" s="477"/>
      <c r="K18" s="477"/>
      <c r="L18" s="477"/>
      <c r="M18" s="467">
        <v>146372</v>
      </c>
      <c r="N18" s="484"/>
    </row>
    <row r="19" spans="1:14" s="485" customFormat="1" ht="12.75" customHeight="1" x14ac:dyDescent="0.2">
      <c r="A19" s="482" t="s">
        <v>1472</v>
      </c>
      <c r="B19" s="483">
        <v>250</v>
      </c>
      <c r="C19" s="477"/>
      <c r="D19" s="477"/>
      <c r="E19" s="477"/>
      <c r="F19" s="477"/>
      <c r="G19" s="477"/>
      <c r="H19" s="477"/>
      <c r="I19" s="477"/>
      <c r="J19" s="477"/>
      <c r="K19" s="477"/>
      <c r="L19" s="477"/>
      <c r="M19" s="467">
        <v>2716009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59804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12790196</v>
      </c>
    </row>
    <row r="23" spans="1:14" ht="13.5" customHeight="1" thickBot="1" x14ac:dyDescent="0.25">
      <c r="A23" s="1758" t="s">
        <v>664</v>
      </c>
      <c r="B23" s="1763"/>
      <c r="C23" s="468"/>
      <c r="D23" s="468"/>
      <c r="E23" s="468"/>
      <c r="F23" s="468"/>
      <c r="G23" s="468"/>
      <c r="H23" s="468"/>
      <c r="I23" s="468"/>
      <c r="J23" s="468"/>
      <c r="K23" s="468"/>
      <c r="L23" s="468"/>
      <c r="M23" s="1710">
        <f>SUM(M15:M22)</f>
        <v>49358791</v>
      </c>
      <c r="N23" s="1710">
        <f>SUM(N21:N22)</f>
        <v>12850000</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-3866</v>
      </c>
      <c r="D31" s="467">
        <v>4236</v>
      </c>
      <c r="E31" s="467"/>
      <c r="F31" s="466">
        <v>9696</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179516</v>
      </c>
      <c r="M33" s="468"/>
      <c r="N33" s="469"/>
    </row>
    <row r="34" spans="1:14" ht="13.5" customHeight="1" thickBot="1" x14ac:dyDescent="0.25">
      <c r="A34" s="1760" t="s">
        <v>675</v>
      </c>
      <c r="B34" s="1761"/>
      <c r="C34" s="1762">
        <f>SUM(C25:C33)</f>
        <v>-3866</v>
      </c>
      <c r="D34" s="1762">
        <f t="shared" ref="D34:K34" si="1">SUM(D25:D33)</f>
        <v>4236</v>
      </c>
      <c r="E34" s="1762">
        <f t="shared" si="1"/>
        <v>0</v>
      </c>
      <c r="F34" s="1762">
        <f t="shared" si="1"/>
        <v>9696</v>
      </c>
      <c r="G34" s="1762">
        <f t="shared" si="1"/>
        <v>0</v>
      </c>
      <c r="H34" s="1762">
        <f t="shared" si="1"/>
        <v>0</v>
      </c>
      <c r="I34" s="1762">
        <f t="shared" si="1"/>
        <v>0</v>
      </c>
      <c r="J34" s="1762">
        <f t="shared" si="1"/>
        <v>0</v>
      </c>
      <c r="K34" s="1762">
        <f t="shared" si="1"/>
        <v>0</v>
      </c>
      <c r="L34" s="1743">
        <f>SUM(L33)</f>
        <v>179516</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12850000</v>
      </c>
    </row>
    <row r="37" spans="1:14" ht="13.5" thickBot="1" x14ac:dyDescent="0.25">
      <c r="A37" s="1758" t="s">
        <v>674</v>
      </c>
      <c r="B37" s="1763"/>
      <c r="C37" s="477"/>
      <c r="D37" s="477"/>
      <c r="E37" s="477"/>
      <c r="F37" s="477"/>
      <c r="G37" s="477"/>
      <c r="H37" s="477"/>
      <c r="I37" s="477"/>
      <c r="J37" s="477"/>
      <c r="K37" s="477"/>
      <c r="L37" s="480"/>
      <c r="M37" s="468"/>
      <c r="N37" s="1710">
        <f>SUM(N36:N36)</f>
        <v>12850000</v>
      </c>
    </row>
    <row r="38" spans="1:14" s="329" customFormat="1" ht="13.5" customHeight="1" thickTop="1" x14ac:dyDescent="0.2">
      <c r="A38" s="496" t="s">
        <v>440</v>
      </c>
      <c r="B38" s="483">
        <v>714</v>
      </c>
      <c r="C38" s="466">
        <v>2962</v>
      </c>
      <c r="D38" s="466"/>
      <c r="E38" s="466"/>
      <c r="F38" s="466"/>
      <c r="G38" s="466">
        <v>340550</v>
      </c>
      <c r="H38" s="466"/>
      <c r="I38" s="466"/>
      <c r="J38" s="467"/>
      <c r="K38" s="466"/>
      <c r="L38" s="481"/>
      <c r="M38" s="497"/>
      <c r="N38" s="497"/>
    </row>
    <row r="39" spans="1:14" s="329" customFormat="1" ht="13.5" customHeight="1" x14ac:dyDescent="0.2">
      <c r="A39" s="496" t="s">
        <v>360</v>
      </c>
      <c r="B39" s="483">
        <v>730</v>
      </c>
      <c r="C39" s="466">
        <v>3663591</v>
      </c>
      <c r="D39" s="466">
        <v>339459</v>
      </c>
      <c r="E39" s="466">
        <v>59804</v>
      </c>
      <c r="F39" s="466">
        <v>321353</v>
      </c>
      <c r="G39" s="466"/>
      <c r="H39" s="466"/>
      <c r="I39" s="466">
        <v>113967</v>
      </c>
      <c r="J39" s="467">
        <v>272222</v>
      </c>
      <c r="K39" s="466">
        <v>420819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49358791</v>
      </c>
      <c r="N40" s="497"/>
    </row>
    <row r="41" spans="1:14" ht="13.5" customHeight="1" thickBot="1" x14ac:dyDescent="0.25">
      <c r="A41" s="1758" t="s">
        <v>676</v>
      </c>
      <c r="B41" s="1728"/>
      <c r="C41" s="1710">
        <f>(SUM(C34,C37,C38,C39))</f>
        <v>3662687</v>
      </c>
      <c r="D41" s="1710">
        <f t="shared" ref="D41:L41" si="2">SUM(D34,D37,D38:D39)</f>
        <v>343695</v>
      </c>
      <c r="E41" s="1710">
        <f t="shared" si="2"/>
        <v>59804</v>
      </c>
      <c r="F41" s="1710">
        <f t="shared" si="2"/>
        <v>331049</v>
      </c>
      <c r="G41" s="1710">
        <f t="shared" si="2"/>
        <v>340550</v>
      </c>
      <c r="H41" s="1710">
        <f t="shared" si="2"/>
        <v>0</v>
      </c>
      <c r="I41" s="1710">
        <f t="shared" si="2"/>
        <v>113967</v>
      </c>
      <c r="J41" s="1710">
        <f t="shared" si="2"/>
        <v>272222</v>
      </c>
      <c r="K41" s="1710">
        <f t="shared" si="2"/>
        <v>420819</v>
      </c>
      <c r="L41" s="1710">
        <f t="shared" si="2"/>
        <v>179516</v>
      </c>
      <c r="M41" s="1710">
        <f>SUM(M40)</f>
        <v>49358791</v>
      </c>
      <c r="N41" s="1710">
        <f>SUM(N37)</f>
        <v>12850000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D48" sqref="D48"/>
      <selection pane="bottomLeft" activeCell="E80" sqref="E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4" t="s">
        <v>1579</v>
      </c>
      <c r="B4" s="1955">
        <v>1000</v>
      </c>
      <c r="C4" s="1764">
        <f>'Revenues 9-14'!C109</f>
        <v>3598917</v>
      </c>
      <c r="D4" s="1764">
        <f>'Revenues 9-14'!D109</f>
        <v>531501</v>
      </c>
      <c r="E4" s="1764">
        <f>'Revenues 9-14'!E109</f>
        <v>1222978</v>
      </c>
      <c r="F4" s="1764">
        <f>'Revenues 9-14'!F109</f>
        <v>244794</v>
      </c>
      <c r="G4" s="1764">
        <f>'Revenues 9-14'!G109</f>
        <v>264332</v>
      </c>
      <c r="H4" s="1764">
        <f>'Revenues 9-14'!H109</f>
        <v>0</v>
      </c>
      <c r="I4" s="1764">
        <f>'Revenues 9-14'!I109</f>
        <v>52955</v>
      </c>
      <c r="J4" s="1764">
        <f>'Revenues 9-14'!J109</f>
        <v>215927</v>
      </c>
      <c r="K4" s="1764">
        <f>'Revenues 9-14'!K109</f>
        <v>53436</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4208754</v>
      </c>
      <c r="D6" s="1765">
        <f>'Revenues 9-14'!D173</f>
        <v>65000</v>
      </c>
      <c r="E6" s="1765">
        <f>'Revenues 9-14'!E173</f>
        <v>128711</v>
      </c>
      <c r="F6" s="1765">
        <f>'Revenues 9-14'!F173</f>
        <v>500324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539325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8346996</v>
      </c>
      <c r="D8" s="1710">
        <f t="shared" ref="D8:K8" si="0">SUM(D4:D7)</f>
        <v>596501</v>
      </c>
      <c r="E8" s="1710">
        <f t="shared" si="0"/>
        <v>1351689</v>
      </c>
      <c r="F8" s="1710">
        <f t="shared" si="0"/>
        <v>745118</v>
      </c>
      <c r="G8" s="1710">
        <f t="shared" si="0"/>
        <v>264332</v>
      </c>
      <c r="H8" s="1710">
        <f t="shared" si="0"/>
        <v>0</v>
      </c>
      <c r="I8" s="1710">
        <f t="shared" si="0"/>
        <v>52955</v>
      </c>
      <c r="J8" s="1710">
        <f t="shared" si="0"/>
        <v>215927</v>
      </c>
      <c r="K8" s="1710">
        <f t="shared" si="0"/>
        <v>53436</v>
      </c>
      <c r="L8" s="347"/>
    </row>
    <row r="9" spans="1:13" ht="15.75" thickTop="1" x14ac:dyDescent="0.2">
      <c r="A9" s="514" t="s">
        <v>1752</v>
      </c>
      <c r="B9" s="515">
        <v>3998</v>
      </c>
      <c r="C9" s="481">
        <v>3107824</v>
      </c>
      <c r="D9" s="516"/>
      <c r="E9" s="481"/>
      <c r="F9" s="481"/>
      <c r="G9" s="517"/>
      <c r="H9" s="481"/>
      <c r="I9" s="509" t="s">
        <v>1231</v>
      </c>
      <c r="J9" s="478"/>
      <c r="K9" s="481"/>
      <c r="L9" s="347"/>
    </row>
    <row r="10" spans="1:13" s="519" customFormat="1" ht="13.5" thickBot="1" x14ac:dyDescent="0.25">
      <c r="A10" s="1758" t="s">
        <v>1235</v>
      </c>
      <c r="B10" s="1731"/>
      <c r="C10" s="1710">
        <f>SUM(C8:C9)</f>
        <v>11454820</v>
      </c>
      <c r="D10" s="1710">
        <f t="shared" ref="D10:K10" si="1">SUM(D8:D9)</f>
        <v>596501</v>
      </c>
      <c r="E10" s="1710">
        <f t="shared" si="1"/>
        <v>1351689</v>
      </c>
      <c r="F10" s="1710">
        <f t="shared" si="1"/>
        <v>745118</v>
      </c>
      <c r="G10" s="1710">
        <f t="shared" si="1"/>
        <v>264332</v>
      </c>
      <c r="H10" s="1710">
        <f t="shared" si="1"/>
        <v>0</v>
      </c>
      <c r="I10" s="1710">
        <f t="shared" si="1"/>
        <v>52955</v>
      </c>
      <c r="J10" s="1710">
        <f t="shared" si="1"/>
        <v>215927</v>
      </c>
      <c r="K10" s="1710">
        <f t="shared" si="1"/>
        <v>53436</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4">
        <f>'Expenditures 15-22'!K33</f>
        <v>4917983</v>
      </c>
      <c r="D12" s="520" t="s">
        <v>1231</v>
      </c>
      <c r="E12" s="468" t="s">
        <v>1231</v>
      </c>
      <c r="F12" s="468" t="s">
        <v>1231</v>
      </c>
      <c r="G12" s="1764">
        <f>'Expenditures 15-22'!K229</f>
        <v>178090</v>
      </c>
      <c r="H12" s="521"/>
      <c r="I12" s="468" t="s">
        <v>1231</v>
      </c>
      <c r="J12" s="468" t="s">
        <v>1231</v>
      </c>
      <c r="K12" s="521" t="s">
        <v>1231</v>
      </c>
      <c r="L12" s="347"/>
    </row>
    <row r="13" spans="1:13" ht="15.75" customHeight="1" x14ac:dyDescent="0.2">
      <c r="A13" s="1598" t="s">
        <v>477</v>
      </c>
      <c r="B13" s="1600">
        <v>2000</v>
      </c>
      <c r="C13" s="1765">
        <f>'Expenditures 15-22'!K74</f>
        <v>2527150</v>
      </c>
      <c r="D13" s="1765">
        <f>'Expenditures 15-22'!K129</f>
        <v>715755</v>
      </c>
      <c r="E13" s="469" t="s">
        <v>1231</v>
      </c>
      <c r="F13" s="1765">
        <f>'Expenditures 15-22'!K184</f>
        <v>638735</v>
      </c>
      <c r="G13" s="1765">
        <f>'Expenditures 15-22'!K279</f>
        <v>51583</v>
      </c>
      <c r="H13" s="1765">
        <f>'Expenditures 15-22'!K303</f>
        <v>0</v>
      </c>
      <c r="I13" s="468" t="s">
        <v>1231</v>
      </c>
      <c r="J13" s="1765">
        <f>'Expenditures 15-22'!K330</f>
        <v>167069</v>
      </c>
      <c r="K13" s="1769">
        <f>'Expenditures 15-22'!K352</f>
        <v>7521</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553665</v>
      </c>
      <c r="D15" s="1765">
        <f>'Expenditures 15-22'!K139</f>
        <v>0</v>
      </c>
      <c r="E15" s="1765">
        <f>'Expenditures 15-22'!K160</f>
        <v>0</v>
      </c>
      <c r="F15" s="1765">
        <f>'Expenditures 15-22'!K196</f>
        <v>6205</v>
      </c>
      <c r="G15" s="1765">
        <f>'Expenditures 15-22'!K285</f>
        <v>24571</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1585790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7998798</v>
      </c>
      <c r="D17" s="1710">
        <f t="shared" si="2"/>
        <v>715755</v>
      </c>
      <c r="E17" s="1710">
        <f t="shared" si="2"/>
        <v>1585790</v>
      </c>
      <c r="F17" s="1710">
        <f t="shared" si="2"/>
        <v>644940</v>
      </c>
      <c r="G17" s="1710">
        <f t="shared" si="2"/>
        <v>254244</v>
      </c>
      <c r="H17" s="1710">
        <f t="shared" si="2"/>
        <v>0</v>
      </c>
      <c r="I17" s="468"/>
      <c r="J17" s="1710">
        <f>SUM(J12:J16)</f>
        <v>167069</v>
      </c>
      <c r="K17" s="1710">
        <f>SUM(K12:K16)</f>
        <v>7521</v>
      </c>
      <c r="L17" s="347"/>
    </row>
    <row r="18" spans="1:12" ht="15" customHeight="1" thickTop="1" x14ac:dyDescent="0.2">
      <c r="A18" s="1766" t="s">
        <v>1753</v>
      </c>
      <c r="B18" s="1767">
        <v>4180</v>
      </c>
      <c r="C18" s="1764">
        <f t="shared" ref="C18:H18" si="3">C9</f>
        <v>3107824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11106622</v>
      </c>
      <c r="D19" s="1710">
        <f t="shared" si="4"/>
        <v>715755</v>
      </c>
      <c r="E19" s="1710">
        <f t="shared" si="4"/>
        <v>1585790</v>
      </c>
      <c r="F19" s="1710">
        <f t="shared" si="4"/>
        <v>644940</v>
      </c>
      <c r="G19" s="1710">
        <f t="shared" si="4"/>
        <v>254244</v>
      </c>
      <c r="H19" s="1710">
        <f t="shared" si="4"/>
        <v>0</v>
      </c>
      <c r="I19" s="468"/>
      <c r="J19" s="1710">
        <f>SUM(J17:J18)</f>
        <v>167069</v>
      </c>
      <c r="K19" s="1710">
        <f>SUM(K17:K18)</f>
        <v>7521</v>
      </c>
      <c r="L19" s="347"/>
    </row>
    <row r="20" spans="1:12" ht="16.5" thickTop="1" thickBot="1" x14ac:dyDescent="0.25">
      <c r="A20" s="2146" t="s">
        <v>1754</v>
      </c>
      <c r="B20" s="2147"/>
      <c r="C20" s="1768">
        <f>C8-C17</f>
        <v>348198</v>
      </c>
      <c r="D20" s="1768">
        <f t="shared" ref="D20:K20" si="5">D8-D17</f>
        <v>-119254</v>
      </c>
      <c r="E20" s="1768">
        <f t="shared" si="5"/>
        <v>-234101</v>
      </c>
      <c r="F20" s="1768">
        <f t="shared" si="5"/>
        <v>100178</v>
      </c>
      <c r="G20" s="1768">
        <f t="shared" si="5"/>
        <v>10088</v>
      </c>
      <c r="H20" s="1768">
        <f t="shared" si="5"/>
        <v>0</v>
      </c>
      <c r="I20" s="1768">
        <f t="shared" si="5"/>
        <v>52955</v>
      </c>
      <c r="J20" s="1768">
        <f t="shared" si="5"/>
        <v>48858</v>
      </c>
      <c r="K20" s="1768">
        <f t="shared" si="5"/>
        <v>45915</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0" t="s">
        <v>392</v>
      </c>
      <c r="B44" s="2161"/>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6" t="s">
        <v>460</v>
      </c>
      <c r="B76" s="2137"/>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8" t="s">
        <v>1239</v>
      </c>
      <c r="B77" s="2139"/>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2" t="s">
        <v>618</v>
      </c>
      <c r="B78" s="2143"/>
      <c r="C78" s="1724">
        <f t="shared" ref="C78:K78" si="9">C20+C77</f>
        <v>348198</v>
      </c>
      <c r="D78" s="1724">
        <f t="shared" si="9"/>
        <v>-119254</v>
      </c>
      <c r="E78" s="1724">
        <f t="shared" si="9"/>
        <v>-234101</v>
      </c>
      <c r="F78" s="1724">
        <f t="shared" si="9"/>
        <v>100178</v>
      </c>
      <c r="G78" s="1724">
        <f t="shared" si="9"/>
        <v>10088</v>
      </c>
      <c r="H78" s="1724">
        <f t="shared" si="9"/>
        <v>0</v>
      </c>
      <c r="I78" s="1724">
        <f t="shared" si="9"/>
        <v>52955</v>
      </c>
      <c r="J78" s="1724">
        <f t="shared" si="9"/>
        <v>48858</v>
      </c>
      <c r="K78" s="1724">
        <f t="shared" si="9"/>
        <v>45915</v>
      </c>
      <c r="L78" s="533"/>
    </row>
    <row r="79" spans="1:12" ht="13.5" thickTop="1" x14ac:dyDescent="0.2">
      <c r="A79" s="1516" t="s">
        <v>2073</v>
      </c>
      <c r="B79" s="534"/>
      <c r="C79" s="478">
        <v>3318355</v>
      </c>
      <c r="D79" s="535">
        <v>458713</v>
      </c>
      <c r="E79" s="535">
        <v>1070068</v>
      </c>
      <c r="F79" s="535">
        <v>221175</v>
      </c>
      <c r="G79" s="535">
        <v>330462</v>
      </c>
      <c r="H79" s="535">
        <v>0</v>
      </c>
      <c r="I79" s="535">
        <v>61012</v>
      </c>
      <c r="J79" s="535">
        <v>223364</v>
      </c>
      <c r="K79" s="535">
        <v>374904</v>
      </c>
      <c r="L79" s="347"/>
    </row>
    <row r="80" spans="1:12" x14ac:dyDescent="0.2">
      <c r="A80" s="2148" t="s">
        <v>1898</v>
      </c>
      <c r="B80" s="2149"/>
      <c r="C80" s="467"/>
      <c r="D80" s="467"/>
      <c r="E80" s="467">
        <v>-776163</v>
      </c>
      <c r="F80" s="467"/>
      <c r="G80" s="467"/>
      <c r="H80" s="467"/>
      <c r="I80" s="467"/>
      <c r="J80" s="467"/>
      <c r="K80" s="467"/>
      <c r="L80" s="347"/>
    </row>
    <row r="81" spans="1:12" ht="13.5" thickBot="1" x14ac:dyDescent="0.25">
      <c r="A81" s="2140" t="s">
        <v>2074</v>
      </c>
      <c r="B81" s="2141"/>
      <c r="C81" s="1710">
        <f>(SUM(C78:C80))</f>
        <v>3666553</v>
      </c>
      <c r="D81" s="1710">
        <f>SUM(D78:D80)</f>
        <v>339459</v>
      </c>
      <c r="E81" s="1710">
        <f t="shared" ref="E81:K81" si="10">SUM(E78:E80)</f>
        <v>59804</v>
      </c>
      <c r="F81" s="1710">
        <f t="shared" si="10"/>
        <v>321353</v>
      </c>
      <c r="G81" s="1710">
        <f t="shared" si="10"/>
        <v>340550</v>
      </c>
      <c r="H81" s="1710">
        <f t="shared" si="10"/>
        <v>0</v>
      </c>
      <c r="I81" s="1710">
        <f t="shared" si="10"/>
        <v>113967</v>
      </c>
      <c r="J81" s="1710">
        <f t="shared" si="10"/>
        <v>272222</v>
      </c>
      <c r="K81" s="1710">
        <f t="shared" si="10"/>
        <v>420819</v>
      </c>
      <c r="L81" s="347"/>
    </row>
    <row r="82" spans="1:12" ht="0.75" customHeight="1" thickTop="1" thickBot="1" x14ac:dyDescent="0.25">
      <c r="A82" s="536" t="s">
        <v>361</v>
      </c>
      <c r="B82" s="537"/>
      <c r="C82" s="538">
        <f>(C81-C79)</f>
        <v>348198</v>
      </c>
      <c r="D82" s="538">
        <f t="shared" ref="D82:K82" si="11">(D81-D79)</f>
        <v>-119254</v>
      </c>
      <c r="E82" s="538">
        <f t="shared" si="11"/>
        <v>-1010264</v>
      </c>
      <c r="F82" s="538">
        <f t="shared" si="11"/>
        <v>100178</v>
      </c>
      <c r="G82" s="538">
        <f t="shared" si="11"/>
        <v>10088</v>
      </c>
      <c r="H82" s="538">
        <f t="shared" si="11"/>
        <v>0</v>
      </c>
      <c r="I82" s="538">
        <f t="shared" si="11"/>
        <v>52955</v>
      </c>
      <c r="J82" s="538">
        <f t="shared" si="11"/>
        <v>48858</v>
      </c>
      <c r="K82" s="538">
        <f t="shared" si="11"/>
        <v>45915</v>
      </c>
    </row>
    <row r="83" spans="1:12" ht="14.25" hidden="1" thickTop="1" thickBot="1" x14ac:dyDescent="0.25">
      <c r="A83" s="539" t="s">
        <v>362</v>
      </c>
      <c r="B83" s="464"/>
      <c r="C83" s="540">
        <f>C82/C81</f>
        <v>9.4966034856171444E-2</v>
      </c>
      <c r="D83" s="540">
        <f t="shared" ref="D83:K83" si="12">D82/D81</f>
        <v>-0.3513060487422634</v>
      </c>
      <c r="E83" s="540">
        <f t="shared" si="12"/>
        <v>-16.892916861748379</v>
      </c>
      <c r="F83" s="540">
        <f t="shared" si="12"/>
        <v>0.31173818199923448</v>
      </c>
      <c r="G83" s="540">
        <f t="shared" si="12"/>
        <v>2.962266921156952E-2</v>
      </c>
      <c r="H83" s="540" t="e">
        <f t="shared" si="12"/>
        <v>#DIV/0!</v>
      </c>
      <c r="I83" s="540">
        <f t="shared" si="12"/>
        <v>0.46465204839997543</v>
      </c>
      <c r="J83" s="540">
        <f t="shared" si="12"/>
        <v>0.17947851386001132</v>
      </c>
      <c r="K83" s="540">
        <f t="shared" si="12"/>
        <v>0.1091086666714193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E80" sqref="E80"/>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1905</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3070634</v>
      </c>
      <c r="D5" s="481">
        <v>529421</v>
      </c>
      <c r="E5" s="466">
        <v>563319</v>
      </c>
      <c r="F5" s="548">
        <v>211768</v>
      </c>
      <c r="G5" s="466">
        <v>40175</v>
      </c>
      <c r="H5" s="466"/>
      <c r="I5" s="466">
        <v>52941</v>
      </c>
      <c r="J5" s="467">
        <v>215832</v>
      </c>
      <c r="K5" s="466">
        <v>52941</v>
      </c>
    </row>
    <row r="6" spans="1:12" ht="15" x14ac:dyDescent="0.2">
      <c r="A6" s="463" t="s">
        <v>1761</v>
      </c>
      <c r="B6" s="470">
        <v>1130</v>
      </c>
      <c r="C6" s="466">
        <v>52941</v>
      </c>
      <c r="D6" s="466"/>
      <c r="E6" s="475"/>
      <c r="F6" s="475"/>
      <c r="G6" s="468"/>
      <c r="H6" s="468"/>
      <c r="I6" s="468"/>
      <c r="J6" s="468"/>
      <c r="K6" s="468"/>
    </row>
    <row r="7" spans="1:12" x14ac:dyDescent="0.2">
      <c r="A7" s="463" t="s">
        <v>112</v>
      </c>
      <c r="B7" s="549">
        <v>1140</v>
      </c>
      <c r="C7" s="466">
        <v>42353</v>
      </c>
      <c r="D7" s="466"/>
      <c r="E7" s="468"/>
      <c r="F7" s="467"/>
      <c r="G7" s="467"/>
      <c r="H7" s="467"/>
      <c r="I7" s="468"/>
      <c r="J7" s="468"/>
      <c r="K7" s="468"/>
    </row>
    <row r="8" spans="1:12" x14ac:dyDescent="0.2">
      <c r="A8" s="463" t="s">
        <v>433</v>
      </c>
      <c r="B8" s="470">
        <v>1150</v>
      </c>
      <c r="C8" s="475"/>
      <c r="D8" s="475"/>
      <c r="E8" s="477"/>
      <c r="F8" s="477"/>
      <c r="G8" s="481">
        <v>34382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3165928</v>
      </c>
      <c r="D12" s="1729">
        <f t="shared" si="0"/>
        <v>529421</v>
      </c>
      <c r="E12" s="1729">
        <f t="shared" si="0"/>
        <v>563319</v>
      </c>
      <c r="F12" s="1729">
        <f t="shared" si="0"/>
        <v>211768</v>
      </c>
      <c r="G12" s="1729">
        <f t="shared" si="0"/>
        <v>74557</v>
      </c>
      <c r="H12" s="1729">
        <f t="shared" si="0"/>
        <v>0</v>
      </c>
      <c r="I12" s="1729">
        <f t="shared" si="0"/>
        <v>52941</v>
      </c>
      <c r="J12" s="1729">
        <f t="shared" si="0"/>
        <v>215832</v>
      </c>
      <c r="K12" s="1710">
        <f t="shared" si="0"/>
        <v>52941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v>189045</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189045</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17726</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17726</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3568</v>
      </c>
      <c r="D65" s="466">
        <v>230</v>
      </c>
      <c r="E65" s="466">
        <v>109</v>
      </c>
      <c r="F65" s="467">
        <v>1692</v>
      </c>
      <c r="G65" s="466">
        <v>730</v>
      </c>
      <c r="H65" s="466"/>
      <c r="I65" s="466">
        <v>14</v>
      </c>
      <c r="J65" s="467">
        <v>95</v>
      </c>
      <c r="K65" s="466">
        <v>495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3568</v>
      </c>
      <c r="D67" s="1710">
        <f t="shared" ref="D67:K67" si="2">SUM(D65:D66)</f>
        <v>230</v>
      </c>
      <c r="E67" s="1710">
        <f t="shared" si="2"/>
        <v>109</v>
      </c>
      <c r="F67" s="1710">
        <f t="shared" si="2"/>
        <v>1692</v>
      </c>
      <c r="G67" s="1710">
        <f t="shared" si="2"/>
        <v>730</v>
      </c>
      <c r="H67" s="1710">
        <f t="shared" si="2"/>
        <v>0</v>
      </c>
      <c r="I67" s="1710">
        <f t="shared" si="2"/>
        <v>14</v>
      </c>
      <c r="J67" s="1710">
        <f t="shared" si="2"/>
        <v>95</v>
      </c>
      <c r="K67" s="1710">
        <f t="shared" si="2"/>
        <v>495</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241082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718</v>
      </c>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241800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30016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11800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41816</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75448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v>3402</v>
      </c>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78850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31525</v>
      </c>
      <c r="D96" s="551">
        <v>1850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4115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659550</v>
      </c>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1350</v>
      </c>
      <c r="D106" s="489"/>
      <c r="E106" s="467"/>
      <c r="F106" s="467"/>
      <c r="G106" s="467"/>
      <c r="H106" s="467"/>
      <c r="I106" s="521"/>
      <c r="J106" s="467"/>
      <c r="K106" s="467"/>
    </row>
    <row r="107" spans="1:12" ht="12.75" customHeight="1" x14ac:dyDescent="0.2">
      <c r="A107" s="463" t="s">
        <v>80</v>
      </c>
      <c r="B107" s="470">
        <v>1999</v>
      </c>
      <c r="C107" s="551">
        <v>12239</v>
      </c>
      <c r="D107" s="466"/>
      <c r="E107" s="466"/>
      <c r="F107" s="466">
        <v>31334</v>
      </c>
      <c r="G107" s="466"/>
      <c r="H107" s="466"/>
      <c r="I107" s="466"/>
      <c r="J107" s="467"/>
      <c r="K107" s="466"/>
    </row>
    <row r="108" spans="1:12" ht="12.75" customHeight="1" thickBot="1" x14ac:dyDescent="0.25">
      <c r="A108" s="1730" t="s">
        <v>508</v>
      </c>
      <c r="B108" s="1734"/>
      <c r="C108" s="1729">
        <f>SUM(C95:C107)</f>
        <v>49229</v>
      </c>
      <c r="D108" s="1729">
        <f t="shared" ref="D108:K108" si="3">SUM(D95:D107)</f>
        <v>1850</v>
      </c>
      <c r="E108" s="1729">
        <f t="shared" si="3"/>
        <v>659550</v>
      </c>
      <c r="F108" s="1729">
        <f t="shared" si="3"/>
        <v>31334</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3598917</v>
      </c>
      <c r="D109" s="1737">
        <f t="shared" si="4"/>
        <v>531501</v>
      </c>
      <c r="E109" s="1737">
        <f t="shared" si="4"/>
        <v>1222978</v>
      </c>
      <c r="F109" s="1737">
        <f t="shared" si="4"/>
        <v>244794</v>
      </c>
      <c r="G109" s="1737">
        <f t="shared" si="4"/>
        <v>264332</v>
      </c>
      <c r="H109" s="1737">
        <f t="shared" si="4"/>
        <v>0</v>
      </c>
      <c r="I109" s="1737">
        <f t="shared" si="4"/>
        <v>52955</v>
      </c>
      <c r="J109" s="1737">
        <f t="shared" si="4"/>
        <v>215927</v>
      </c>
      <c r="K109" s="1724">
        <f t="shared" si="4"/>
        <v>53436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3801977</v>
      </c>
      <c r="D117" s="481">
        <v>65000</v>
      </c>
      <c r="E117" s="466">
        <v>128711</v>
      </c>
      <c r="F117" s="481">
        <v>100000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3801977</v>
      </c>
      <c r="D121" s="1729">
        <f t="shared" si="5"/>
        <v>65000</v>
      </c>
      <c r="E121" s="1729">
        <f t="shared" si="5"/>
        <v>128711</v>
      </c>
      <c r="F121" s="1729">
        <f t="shared" si="5"/>
        <v>100000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14473</v>
      </c>
      <c r="D124" s="561"/>
      <c r="E124" s="468"/>
      <c r="F124" s="548"/>
      <c r="G124" s="468"/>
      <c r="H124" s="468"/>
      <c r="I124" s="468"/>
      <c r="J124" s="468"/>
      <c r="K124" s="468"/>
    </row>
    <row r="125" spans="1:11" ht="12.75" customHeight="1" x14ac:dyDescent="0.2">
      <c r="A125" s="463" t="s">
        <v>1521</v>
      </c>
      <c r="B125" s="562">
        <v>3105</v>
      </c>
      <c r="C125" s="466">
        <v>72085</v>
      </c>
      <c r="D125" s="561"/>
      <c r="E125" s="468"/>
      <c r="F125" s="466"/>
      <c r="G125" s="468"/>
      <c r="H125" s="468"/>
      <c r="I125" s="468"/>
      <c r="J125" s="468"/>
      <c r="K125" s="468"/>
    </row>
    <row r="126" spans="1:11" ht="12.75" customHeight="1" x14ac:dyDescent="0.2">
      <c r="A126" s="463" t="s">
        <v>922</v>
      </c>
      <c r="B126" s="562">
        <v>3110</v>
      </c>
      <c r="C126" s="551">
        <v>35728</v>
      </c>
      <c r="D126" s="466"/>
      <c r="E126" s="468"/>
      <c r="F126" s="466"/>
      <c r="G126" s="468"/>
      <c r="H126" s="468"/>
      <c r="I126" s="468"/>
      <c r="J126" s="468"/>
      <c r="K126" s="468"/>
    </row>
    <row r="127" spans="1:11" ht="12.75" customHeight="1" x14ac:dyDescent="0.2">
      <c r="A127" s="463" t="s">
        <v>107</v>
      </c>
      <c r="B127" s="562">
        <v>3120</v>
      </c>
      <c r="C127" s="466">
        <v>6275</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128561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4069</v>
      </c>
      <c r="D139" s="466"/>
      <c r="E139" s="561"/>
      <c r="F139" s="477"/>
      <c r="G139" s="467"/>
      <c r="H139" s="468"/>
      <c r="I139" s="468"/>
      <c r="J139" s="468"/>
      <c r="K139" s="468"/>
    </row>
    <row r="140" spans="1:11" ht="12.75" customHeight="1" thickBot="1" x14ac:dyDescent="0.25">
      <c r="A140" s="1730" t="s">
        <v>624</v>
      </c>
      <c r="B140" s="1742"/>
      <c r="C140" s="1729">
        <f>SUM(C133:C139)</f>
        <v>4069</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3869</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16623</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275367</v>
      </c>
      <c r="G151" s="467"/>
      <c r="H151" s="468"/>
      <c r="I151" s="468"/>
      <c r="J151" s="468"/>
      <c r="K151" s="468"/>
    </row>
    <row r="152" spans="1:11" ht="12.75" customHeight="1" x14ac:dyDescent="0.2">
      <c r="A152" s="463" t="s">
        <v>1117</v>
      </c>
      <c r="B152" s="562">
        <v>3510</v>
      </c>
      <c r="C152" s="551"/>
      <c r="D152" s="466"/>
      <c r="E152" s="561"/>
      <c r="F152" s="466">
        <v>124957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400324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253655</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4" t="s">
        <v>418</v>
      </c>
      <c r="B172" s="2165"/>
      <c r="C172" s="1744">
        <f t="shared" ref="C172:K172" si="6">SUM(C131,C140,C144,C145:C149,C154,C155:C170,C171)</f>
        <v>406777</v>
      </c>
      <c r="D172" s="1744">
        <f t="shared" si="6"/>
        <v>0</v>
      </c>
      <c r="E172" s="1744">
        <f t="shared" si="6"/>
        <v>0</v>
      </c>
      <c r="F172" s="1744">
        <f t="shared" si="6"/>
        <v>400324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4208754</v>
      </c>
      <c r="D173" s="1737">
        <f>SUM(D121,D172)</f>
        <v>65000</v>
      </c>
      <c r="E173" s="1737">
        <f>SUM(E121,E172)</f>
        <v>128711</v>
      </c>
      <c r="F173" s="1737">
        <f t="shared" ref="F173:K173" si="7">SUM(F121,F172)</f>
        <v>500324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1764</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2" t="s">
        <v>818</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1906</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231768</v>
      </c>
      <c r="D194" s="468"/>
      <c r="E194" s="561"/>
      <c r="F194" s="468"/>
      <c r="G194" s="585"/>
      <c r="H194" s="468"/>
      <c r="I194" s="468"/>
      <c r="J194" s="468"/>
      <c r="K194" s="468"/>
    </row>
    <row r="195" spans="1:11" ht="12.75" customHeight="1" x14ac:dyDescent="0.2">
      <c r="A195" s="463" t="s">
        <v>1107</v>
      </c>
      <c r="B195" s="470">
        <v>4215</v>
      </c>
      <c r="C195" s="551">
        <v>1183</v>
      </c>
      <c r="D195" s="468"/>
      <c r="E195" s="561"/>
      <c r="F195" s="468"/>
      <c r="G195" s="585"/>
      <c r="H195" s="468"/>
      <c r="I195" s="468"/>
      <c r="J195" s="468"/>
      <c r="K195" s="468"/>
    </row>
    <row r="196" spans="1:11" ht="12.75" customHeight="1" x14ac:dyDescent="0.2">
      <c r="A196" s="463" t="s">
        <v>1119</v>
      </c>
      <c r="B196" s="470">
        <v>4220</v>
      </c>
      <c r="C196" s="551">
        <v>63405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296356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165555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165555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44140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15910</v>
      </c>
      <c r="D271" s="576"/>
      <c r="E271" s="468"/>
      <c r="F271" s="576"/>
      <c r="G271" s="576"/>
      <c r="H271" s="468"/>
      <c r="I271" s="468"/>
      <c r="J271" s="468"/>
      <c r="K271" s="468"/>
    </row>
    <row r="272" spans="1:11" s="594" customFormat="1" ht="12.75" customHeight="1" thickTop="1" thickBot="1" x14ac:dyDescent="0.25">
      <c r="A272" s="563" t="s">
        <v>77</v>
      </c>
      <c r="B272" s="557">
        <v>4999</v>
      </c>
      <c r="C272" s="575">
        <v>17364</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539325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539325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8346996</v>
      </c>
      <c r="D275" s="1737">
        <f t="shared" si="12"/>
        <v>596501</v>
      </c>
      <c r="E275" s="1737">
        <f t="shared" si="12"/>
        <v>1351689</v>
      </c>
      <c r="F275" s="1737">
        <f t="shared" si="12"/>
        <v>745118</v>
      </c>
      <c r="G275" s="1737">
        <f t="shared" si="12"/>
        <v>264332</v>
      </c>
      <c r="H275" s="1737">
        <f t="shared" si="12"/>
        <v>0</v>
      </c>
      <c r="I275" s="1737">
        <f t="shared" si="12"/>
        <v>52955</v>
      </c>
      <c r="J275" s="1737">
        <f t="shared" si="12"/>
        <v>215927</v>
      </c>
      <c r="K275" s="1724">
        <f t="shared" si="12"/>
        <v>53436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&amp;F&amp;RThe notes to the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8" activePane="bottomLeft" state="frozen"/>
      <selection activeCell="E80" sqref="E80"/>
      <selection pane="bottomLeft" activeCell="E80" sqref="E8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3183531</v>
      </c>
      <c r="D5" s="466">
        <v>457831</v>
      </c>
      <c r="E5" s="466">
        <v>2872</v>
      </c>
      <c r="F5" s="466">
        <v>199656</v>
      </c>
      <c r="G5" s="466">
        <v>1476</v>
      </c>
      <c r="H5" s="466"/>
      <c r="I5" s="467"/>
      <c r="J5" s="467"/>
      <c r="K5" s="1693">
        <f>SUM(C5:J5)</f>
        <v>3845366</v>
      </c>
      <c r="L5" s="466">
        <v>3855687</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124024</v>
      </c>
      <c r="D7" s="467">
        <v>13237</v>
      </c>
      <c r="E7" s="467"/>
      <c r="F7" s="467">
        <v>2030</v>
      </c>
      <c r="G7" s="467"/>
      <c r="H7" s="467"/>
      <c r="I7" s="467"/>
      <c r="J7" s="467"/>
      <c r="K7" s="1693">
        <f t="shared" ref="K7:K32" si="0">SUM(C7:J7)</f>
        <v>139291</v>
      </c>
      <c r="L7" s="466">
        <v>139761</v>
      </c>
    </row>
    <row r="8" spans="1:14" x14ac:dyDescent="0.2">
      <c r="A8" s="1526" t="s">
        <v>166</v>
      </c>
      <c r="B8" s="615">
        <v>1200</v>
      </c>
      <c r="C8" s="466">
        <v>384713</v>
      </c>
      <c r="D8" s="466">
        <v>68712</v>
      </c>
      <c r="E8" s="466"/>
      <c r="F8" s="466">
        <v>3811</v>
      </c>
      <c r="G8" s="466"/>
      <c r="H8" s="466"/>
      <c r="I8" s="467"/>
      <c r="J8" s="467"/>
      <c r="K8" s="1693">
        <f t="shared" si="0"/>
        <v>457236</v>
      </c>
      <c r="L8" s="466">
        <v>475457</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107147</v>
      </c>
      <c r="D10" s="466">
        <v>17270</v>
      </c>
      <c r="E10" s="466"/>
      <c r="F10" s="466">
        <v>29339</v>
      </c>
      <c r="G10" s="466"/>
      <c r="H10" s="466"/>
      <c r="I10" s="467"/>
      <c r="J10" s="467"/>
      <c r="K10" s="1693">
        <f t="shared" si="0"/>
        <v>153756</v>
      </c>
      <c r="L10" s="466">
        <v>154279</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v>-87</v>
      </c>
      <c r="F13" s="466"/>
      <c r="G13" s="466"/>
      <c r="H13" s="466"/>
      <c r="I13" s="467"/>
      <c r="J13" s="467"/>
      <c r="K13" s="1693">
        <f t="shared" si="0"/>
        <v>-87</v>
      </c>
      <c r="L13" s="466"/>
    </row>
    <row r="14" spans="1:14" x14ac:dyDescent="0.2">
      <c r="A14" s="1526" t="s">
        <v>1020</v>
      </c>
      <c r="B14" s="615">
        <v>1500</v>
      </c>
      <c r="C14" s="466">
        <v>215568</v>
      </c>
      <c r="D14" s="466"/>
      <c r="E14" s="466">
        <v>44172</v>
      </c>
      <c r="F14" s="466">
        <v>27324</v>
      </c>
      <c r="G14" s="466"/>
      <c r="H14" s="466">
        <v>17581</v>
      </c>
      <c r="I14" s="467"/>
      <c r="J14" s="467"/>
      <c r="K14" s="1693">
        <f t="shared" si="0"/>
        <v>304645</v>
      </c>
      <c r="L14" s="466">
        <v>311975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13668</v>
      </c>
      <c r="D17" s="467">
        <v>593</v>
      </c>
      <c r="E17" s="467">
        <v>3515</v>
      </c>
      <c r="F17" s="467"/>
      <c r="G17" s="467"/>
      <c r="H17" s="467"/>
      <c r="I17" s="467"/>
      <c r="J17" s="467"/>
      <c r="K17" s="1693">
        <f t="shared" si="0"/>
        <v>17776</v>
      </c>
      <c r="L17" s="466">
        <v>17700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4028651</v>
      </c>
      <c r="D33" s="1692">
        <f t="shared" ref="D33:L33" si="1">SUM(D5:D32)</f>
        <v>557643</v>
      </c>
      <c r="E33" s="1692">
        <f t="shared" si="1"/>
        <v>50472</v>
      </c>
      <c r="F33" s="1692">
        <f t="shared" si="1"/>
        <v>262160</v>
      </c>
      <c r="G33" s="1692">
        <f t="shared" si="1"/>
        <v>1476</v>
      </c>
      <c r="H33" s="1692">
        <f t="shared" si="1"/>
        <v>17581</v>
      </c>
      <c r="I33" s="1692">
        <f t="shared" si="1"/>
        <v>0</v>
      </c>
      <c r="J33" s="1692">
        <f t="shared" si="1"/>
        <v>0</v>
      </c>
      <c r="K33" s="1692">
        <f t="shared" si="1"/>
        <v>4917983</v>
      </c>
      <c r="L33" s="1692">
        <f t="shared" si="1"/>
        <v>4954859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187477</v>
      </c>
      <c r="D37" s="466">
        <v>37104</v>
      </c>
      <c r="E37" s="466"/>
      <c r="F37" s="466">
        <v>1286</v>
      </c>
      <c r="G37" s="466"/>
      <c r="H37" s="466">
        <v>1482</v>
      </c>
      <c r="I37" s="467"/>
      <c r="J37" s="467"/>
      <c r="K37" s="1693">
        <f t="shared" si="2"/>
        <v>227349</v>
      </c>
      <c r="L37" s="466">
        <v>223321</v>
      </c>
    </row>
    <row r="38" spans="1:14" x14ac:dyDescent="0.2">
      <c r="A38" s="1526" t="s">
        <v>207</v>
      </c>
      <c r="B38" s="615">
        <v>2130</v>
      </c>
      <c r="C38" s="466">
        <v>52382</v>
      </c>
      <c r="D38" s="466">
        <v>7157</v>
      </c>
      <c r="E38" s="466">
        <v>3634</v>
      </c>
      <c r="F38" s="466">
        <v>3126</v>
      </c>
      <c r="G38" s="466">
        <v>1147</v>
      </c>
      <c r="H38" s="466"/>
      <c r="I38" s="467"/>
      <c r="J38" s="467"/>
      <c r="K38" s="1693">
        <f t="shared" si="2"/>
        <v>67446</v>
      </c>
      <c r="L38" s="466">
        <v>67521</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v>1423</v>
      </c>
      <c r="D41" s="466"/>
      <c r="E41" s="466"/>
      <c r="F41" s="466"/>
      <c r="G41" s="466"/>
      <c r="H41" s="466"/>
      <c r="I41" s="467"/>
      <c r="J41" s="467"/>
      <c r="K41" s="1693">
        <f t="shared" si="2"/>
        <v>1423</v>
      </c>
      <c r="L41" s="466">
        <v>1400</v>
      </c>
    </row>
    <row r="42" spans="1:14" ht="12.75" customHeight="1" thickBot="1" x14ac:dyDescent="0.25">
      <c r="A42" s="1690" t="s">
        <v>581</v>
      </c>
      <c r="B42" s="1691" t="s">
        <v>740</v>
      </c>
      <c r="C42" s="1692">
        <f>SUM(C36:C41)</f>
        <v>241282</v>
      </c>
      <c r="D42" s="1692">
        <f t="shared" ref="D42:L42" si="3">SUM(D36:D41)</f>
        <v>44261</v>
      </c>
      <c r="E42" s="1692">
        <f t="shared" si="3"/>
        <v>3634</v>
      </c>
      <c r="F42" s="1692">
        <f t="shared" si="3"/>
        <v>4412</v>
      </c>
      <c r="G42" s="1692">
        <f t="shared" si="3"/>
        <v>1147</v>
      </c>
      <c r="H42" s="1692">
        <f t="shared" si="3"/>
        <v>1482</v>
      </c>
      <c r="I42" s="1692">
        <f t="shared" si="3"/>
        <v>0</v>
      </c>
      <c r="J42" s="1692">
        <f t="shared" si="3"/>
        <v>0</v>
      </c>
      <c r="K42" s="1692">
        <f t="shared" si="3"/>
        <v>296218</v>
      </c>
      <c r="L42" s="1692">
        <f t="shared" si="3"/>
        <v>292242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v>97503</v>
      </c>
      <c r="D45" s="466">
        <v>10185</v>
      </c>
      <c r="E45" s="466">
        <v>151161</v>
      </c>
      <c r="F45" s="466">
        <v>75716</v>
      </c>
      <c r="G45" s="466">
        <v>6116</v>
      </c>
      <c r="H45" s="466"/>
      <c r="I45" s="467"/>
      <c r="J45" s="467"/>
      <c r="K45" s="1694">
        <f>SUM(C45:J45)</f>
        <v>340681</v>
      </c>
      <c r="L45" s="466">
        <v>343751</v>
      </c>
    </row>
    <row r="46" spans="1:14" x14ac:dyDescent="0.2">
      <c r="A46" s="1526" t="s">
        <v>870</v>
      </c>
      <c r="B46" s="615">
        <v>2230</v>
      </c>
      <c r="C46" s="466"/>
      <c r="D46" s="466"/>
      <c r="E46" s="466"/>
      <c r="F46" s="466"/>
      <c r="G46" s="466"/>
      <c r="H46" s="466"/>
      <c r="I46" s="467"/>
      <c r="J46" s="467"/>
      <c r="K46" s="1694">
        <f>SUM(C46:J46)</f>
        <v>0</v>
      </c>
      <c r="L46" s="466">
        <v>50000</v>
      </c>
    </row>
    <row r="47" spans="1:14" ht="12.75" customHeight="1" thickBot="1" x14ac:dyDescent="0.25">
      <c r="A47" s="1690" t="s">
        <v>582</v>
      </c>
      <c r="B47" s="1691" t="s">
        <v>32</v>
      </c>
      <c r="C47" s="1692">
        <f>SUM(C44:C46)</f>
        <v>97503</v>
      </c>
      <c r="D47" s="1692">
        <f t="shared" ref="D47:K47" si="4">SUM(D44:D46)</f>
        <v>10185</v>
      </c>
      <c r="E47" s="1692">
        <f t="shared" si="4"/>
        <v>151161</v>
      </c>
      <c r="F47" s="1692">
        <f t="shared" si="4"/>
        <v>75716</v>
      </c>
      <c r="G47" s="1692">
        <f t="shared" si="4"/>
        <v>6116</v>
      </c>
      <c r="H47" s="1692">
        <f t="shared" si="4"/>
        <v>0</v>
      </c>
      <c r="I47" s="1692">
        <f t="shared" si="4"/>
        <v>0</v>
      </c>
      <c r="J47" s="1692">
        <f t="shared" si="4"/>
        <v>0</v>
      </c>
      <c r="K47" s="1692">
        <f t="shared" si="4"/>
        <v>340681</v>
      </c>
      <c r="L47" s="1692">
        <f>SUM(L44:L46)</f>
        <v>393751</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3054</v>
      </c>
      <c r="D49" s="481">
        <v>59800</v>
      </c>
      <c r="E49" s="481">
        <v>111963</v>
      </c>
      <c r="F49" s="481">
        <v>60448</v>
      </c>
      <c r="G49" s="481"/>
      <c r="H49" s="481">
        <v>38400</v>
      </c>
      <c r="I49" s="467"/>
      <c r="J49" s="467"/>
      <c r="K49" s="1694">
        <f>SUM(C49:J49)</f>
        <v>273665</v>
      </c>
      <c r="L49" s="481">
        <v>286896</v>
      </c>
    </row>
    <row r="50" spans="1:14" x14ac:dyDescent="0.2">
      <c r="A50" s="1526" t="s">
        <v>872</v>
      </c>
      <c r="B50" s="615">
        <v>2320</v>
      </c>
      <c r="C50" s="466">
        <v>170130</v>
      </c>
      <c r="D50" s="466">
        <v>31103</v>
      </c>
      <c r="E50" s="466">
        <v>838</v>
      </c>
      <c r="F50" s="466">
        <v>960</v>
      </c>
      <c r="G50" s="466"/>
      <c r="H50" s="466">
        <v>3888</v>
      </c>
      <c r="I50" s="467"/>
      <c r="J50" s="467"/>
      <c r="K50" s="1694">
        <f>SUM(C50:J50)</f>
        <v>206919</v>
      </c>
      <c r="L50" s="466">
        <v>198451</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173184</v>
      </c>
      <c r="D53" s="1692">
        <f t="shared" ref="D53:L53" si="5">SUM(D49:D52)</f>
        <v>90903</v>
      </c>
      <c r="E53" s="1692">
        <f t="shared" si="5"/>
        <v>112801</v>
      </c>
      <c r="F53" s="1692">
        <f t="shared" si="5"/>
        <v>61408</v>
      </c>
      <c r="G53" s="1692">
        <f t="shared" si="5"/>
        <v>0</v>
      </c>
      <c r="H53" s="1692">
        <f t="shared" si="5"/>
        <v>42288</v>
      </c>
      <c r="I53" s="1692">
        <f t="shared" si="5"/>
        <v>0</v>
      </c>
      <c r="J53" s="1692">
        <f t="shared" si="5"/>
        <v>0</v>
      </c>
      <c r="K53" s="1692">
        <f t="shared" si="5"/>
        <v>480584</v>
      </c>
      <c r="L53" s="1692">
        <f t="shared" si="5"/>
        <v>485347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406430</v>
      </c>
      <c r="D55" s="481">
        <v>86304</v>
      </c>
      <c r="E55" s="481">
        <v>459</v>
      </c>
      <c r="F55" s="481"/>
      <c r="G55" s="481"/>
      <c r="H55" s="481">
        <v>3293</v>
      </c>
      <c r="I55" s="467"/>
      <c r="J55" s="467"/>
      <c r="K55" s="1694">
        <f>SUM(C55:J55)</f>
        <v>496486</v>
      </c>
      <c r="L55" s="481">
        <v>498250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406430</v>
      </c>
      <c r="D57" s="1696">
        <f t="shared" ref="D57:K57" si="6">SUM(D55:D56)</f>
        <v>86304</v>
      </c>
      <c r="E57" s="1696">
        <f t="shared" si="6"/>
        <v>459</v>
      </c>
      <c r="F57" s="1696">
        <f t="shared" si="6"/>
        <v>0</v>
      </c>
      <c r="G57" s="1696">
        <f t="shared" si="6"/>
        <v>0</v>
      </c>
      <c r="H57" s="1696">
        <f t="shared" si="6"/>
        <v>3293</v>
      </c>
      <c r="I57" s="1696">
        <f t="shared" si="6"/>
        <v>0</v>
      </c>
      <c r="J57" s="1696">
        <f t="shared" si="6"/>
        <v>0</v>
      </c>
      <c r="K57" s="1696">
        <f t="shared" si="6"/>
        <v>496486</v>
      </c>
      <c r="L57" s="1692">
        <f>SUM(L55:L56)</f>
        <v>498250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47939</v>
      </c>
      <c r="D60" s="466">
        <v>67</v>
      </c>
      <c r="E60" s="466"/>
      <c r="F60" s="466">
        <v>1515</v>
      </c>
      <c r="G60" s="466"/>
      <c r="H60" s="466"/>
      <c r="I60" s="467"/>
      <c r="J60" s="467"/>
      <c r="K60" s="1694">
        <f t="shared" si="7"/>
        <v>49521</v>
      </c>
      <c r="L60" s="466">
        <v>59164</v>
      </c>
      <c r="M60" s="610"/>
      <c r="N60" s="610"/>
    </row>
    <row r="61" spans="1:14" s="343" customFormat="1" x14ac:dyDescent="0.2">
      <c r="A61" s="1526" t="s">
        <v>206</v>
      </c>
      <c r="B61" s="615">
        <v>2540</v>
      </c>
      <c r="C61" s="466"/>
      <c r="D61" s="466"/>
      <c r="E61" s="466">
        <v>56440</v>
      </c>
      <c r="F61" s="466">
        <v>227088</v>
      </c>
      <c r="G61" s="466"/>
      <c r="H61" s="466"/>
      <c r="I61" s="467"/>
      <c r="J61" s="467"/>
      <c r="K61" s="1694">
        <f t="shared" si="7"/>
        <v>283528</v>
      </c>
      <c r="L61" s="466">
        <v>282850</v>
      </c>
      <c r="M61" s="610"/>
      <c r="N61" s="610"/>
    </row>
    <row r="62" spans="1:14" s="343" customFormat="1" x14ac:dyDescent="0.2">
      <c r="A62" s="1526" t="s">
        <v>1010</v>
      </c>
      <c r="B62" s="615">
        <v>2550</v>
      </c>
      <c r="C62" s="466"/>
      <c r="D62" s="466"/>
      <c r="E62" s="466">
        <v>1291</v>
      </c>
      <c r="F62" s="466">
        <v>8995</v>
      </c>
      <c r="G62" s="466"/>
      <c r="H62" s="466"/>
      <c r="I62" s="467"/>
      <c r="J62" s="467"/>
      <c r="K62" s="1694">
        <f t="shared" si="7"/>
        <v>10286</v>
      </c>
      <c r="L62" s="466">
        <v>10300</v>
      </c>
      <c r="M62" s="610"/>
      <c r="N62" s="610"/>
    </row>
    <row r="63" spans="1:14" s="610" customFormat="1" x14ac:dyDescent="0.2">
      <c r="A63" s="1526" t="s">
        <v>102</v>
      </c>
      <c r="B63" s="615">
        <v>2560</v>
      </c>
      <c r="C63" s="466">
        <v>179561</v>
      </c>
      <c r="D63" s="466">
        <v>19420</v>
      </c>
      <c r="E63" s="466">
        <v>4598</v>
      </c>
      <c r="F63" s="466">
        <v>365477</v>
      </c>
      <c r="G63" s="466"/>
      <c r="H63" s="466">
        <v>790</v>
      </c>
      <c r="I63" s="467"/>
      <c r="J63" s="467"/>
      <c r="K63" s="1694">
        <f t="shared" si="7"/>
        <v>569846</v>
      </c>
      <c r="L63" s="466">
        <v>574753</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227500</v>
      </c>
      <c r="D65" s="1692">
        <f t="shared" ref="D65:L65" si="8">SUM(D59:D64)</f>
        <v>19487</v>
      </c>
      <c r="E65" s="1692">
        <f t="shared" si="8"/>
        <v>62329</v>
      </c>
      <c r="F65" s="1692">
        <f t="shared" si="8"/>
        <v>603075</v>
      </c>
      <c r="G65" s="1692">
        <f t="shared" si="8"/>
        <v>0</v>
      </c>
      <c r="H65" s="1692">
        <f t="shared" si="8"/>
        <v>790</v>
      </c>
      <c r="I65" s="1692">
        <f t="shared" si="8"/>
        <v>0</v>
      </c>
      <c r="J65" s="1692">
        <f t="shared" si="8"/>
        <v>0</v>
      </c>
      <c r="K65" s="1692">
        <f t="shared" si="8"/>
        <v>913181</v>
      </c>
      <c r="L65" s="1692">
        <f t="shared" si="8"/>
        <v>927067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1145899</v>
      </c>
      <c r="D74" s="1699">
        <f t="shared" ref="D74:K74" si="10">SUM(D42,D47,D53,D57,D65,D72,D73)</f>
        <v>251140</v>
      </c>
      <c r="E74" s="1699">
        <f t="shared" si="10"/>
        <v>330384</v>
      </c>
      <c r="F74" s="1699">
        <f t="shared" si="10"/>
        <v>744611</v>
      </c>
      <c r="G74" s="1699">
        <f t="shared" si="10"/>
        <v>7263</v>
      </c>
      <c r="H74" s="1699">
        <f t="shared" si="10"/>
        <v>47853</v>
      </c>
      <c r="I74" s="1699">
        <f t="shared" si="10"/>
        <v>0</v>
      </c>
      <c r="J74" s="1699">
        <f t="shared" si="10"/>
        <v>0</v>
      </c>
      <c r="K74" s="1699">
        <f t="shared" si="10"/>
        <v>2527150</v>
      </c>
      <c r="L74" s="1699">
        <f>SUM(L42,L47,L53,L57,L65,L72,L73)</f>
        <v>2596657</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28367</v>
      </c>
      <c r="F78" s="617"/>
      <c r="G78" s="617"/>
      <c r="H78" s="635"/>
      <c r="I78" s="477"/>
      <c r="J78" s="477"/>
      <c r="K78" s="1693">
        <f t="shared" ref="K78:K83" si="11">SUM(C78:J78)</f>
        <v>28367</v>
      </c>
      <c r="L78" s="481">
        <v>28217</v>
      </c>
    </row>
    <row r="79" spans="1:14" x14ac:dyDescent="0.2">
      <c r="A79" s="1526" t="s">
        <v>322</v>
      </c>
      <c r="B79" s="615">
        <v>4120</v>
      </c>
      <c r="C79" s="617"/>
      <c r="D79" s="617"/>
      <c r="E79" s="466">
        <v>466173</v>
      </c>
      <c r="F79" s="617"/>
      <c r="G79" s="617"/>
      <c r="H79" s="466"/>
      <c r="I79" s="477"/>
      <c r="J79" s="477"/>
      <c r="K79" s="1693">
        <f t="shared" si="11"/>
        <v>466173</v>
      </c>
      <c r="L79" s="466">
        <v>515314</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59125</v>
      </c>
      <c r="F81" s="617"/>
      <c r="G81" s="617"/>
      <c r="H81" s="466"/>
      <c r="I81" s="477"/>
      <c r="J81" s="477"/>
      <c r="K81" s="1693">
        <f t="shared" si="11"/>
        <v>59125</v>
      </c>
      <c r="L81" s="466">
        <v>60000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553665</v>
      </c>
      <c r="F84" s="617"/>
      <c r="G84" s="617"/>
      <c r="H84" s="1692">
        <f>SUM(H78:H83)</f>
        <v>0</v>
      </c>
      <c r="I84" s="477"/>
      <c r="J84" s="477"/>
      <c r="K84" s="1692">
        <f>SUM(K78:K83)</f>
        <v>553665</v>
      </c>
      <c r="L84" s="1692">
        <f>SUM(L78:L83)</f>
        <v>603531</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553665</v>
      </c>
      <c r="F102" s="617"/>
      <c r="G102" s="617"/>
      <c r="H102" s="1699">
        <f>SUM(H84,H92,H100,H101)</f>
        <v>0</v>
      </c>
      <c r="I102" s="477"/>
      <c r="J102" s="477"/>
      <c r="K102" s="1699">
        <f>SUM(K84,K92,K100,K101)</f>
        <v>553665</v>
      </c>
      <c r="L102" s="1699">
        <f>SUM(L84,L92,L100,L101)</f>
        <v>603531</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5174550</v>
      </c>
      <c r="D114" s="1692">
        <f t="shared" ref="D114:K114" si="13">SUM(D33,D74,D75,D102,D112,D113)</f>
        <v>808783</v>
      </c>
      <c r="E114" s="1692">
        <f t="shared" si="13"/>
        <v>934521</v>
      </c>
      <c r="F114" s="1692">
        <f t="shared" si="13"/>
        <v>1006771</v>
      </c>
      <c r="G114" s="1692">
        <f t="shared" si="13"/>
        <v>8739</v>
      </c>
      <c r="H114" s="1692">
        <f>SUM(H33,H74,H75,H102,H112,H113)</f>
        <v>65434</v>
      </c>
      <c r="I114" s="1692">
        <f t="shared" si="13"/>
        <v>0</v>
      </c>
      <c r="J114" s="1692">
        <f t="shared" si="13"/>
        <v>0</v>
      </c>
      <c r="K114" s="1692">
        <f t="shared" si="13"/>
        <v>7998798</v>
      </c>
      <c r="L114" s="1692">
        <f>SUM(L33,L74,L75,L102,L112,L113)</f>
        <v>8155047</v>
      </c>
    </row>
    <row r="115" spans="1:14" ht="13.5" thickTop="1" x14ac:dyDescent="0.2">
      <c r="A115" s="2201" t="s">
        <v>1053</v>
      </c>
      <c r="B115" s="2202"/>
      <c r="C115" s="619"/>
      <c r="D115" s="619"/>
      <c r="E115" s="619"/>
      <c r="F115" s="619"/>
      <c r="G115" s="619"/>
      <c r="H115" s="619"/>
      <c r="I115" s="619"/>
      <c r="J115" s="619"/>
      <c r="K115" s="1706">
        <f>'Revenues 9-14'!C275-'Expenditures 15-22'!K114</f>
        <v>348198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341929</v>
      </c>
      <c r="D124" s="466">
        <v>62968</v>
      </c>
      <c r="E124" s="466">
        <v>95961</v>
      </c>
      <c r="F124" s="466">
        <v>64117</v>
      </c>
      <c r="G124" s="466">
        <v>150780</v>
      </c>
      <c r="H124" s="466"/>
      <c r="I124" s="467"/>
      <c r="J124" s="467"/>
      <c r="K124" s="1692">
        <f>SUM(C124:J124)</f>
        <v>715755</v>
      </c>
      <c r="L124" s="466">
        <v>716405</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341929</v>
      </c>
      <c r="D127" s="1692">
        <f t="shared" ref="D127:L127" si="14">SUM(D122:D126)</f>
        <v>62968</v>
      </c>
      <c r="E127" s="1692">
        <f t="shared" si="14"/>
        <v>95961</v>
      </c>
      <c r="F127" s="1692">
        <f t="shared" si="14"/>
        <v>64117</v>
      </c>
      <c r="G127" s="1692">
        <f t="shared" si="14"/>
        <v>150780</v>
      </c>
      <c r="H127" s="1692">
        <f t="shared" si="14"/>
        <v>0</v>
      </c>
      <c r="I127" s="1692">
        <f t="shared" si="14"/>
        <v>0</v>
      </c>
      <c r="J127" s="1692">
        <f t="shared" si="14"/>
        <v>0</v>
      </c>
      <c r="K127" s="1692">
        <f t="shared" si="14"/>
        <v>715755</v>
      </c>
      <c r="L127" s="1692">
        <f t="shared" si="14"/>
        <v>716405</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341929</v>
      </c>
      <c r="D129" s="1699">
        <f t="shared" ref="D129:L129" si="15">SUM(D120,D127,D128)</f>
        <v>62968</v>
      </c>
      <c r="E129" s="1699">
        <f t="shared" si="15"/>
        <v>95961</v>
      </c>
      <c r="F129" s="1699">
        <f t="shared" si="15"/>
        <v>64117</v>
      </c>
      <c r="G129" s="1699">
        <f t="shared" si="15"/>
        <v>150780</v>
      </c>
      <c r="H129" s="1699">
        <f t="shared" si="15"/>
        <v>0</v>
      </c>
      <c r="I129" s="1699">
        <f t="shared" si="15"/>
        <v>0</v>
      </c>
      <c r="J129" s="1699">
        <f t="shared" si="15"/>
        <v>0</v>
      </c>
      <c r="K129" s="1699">
        <f t="shared" si="15"/>
        <v>715755</v>
      </c>
      <c r="L129" s="1699">
        <f t="shared" si="15"/>
        <v>716405</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3"/>
      <c r="C151" s="1692">
        <f>SUM(C129,C130,C139,C149,C150)</f>
        <v>341929</v>
      </c>
      <c r="D151" s="1692">
        <f t="shared" ref="D151:K151" si="16">SUM(D129,D130,D139,D149,D150)</f>
        <v>62968</v>
      </c>
      <c r="E151" s="1692">
        <f t="shared" si="16"/>
        <v>95961</v>
      </c>
      <c r="F151" s="1692">
        <f t="shared" si="16"/>
        <v>64117</v>
      </c>
      <c r="G151" s="1692">
        <f t="shared" si="16"/>
        <v>150780</v>
      </c>
      <c r="H151" s="1692">
        <f t="shared" si="16"/>
        <v>0</v>
      </c>
      <c r="I151" s="1692">
        <f t="shared" si="16"/>
        <v>0</v>
      </c>
      <c r="J151" s="1692">
        <f t="shared" si="16"/>
        <v>0</v>
      </c>
      <c r="K151" s="1692">
        <f t="shared" si="16"/>
        <v>715755</v>
      </c>
      <c r="L151" s="1692">
        <f>SUM(L129,L130,L139,L149,L150)</f>
        <v>716405</v>
      </c>
    </row>
    <row r="152" spans="1:14" ht="12.75" customHeight="1" thickTop="1" x14ac:dyDescent="0.2">
      <c r="A152" s="2194" t="s">
        <v>1240</v>
      </c>
      <c r="B152" s="2195"/>
      <c r="C152" s="619"/>
      <c r="D152" s="619"/>
      <c r="E152" s="619"/>
      <c r="F152" s="619"/>
      <c r="G152" s="619"/>
      <c r="H152" s="619"/>
      <c r="I152" s="619"/>
      <c r="J152" s="617"/>
      <c r="K152" s="1706">
        <f>'Revenues 9-14'!D275-'Expenditures 15-22'!K151</f>
        <v>-119254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v>464360</v>
      </c>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464360</v>
      </c>
    </row>
    <row r="169" spans="1:14" ht="15.75" customHeight="1" thickTop="1" x14ac:dyDescent="0.2">
      <c r="A169" s="670" t="s">
        <v>85</v>
      </c>
      <c r="B169" s="671" t="s">
        <v>38</v>
      </c>
      <c r="C169" s="617"/>
      <c r="D169" s="617"/>
      <c r="E169" s="617"/>
      <c r="F169" s="617"/>
      <c r="G169" s="617"/>
      <c r="H169" s="657">
        <v>483040</v>
      </c>
      <c r="I169" s="617"/>
      <c r="J169" s="617"/>
      <c r="K169" s="1693">
        <f>SUM(C169:H169)</f>
        <v>483040</v>
      </c>
      <c r="L169" s="657">
        <v>1120000</v>
      </c>
    </row>
    <row r="170" spans="1:14" ht="33.75" customHeight="1" x14ac:dyDescent="0.2">
      <c r="A170" s="670" t="s">
        <v>1769</v>
      </c>
      <c r="B170" s="672" t="s">
        <v>31</v>
      </c>
      <c r="C170" s="617"/>
      <c r="D170" s="617"/>
      <c r="E170" s="617"/>
      <c r="F170" s="617"/>
      <c r="G170" s="617"/>
      <c r="H170" s="569">
        <v>1100000</v>
      </c>
      <c r="I170" s="617"/>
      <c r="J170" s="617"/>
      <c r="K170" s="1693">
        <f>SUM(C170:J170)</f>
        <v>1100000</v>
      </c>
      <c r="L170" s="569"/>
    </row>
    <row r="171" spans="1:14" ht="15.75" customHeight="1" x14ac:dyDescent="0.2">
      <c r="A171" s="622" t="s">
        <v>790</v>
      </c>
      <c r="B171" s="673" t="s">
        <v>86</v>
      </c>
      <c r="C171" s="617"/>
      <c r="D171" s="617"/>
      <c r="E171" s="466"/>
      <c r="F171" s="617"/>
      <c r="G171" s="617"/>
      <c r="H171" s="569">
        <v>2750</v>
      </c>
      <c r="I171" s="477"/>
      <c r="J171" s="617"/>
      <c r="K171" s="1693">
        <f>SUM(C171:J171)</f>
        <v>2750</v>
      </c>
      <c r="L171" s="569">
        <v>2000</v>
      </c>
    </row>
    <row r="172" spans="1:14" ht="12.75" customHeight="1" thickBot="1" x14ac:dyDescent="0.25">
      <c r="A172" s="1690" t="s">
        <v>659</v>
      </c>
      <c r="B172" s="1691" t="s">
        <v>513</v>
      </c>
      <c r="C172" s="617"/>
      <c r="D172" s="617"/>
      <c r="E172" s="1699">
        <f>SUM(E168,E169,E170,E171)</f>
        <v>0</v>
      </c>
      <c r="F172" s="617"/>
      <c r="G172" s="617"/>
      <c r="H172" s="1699">
        <f>SUM(H168,H169,H170,H171)</f>
        <v>1585790</v>
      </c>
      <c r="I172" s="639"/>
      <c r="J172" s="617"/>
      <c r="K172" s="1699">
        <f>SUM(K168,K169,K170,K171)</f>
        <v>1585790</v>
      </c>
      <c r="L172" s="1699">
        <f>SUM(L168,L169,L170,L171)</f>
        <v>1586360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1585790</v>
      </c>
      <c r="I174" s="639"/>
      <c r="J174" s="617"/>
      <c r="K174" s="1699">
        <f>SUM(K160,K172,K173)</f>
        <v>1585790</v>
      </c>
      <c r="L174" s="1699">
        <f>SUM(L160,L172,L173)</f>
        <v>1586360</v>
      </c>
    </row>
    <row r="175" spans="1:14" ht="13.5" thickTop="1" x14ac:dyDescent="0.2">
      <c r="A175" s="2201" t="s">
        <v>1053</v>
      </c>
      <c r="B175" s="2202"/>
      <c r="C175" s="617"/>
      <c r="D175" s="617"/>
      <c r="E175" s="617"/>
      <c r="F175" s="617"/>
      <c r="G175" s="617"/>
      <c r="H175" s="619"/>
      <c r="I175" s="617"/>
      <c r="J175" s="617"/>
      <c r="K175" s="1706">
        <f>'Revenues 9-14'!E275-'Expenditures 15-22'!K174</f>
        <v>-234101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326539</v>
      </c>
      <c r="D182" s="466">
        <v>7436</v>
      </c>
      <c r="E182" s="466">
        <v>16708</v>
      </c>
      <c r="F182" s="466">
        <v>95032</v>
      </c>
      <c r="G182" s="466">
        <v>193020</v>
      </c>
      <c r="H182" s="466"/>
      <c r="I182" s="467"/>
      <c r="J182" s="467"/>
      <c r="K182" s="1693">
        <f>SUM(C182:J182)</f>
        <v>638735</v>
      </c>
      <c r="L182" s="466">
        <v>642637</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326539</v>
      </c>
      <c r="D184" s="1699">
        <f t="shared" ref="D184:J184" si="17">SUM(D180,D182,D183)</f>
        <v>7436</v>
      </c>
      <c r="E184" s="1699">
        <f t="shared" si="17"/>
        <v>16708</v>
      </c>
      <c r="F184" s="1699">
        <f t="shared" si="17"/>
        <v>95032</v>
      </c>
      <c r="G184" s="1699">
        <f t="shared" si="17"/>
        <v>193020</v>
      </c>
      <c r="H184" s="1699">
        <f t="shared" si="17"/>
        <v>0</v>
      </c>
      <c r="I184" s="1699">
        <f t="shared" si="17"/>
        <v>0</v>
      </c>
      <c r="J184" s="1699">
        <f t="shared" si="17"/>
        <v>0</v>
      </c>
      <c r="K184" s="1699">
        <f>SUM(K180,K182,K183)</f>
        <v>638735</v>
      </c>
      <c r="L184" s="1699">
        <f>SUM(L180, L182:L183)</f>
        <v>642637</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v>6205</v>
      </c>
      <c r="F189" s="617"/>
      <c r="G189" s="617"/>
      <c r="H189" s="466"/>
      <c r="I189" s="477"/>
      <c r="J189" s="617"/>
      <c r="K189" s="1693">
        <f t="shared" si="18"/>
        <v>6205</v>
      </c>
      <c r="L189" s="466">
        <v>6200</v>
      </c>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6205</v>
      </c>
      <c r="F194" s="617"/>
      <c r="G194" s="617"/>
      <c r="H194" s="1692">
        <f>SUM(H188:H193)</f>
        <v>0</v>
      </c>
      <c r="I194" s="477"/>
      <c r="J194" s="617"/>
      <c r="K194" s="1692">
        <f>SUM(K188:K193)</f>
        <v>6205</v>
      </c>
      <c r="L194" s="1692">
        <f>SUM(L188:L193)</f>
        <v>6200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6205</v>
      </c>
      <c r="F196" s="617"/>
      <c r="G196" s="617"/>
      <c r="H196" s="1699">
        <f>SUM(H194,H195)</f>
        <v>0</v>
      </c>
      <c r="I196" s="477"/>
      <c r="J196" s="617"/>
      <c r="K196" s="1699">
        <f>SUM(K194,K195)</f>
        <v>6205</v>
      </c>
      <c r="L196" s="1699">
        <f>SUM(L194,L195)</f>
        <v>6200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326539</v>
      </c>
      <c r="D210" s="1692">
        <f>SUM(D184,D185)</f>
        <v>7436</v>
      </c>
      <c r="E210" s="1692">
        <f>SUM(E184,E185,E196)</f>
        <v>22913</v>
      </c>
      <c r="F210" s="1692">
        <f>SUM(F184,F185)</f>
        <v>95032</v>
      </c>
      <c r="G210" s="1692">
        <f>SUM(G184,G185)</f>
        <v>193020</v>
      </c>
      <c r="H210" s="1692">
        <f>SUM(H184,H185,H196,H208,H209)</f>
        <v>0</v>
      </c>
      <c r="I210" s="1692">
        <f>SUM(I184,I185)</f>
        <v>0</v>
      </c>
      <c r="J210" s="1692">
        <f>SUM(J184,J185)</f>
        <v>0</v>
      </c>
      <c r="K210" s="1693">
        <f>SUM(K184,K185,K196,K208,K209)</f>
        <v>644940</v>
      </c>
      <c r="L210" s="1692">
        <f>SUM(L184,L185,L196,L208,L209)</f>
        <v>648837</v>
      </c>
    </row>
    <row r="211" spans="1:14" ht="13.5" thickTop="1" x14ac:dyDescent="0.2">
      <c r="A211" s="2201" t="s">
        <v>1053</v>
      </c>
      <c r="B211" s="2202"/>
      <c r="C211" s="619"/>
      <c r="D211" s="619"/>
      <c r="E211" s="619"/>
      <c r="F211" s="619"/>
      <c r="G211" s="619"/>
      <c r="H211" s="619"/>
      <c r="I211" s="617"/>
      <c r="J211" s="617"/>
      <c r="K211" s="1706">
        <f>'Revenues 9-14'!F275-'Expenditures 15-22'!K210</f>
        <v>100178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178090</v>
      </c>
      <c r="E215" s="617"/>
      <c r="F215" s="617"/>
      <c r="G215" s="617"/>
      <c r="H215" s="617"/>
      <c r="I215" s="617"/>
      <c r="J215" s="617"/>
      <c r="K215" s="1693">
        <f>D215</f>
        <v>178090</v>
      </c>
      <c r="L215" s="466">
        <v>162200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178090</v>
      </c>
      <c r="E229" s="617"/>
      <c r="F229" s="617"/>
      <c r="G229" s="617"/>
      <c r="H229" s="617"/>
      <c r="I229" s="617"/>
      <c r="J229" s="617"/>
      <c r="K229" s="1692">
        <f>SUM(K215:K228)</f>
        <v>178090</v>
      </c>
      <c r="L229" s="1692">
        <f>SUM(L215:L228)</f>
        <v>162200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45430</v>
      </c>
      <c r="E266" s="617"/>
      <c r="F266" s="617"/>
      <c r="G266" s="617"/>
      <c r="H266" s="617"/>
      <c r="I266" s="617"/>
      <c r="J266" s="617"/>
      <c r="K266" s="1694">
        <f t="shared" si="22"/>
        <v>45430</v>
      </c>
      <c r="L266" s="466">
        <v>44000</v>
      </c>
    </row>
    <row r="267" spans="1:14" x14ac:dyDescent="0.2">
      <c r="A267" s="1526" t="s">
        <v>1010</v>
      </c>
      <c r="B267" s="615">
        <v>2550</v>
      </c>
      <c r="C267" s="617"/>
      <c r="D267" s="466">
        <v>6153</v>
      </c>
      <c r="E267" s="617"/>
      <c r="F267" s="617"/>
      <c r="G267" s="617"/>
      <c r="H267" s="617"/>
      <c r="I267" s="617"/>
      <c r="J267" s="617"/>
      <c r="K267" s="1694">
        <f t="shared" si="22"/>
        <v>6153</v>
      </c>
      <c r="L267" s="466">
        <v>6700</v>
      </c>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51583</v>
      </c>
      <c r="E270" s="617"/>
      <c r="F270" s="617"/>
      <c r="G270" s="617"/>
      <c r="H270" s="617"/>
      <c r="I270" s="617"/>
      <c r="J270" s="617"/>
      <c r="K270" s="1692">
        <f>SUM(K263:K269)</f>
        <v>51583</v>
      </c>
      <c r="L270" s="1692">
        <f>SUM(L263:L269)</f>
        <v>50700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51583</v>
      </c>
      <c r="E279" s="617"/>
      <c r="F279" s="617"/>
      <c r="G279" s="617"/>
      <c r="H279" s="617"/>
      <c r="I279" s="617"/>
      <c r="J279" s="617"/>
      <c r="K279" s="1699">
        <f>SUM(K238,K243,K257,K261,K270,K277,K278)</f>
        <v>51583</v>
      </c>
      <c r="L279" s="1699">
        <f>SUM(L238,L243,L257,L261,L270,L277,L278)</f>
        <v>50700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v>24571</v>
      </c>
      <c r="E283" s="617"/>
      <c r="F283" s="617"/>
      <c r="G283" s="617"/>
      <c r="H283" s="617"/>
      <c r="I283" s="617"/>
      <c r="J283" s="617"/>
      <c r="K283" s="1693">
        <f>D283</f>
        <v>24571</v>
      </c>
      <c r="L283" s="466">
        <v>24000</v>
      </c>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24571</v>
      </c>
      <c r="E285" s="617"/>
      <c r="F285" s="617"/>
      <c r="G285" s="617"/>
      <c r="H285" s="617"/>
      <c r="I285" s="617"/>
      <c r="J285" s="617"/>
      <c r="K285" s="1692">
        <f>SUM(K282:K284)</f>
        <v>24571</v>
      </c>
      <c r="L285" s="1692">
        <f>SUM(L282:L284)</f>
        <v>24000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254244</v>
      </c>
      <c r="E295" s="617"/>
      <c r="F295" s="617"/>
      <c r="G295" s="617"/>
      <c r="H295" s="1692">
        <f>H293</f>
        <v>0</v>
      </c>
      <c r="I295" s="617"/>
      <c r="J295" s="617"/>
      <c r="K295" s="1692">
        <f>SUM(K229,K279,K280,K285,K293,K294)</f>
        <v>254244</v>
      </c>
      <c r="L295" s="1692">
        <f>SUM(L229,L279,L280,L285,L293,L294)</f>
        <v>236900</v>
      </c>
    </row>
    <row r="296" spans="1:14" ht="13.5" thickTop="1" x14ac:dyDescent="0.2">
      <c r="A296" s="2201" t="s">
        <v>1053</v>
      </c>
      <c r="B296" s="2202"/>
      <c r="C296" s="617"/>
      <c r="D296" s="619"/>
      <c r="E296" s="617"/>
      <c r="F296" s="617"/>
      <c r="G296" s="617"/>
      <c r="H296" s="688"/>
      <c r="I296" s="617"/>
      <c r="J296" s="617"/>
      <c r="K296" s="1706">
        <f>'Revenues 9-14'!G275-'Expenditures 15-22'!K295</f>
        <v>10088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81767</v>
      </c>
      <c r="F320" s="467"/>
      <c r="G320" s="467"/>
      <c r="H320" s="467"/>
      <c r="I320" s="467"/>
      <c r="J320" s="467"/>
      <c r="K320" s="1693">
        <f t="shared" ref="K320:K327" si="24">SUM(C320:J320)</f>
        <v>81767</v>
      </c>
      <c r="L320" s="467">
        <v>67000</v>
      </c>
      <c r="M320" s="666"/>
      <c r="N320" s="666"/>
    </row>
    <row r="321" spans="1:14" s="675" customFormat="1" x14ac:dyDescent="0.2">
      <c r="A321" s="1541" t="s">
        <v>318</v>
      </c>
      <c r="B321" s="698" t="s">
        <v>301</v>
      </c>
      <c r="C321" s="467"/>
      <c r="D321" s="467"/>
      <c r="E321" s="467">
        <v>5013</v>
      </c>
      <c r="F321" s="467"/>
      <c r="G321" s="467"/>
      <c r="H321" s="467"/>
      <c r="I321" s="467"/>
      <c r="J321" s="467"/>
      <c r="K321" s="1693">
        <f t="shared" si="24"/>
        <v>5013</v>
      </c>
      <c r="L321" s="467">
        <v>5000</v>
      </c>
      <c r="M321" s="666"/>
      <c r="N321" s="666"/>
    </row>
    <row r="322" spans="1:14" s="675" customFormat="1" x14ac:dyDescent="0.2">
      <c r="A322" s="1541" t="s">
        <v>256</v>
      </c>
      <c r="B322" s="698" t="s">
        <v>302</v>
      </c>
      <c r="C322" s="467"/>
      <c r="D322" s="467"/>
      <c r="E322" s="467">
        <v>61489</v>
      </c>
      <c r="F322" s="467"/>
      <c r="G322" s="467"/>
      <c r="H322" s="467"/>
      <c r="I322" s="467"/>
      <c r="J322" s="467"/>
      <c r="K322" s="1693">
        <f t="shared" si="24"/>
        <v>61489</v>
      </c>
      <c r="L322" s="467">
        <v>62000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10851</v>
      </c>
      <c r="F325" s="467"/>
      <c r="G325" s="467"/>
      <c r="H325" s="467"/>
      <c r="I325" s="467"/>
      <c r="J325" s="467"/>
      <c r="K325" s="1693">
        <f t="shared" si="24"/>
        <v>10851</v>
      </c>
      <c r="L325" s="467">
        <v>11000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7949</v>
      </c>
      <c r="F327" s="467"/>
      <c r="G327" s="467"/>
      <c r="H327" s="467"/>
      <c r="I327" s="467"/>
      <c r="J327" s="467"/>
      <c r="K327" s="1693">
        <f t="shared" si="24"/>
        <v>7949</v>
      </c>
      <c r="L327" s="467">
        <v>8000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167069</v>
      </c>
      <c r="F330" s="1692">
        <f t="shared" si="25"/>
        <v>0</v>
      </c>
      <c r="G330" s="1692">
        <f t="shared" si="25"/>
        <v>0</v>
      </c>
      <c r="H330" s="1692">
        <f t="shared" si="25"/>
        <v>0</v>
      </c>
      <c r="I330" s="1692">
        <f t="shared" si="25"/>
        <v>0</v>
      </c>
      <c r="J330" s="1692">
        <f t="shared" si="25"/>
        <v>0</v>
      </c>
      <c r="K330" s="1692">
        <f>SUM(K319:K329)</f>
        <v>167069</v>
      </c>
      <c r="L330" s="1692">
        <f>SUM(L319:L329)</f>
        <v>153000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167069</v>
      </c>
      <c r="F342" s="1692">
        <f>SUM(F330)</f>
        <v>0</v>
      </c>
      <c r="G342" s="1692">
        <f>SUM(G330)</f>
        <v>0</v>
      </c>
      <c r="H342" s="1692">
        <f>SUM(H330,H334,H340)</f>
        <v>0</v>
      </c>
      <c r="I342" s="1692">
        <f>SUM(I330)</f>
        <v>0</v>
      </c>
      <c r="J342" s="1692">
        <f>SUM(J330)</f>
        <v>0</v>
      </c>
      <c r="K342" s="1692">
        <f>SUM(K330,K334,K340)</f>
        <v>167069</v>
      </c>
      <c r="L342" s="1699">
        <f>SUM(L330,L340,L341)</f>
        <v>153000</v>
      </c>
    </row>
    <row r="343" spans="1:14" ht="12.75" customHeight="1" thickTop="1" x14ac:dyDescent="0.2">
      <c r="A343" s="2187" t="s">
        <v>1053</v>
      </c>
      <c r="B343" s="2188"/>
      <c r="C343" s="617"/>
      <c r="D343" s="617"/>
      <c r="E343" s="617"/>
      <c r="F343" s="617"/>
      <c r="G343" s="617"/>
      <c r="H343" s="617"/>
      <c r="I343" s="617"/>
      <c r="J343" s="617"/>
      <c r="K343" s="1706">
        <f>'Revenues 9-14'!J275-'Expenditures 15-22'!K342</f>
        <v>48858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7521</v>
      </c>
      <c r="F349" s="466"/>
      <c r="G349" s="466"/>
      <c r="H349" s="466"/>
      <c r="I349" s="467"/>
      <c r="J349" s="467"/>
      <c r="K349" s="1693">
        <f>SUM(C349:J349)</f>
        <v>7521</v>
      </c>
      <c r="L349" s="466">
        <v>7500</v>
      </c>
    </row>
    <row r="350" spans="1:14" ht="12.75" customHeight="1" thickBot="1" x14ac:dyDescent="0.25">
      <c r="A350" s="1690" t="s">
        <v>743</v>
      </c>
      <c r="B350" s="1691" t="s">
        <v>35</v>
      </c>
      <c r="C350" s="1692">
        <f>SUM(C348:C349)</f>
        <v>0</v>
      </c>
      <c r="D350" s="1692">
        <f t="shared" ref="D350:L350" si="26">SUM(D348:D349)</f>
        <v>0</v>
      </c>
      <c r="E350" s="1692">
        <f t="shared" si="26"/>
        <v>7521</v>
      </c>
      <c r="F350" s="1692">
        <f t="shared" si="26"/>
        <v>0</v>
      </c>
      <c r="G350" s="1692">
        <f t="shared" si="26"/>
        <v>0</v>
      </c>
      <c r="H350" s="1692">
        <f t="shared" si="26"/>
        <v>0</v>
      </c>
      <c r="I350" s="1692">
        <f t="shared" si="26"/>
        <v>0</v>
      </c>
      <c r="J350" s="1692">
        <f t="shared" si="26"/>
        <v>0</v>
      </c>
      <c r="K350" s="1692">
        <f t="shared" si="26"/>
        <v>7521</v>
      </c>
      <c r="L350" s="1692">
        <f t="shared" si="26"/>
        <v>7500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7521</v>
      </c>
      <c r="F352" s="1692">
        <f t="shared" si="27"/>
        <v>0</v>
      </c>
      <c r="G352" s="1692">
        <f t="shared" si="27"/>
        <v>0</v>
      </c>
      <c r="H352" s="1692">
        <f t="shared" si="27"/>
        <v>0</v>
      </c>
      <c r="I352" s="1692">
        <f t="shared" si="27"/>
        <v>0</v>
      </c>
      <c r="J352" s="1692">
        <f t="shared" si="27"/>
        <v>0</v>
      </c>
      <c r="K352" s="1692">
        <f t="shared" si="27"/>
        <v>7521</v>
      </c>
      <c r="L352" s="1692">
        <f t="shared" si="27"/>
        <v>7500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7521</v>
      </c>
      <c r="F367" s="1692">
        <f t="shared" si="28"/>
        <v>0</v>
      </c>
      <c r="G367" s="1692">
        <f t="shared" si="28"/>
        <v>0</v>
      </c>
      <c r="H367" s="1692">
        <f t="shared" si="28"/>
        <v>0</v>
      </c>
      <c r="I367" s="1692">
        <f t="shared" si="28"/>
        <v>0</v>
      </c>
      <c r="J367" s="1692">
        <f t="shared" si="28"/>
        <v>0</v>
      </c>
      <c r="K367" s="1692">
        <f t="shared" si="28"/>
        <v>7521</v>
      </c>
      <c r="L367" s="1692">
        <f t="shared" si="28"/>
        <v>7500</v>
      </c>
    </row>
    <row r="368" spans="1:14" ht="13.5" thickTop="1" x14ac:dyDescent="0.2">
      <c r="A368" s="2201" t="s">
        <v>1053</v>
      </c>
      <c r="B368" s="2202"/>
      <c r="C368" s="655"/>
      <c r="D368" s="655"/>
      <c r="E368" s="627"/>
      <c r="F368" s="627"/>
      <c r="G368" s="627"/>
      <c r="H368" s="627"/>
      <c r="I368" s="627"/>
      <c r="J368" s="624"/>
      <c r="K368" s="1693">
        <f>'Revenues 9-14'!K275-'Expenditures 15-22'!K367</f>
        <v>45915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&amp;F&amp;RThe notes to the financial statements are an integral part of this statement.</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http://purl.org/dc/terms/"/>
    <ds:schemaRef ds:uri="http://purl.org/dc/dcmitype/"/>
    <ds:schemaRef ds:uri="http://schemas.microsoft.com/sharepoint/v3"/>
    <ds:schemaRef ds:uri="http://schemas.microsoft.com/office/infopath/2007/PartnerControls"/>
    <ds:schemaRef ds:uri="http://schemas.openxmlformats.org/package/2006/metadata/core-properties"/>
    <ds:schemaRef ds:uri="4d435f69-8686-490b-bd6d-b153bf22ab50"/>
    <ds:schemaRef ds:uri="http://purl.org/dc/elements/1.1/"/>
    <ds:schemaRef ds:uri="http://www.w3.org/XML/1998/namespace"/>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Sec-2 (3)</vt:lpstr>
      <vt:lpstr>SF&amp;QC Sec-2 (4)</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2018-12-13T18:36:55Z</cp:lastPrinted>
  <dcterms:created xsi:type="dcterms:W3CDTF">2003-10-29T19:06:34Z</dcterms:created>
  <dcterms:modified xsi:type="dcterms:W3CDTF">2018-12-19T18:43:58Z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