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6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sheetId="183" r:id="rId29"/>
    <sheet name="SEFA2" sheetId="179" r:id="rId30"/>
    <sheet name="SF&amp;QC Sec-1" sheetId="174" r:id="rId31"/>
    <sheet name="SF&amp;QC Sec-2" sheetId="175" r:id="rId32"/>
    <sheet name="SF&amp;QC Sec-3" sheetId="176" r:id="rId33"/>
    <sheet name="SSPAF" sheetId="177" r:id="rId34"/>
  </sheets>
  <definedNames>
    <definedName name="_xlnm.Print_Area" localSheetId="28">SEFA!$B$1:$M$46</definedName>
    <definedName name="_xlnm.Print_Area" localSheetId="27">'SEFA NOTES'!$A$1:$F$52</definedName>
    <definedName name="_xlnm.Print_Area" localSheetId="26">'SEFA Reconcile'!$A$1:$E$49</definedName>
    <definedName name="_xlnm.Print_Area" localSheetId="29">SEFA2!$B$1:$M$46</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L26" i="183" l="1"/>
  <c r="L25" i="183"/>
  <c r="L24" i="183"/>
  <c r="L23" i="183"/>
  <c r="L22" i="183"/>
  <c r="L21" i="183"/>
  <c r="L20" i="183"/>
  <c r="L19" i="183"/>
  <c r="L27" i="179" l="1"/>
  <c r="L25" i="179"/>
  <c r="L24" i="179"/>
  <c r="L23" i="179"/>
  <c r="L22" i="179"/>
  <c r="L20" i="179"/>
  <c r="L19" i="179"/>
  <c r="L18" i="179"/>
  <c r="L17" i="179"/>
  <c r="L16" i="179"/>
  <c r="L14" i="179"/>
  <c r="L18" i="183" l="1"/>
  <c r="L17" i="183"/>
  <c r="L16" i="183"/>
  <c r="L15" i="183"/>
  <c r="L14" i="183"/>
  <c r="L13" i="183"/>
  <c r="L12" i="183"/>
  <c r="L11"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13" i="179" l="1"/>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s="1"/>
  <c r="B5127" i="106"/>
  <c r="D5127" i="106" s="1"/>
  <c r="D5128" i="106"/>
  <c r="D5129" i="106"/>
  <c r="D5130" i="106"/>
  <c r="D5131" i="106"/>
  <c r="B5133" i="106"/>
  <c r="D5133" i="106" s="1"/>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E27" i="108"/>
  <c r="G27" i="108"/>
  <c r="F31" i="108"/>
  <c r="F36" i="108"/>
  <c r="G28" i="108"/>
  <c r="E29" i="108"/>
  <c r="E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G172" i="5" s="1"/>
  <c r="G173" i="5" s="1"/>
  <c r="B5778" i="106" s="1"/>
  <c r="D5778"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G5" i="4"/>
  <c r="B3409" i="106" s="1"/>
  <c r="D3409" i="106" s="1"/>
  <c r="G14" i="4"/>
  <c r="B2609" i="106" s="1"/>
  <c r="D2609" i="106" s="1"/>
  <c r="G15" i="4"/>
  <c r="B6032" i="106" s="1"/>
  <c r="D6032" i="106" s="1"/>
  <c r="K13" i="4"/>
  <c r="B3572" i="106" s="1"/>
  <c r="D3572" i="106" s="1"/>
  <c r="C14" i="4"/>
  <c r="B2558" i="106" s="1"/>
  <c r="D2558" i="106" s="1"/>
  <c r="F14" i="4"/>
  <c r="B2597" i="106" s="1"/>
  <c r="D2597" i="106" s="1"/>
  <c r="B2633" i="106"/>
  <c r="D2633" i="106" s="1"/>
  <c r="D7" i="118"/>
  <c r="D8" i="118"/>
  <c r="D9" i="118"/>
  <c r="H14" i="118"/>
  <c r="H19" i="118"/>
  <c r="H24" i="118"/>
  <c r="H28" i="118"/>
  <c r="H33" i="118"/>
  <c r="D22" i="37"/>
  <c r="H22" i="37"/>
  <c r="J22" i="37"/>
  <c r="L22" i="37"/>
  <c r="D24" i="37"/>
  <c r="B4270" i="106" s="1"/>
  <c r="D4270" i="106" s="1"/>
  <c r="L5" i="11"/>
  <c r="B2056" i="106" s="1"/>
  <c r="D2056" i="106" s="1"/>
  <c r="D13" i="7"/>
  <c r="B3726" i="106" s="1"/>
  <c r="D3726" i="106" s="1"/>
  <c r="D9" i="7"/>
  <c r="B1767" i="106" s="1"/>
  <c r="D1767" i="106" s="1"/>
  <c r="F131" i="34"/>
  <c r="F128" i="34"/>
  <c r="F127" i="34"/>
  <c r="B5847" i="106"/>
  <c r="D5847" i="106" s="1"/>
  <c r="K274" i="5"/>
  <c r="H173" i="5"/>
  <c r="B5906" i="106" s="1"/>
  <c r="D5906" i="106" s="1"/>
  <c r="C172" i="5"/>
  <c r="B5214" i="106" s="1"/>
  <c r="D5214" i="106" s="1"/>
  <c r="F106" i="34"/>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H109" i="5" l="1"/>
  <c r="F130" i="34"/>
  <c r="D4" i="7"/>
  <c r="B1760" i="106" s="1"/>
  <c r="D1760" i="106" s="1"/>
  <c r="D5" i="4"/>
  <c r="B3406" i="106" s="1"/>
  <c r="D3406" i="106" s="1"/>
  <c r="I173" i="5"/>
  <c r="B4216" i="106" s="1"/>
  <c r="D4216" i="106" s="1"/>
  <c r="L342" i="29"/>
  <c r="L312" i="29"/>
  <c r="D7245" i="106"/>
  <c r="I342" i="29"/>
  <c r="B7222" i="106" s="1"/>
  <c r="D7222" i="106" s="1"/>
  <c r="G352" i="29"/>
  <c r="C352" i="29"/>
  <c r="K41" i="3"/>
  <c r="K24" i="12"/>
  <c r="B281" i="106"/>
  <c r="D281" i="106" s="1"/>
  <c r="G30" i="108"/>
  <c r="N22" i="3"/>
  <c r="B283" i="106" s="1"/>
  <c r="D283" i="106" s="1"/>
  <c r="D69" i="36"/>
  <c r="F19" i="7"/>
  <c r="B1807" i="106" s="1"/>
  <c r="D1807" i="106" s="1"/>
  <c r="B1410" i="106"/>
  <c r="D1410" i="106" s="1"/>
  <c r="K184" i="29"/>
  <c r="F13" i="4" s="1"/>
  <c r="B2596" i="106" s="1"/>
  <c r="D2596" i="106" s="1"/>
  <c r="G210" i="29"/>
  <c r="G29" i="108"/>
  <c r="B1329" i="106"/>
  <c r="D1329" i="106" s="1"/>
  <c r="F61" i="34"/>
  <c r="B2805" i="106"/>
  <c r="D2805" i="106" s="1"/>
  <c r="C129" i="29"/>
  <c r="D37" i="108"/>
  <c r="D41" i="108" s="1"/>
  <c r="E43" i="108" s="1"/>
  <c r="F37" i="108"/>
  <c r="E28" i="108"/>
  <c r="F28" i="108"/>
  <c r="F38" i="34"/>
  <c r="G109" i="5"/>
  <c r="E109" i="5"/>
  <c r="E4" i="4" s="1"/>
  <c r="B2630" i="106" s="1"/>
  <c r="D2630" i="106" s="1"/>
  <c r="D109" i="5"/>
  <c r="B5356" i="106" s="1"/>
  <c r="D5356" i="106" s="1"/>
  <c r="D4" i="4"/>
  <c r="B2564" i="106" s="1"/>
  <c r="D2564" i="106" s="1"/>
  <c r="D5" i="7"/>
  <c r="B1761" i="106" s="1"/>
  <c r="D1761" i="106" s="1"/>
  <c r="B4357" i="106"/>
  <c r="D4357" i="106" s="1"/>
  <c r="F111" i="34"/>
  <c r="B5770" i="106"/>
  <c r="D5770" i="106" s="1"/>
  <c r="B5096" i="106"/>
  <c r="D5096" i="106" s="1"/>
  <c r="C109" i="5"/>
  <c r="B5121" i="106" s="1"/>
  <c r="D5121" i="106" s="1"/>
  <c r="D11" i="37"/>
  <c r="H29" i="118"/>
  <c r="K28" i="118" s="1"/>
  <c r="O27" i="118" s="1"/>
  <c r="O29" i="118" s="1"/>
  <c r="D31" i="36"/>
  <c r="F27" i="108"/>
  <c r="F136" i="34"/>
  <c r="C173" i="5"/>
  <c r="B5223" i="106" s="1"/>
  <c r="D5223"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F275" i="5" s="1"/>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J7" i="4"/>
  <c r="B3447" i="106"/>
  <c r="D3447" i="106" s="1"/>
  <c r="B7270" i="106"/>
  <c r="H367" i="29" l="1"/>
  <c r="B3660" i="106" s="1"/>
  <c r="D3660" i="106" s="1"/>
  <c r="B3568" i="106"/>
  <c r="D3568" i="106" s="1"/>
  <c r="D52" i="36"/>
  <c r="B3649" i="106"/>
  <c r="D3649" i="106" s="1"/>
  <c r="G367" i="29"/>
  <c r="B3650" i="106" s="1"/>
  <c r="D3650" i="106" s="1"/>
  <c r="D274" i="5"/>
  <c r="B5914" i="106"/>
  <c r="D5914" i="106" s="1"/>
  <c r="B3628" i="106"/>
  <c r="D3628" i="106" s="1"/>
  <c r="L114" i="29"/>
  <c r="B7733" i="106"/>
  <c r="D7733" i="106" s="1"/>
  <c r="K26" i="12"/>
  <c r="B7743" i="106" s="1"/>
  <c r="D7743" i="106" s="1"/>
  <c r="B3621" i="106"/>
  <c r="D3621" i="106" s="1"/>
  <c r="C367" i="29"/>
  <c r="B3622" i="106" s="1"/>
  <c r="D3622" i="106" s="1"/>
  <c r="B6025" i="106"/>
  <c r="D6025" i="106" s="1"/>
  <c r="H4" i="4"/>
  <c r="L16" i="11"/>
  <c r="B2061" i="106" s="1"/>
  <c r="D2061" i="106" s="1"/>
  <c r="B1365" i="106"/>
  <c r="D1365" i="106" s="1"/>
  <c r="F65" i="34"/>
  <c r="F41" i="108"/>
  <c r="G43" i="108" s="1"/>
  <c r="B6024" i="106"/>
  <c r="D6024" i="106" s="1"/>
  <c r="G4" i="4"/>
  <c r="B2603" i="106" s="1"/>
  <c r="D2603" i="106" s="1"/>
  <c r="C4" i="4"/>
  <c r="B2551" i="106" s="1"/>
  <c r="D2551" i="106" s="1"/>
  <c r="D19" i="7"/>
  <c r="B1775" i="106" s="1"/>
  <c r="D1775" i="106" s="1"/>
  <c r="C6" i="4"/>
  <c r="B2553" i="106" s="1"/>
  <c r="D2553" i="106" s="1"/>
  <c r="D44" i="36"/>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B2655" i="106" l="1"/>
  <c r="D2655" i="106" s="1"/>
  <c r="H8" i="4"/>
  <c r="F8" i="4"/>
  <c r="D8" i="14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H10" i="4"/>
  <c r="B4127" i="106" s="1"/>
  <c r="D4127" i="106" s="1"/>
  <c r="B2658" i="106"/>
  <c r="D2658" i="106" s="1"/>
  <c r="B2595" i="106"/>
  <c r="D2595"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<sst xmlns="http://schemas.openxmlformats.org/spreadsheetml/2006/main" count="5177" uniqueCount="2152">
  <si>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</si>
  <si>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</si>
  <si>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</si>
  <si>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</si>
  <si>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</si>
  <si>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</si>
  <si>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</si>
  <si>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</si>
  <si>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</si>
  <si>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</si>
  <si>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</si>
  <si>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</si>
  <si>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</si>
  <si>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</si>
  <si>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</si>
  <si>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</si>
  <si>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</si>
  <si>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</si>
  <si>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</si>
  <si>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</si>
  <si>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</si>
  <si>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</si>
  <si>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</si>
  <si>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</si>
  <si>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</si>
  <si>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</si>
  <si>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</si>
  <si>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</si>
  <si>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</si>
  <si>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</si>
  <si>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</si>
  <si>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</si>
  <si>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</si>
  <si>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</si>
  <si>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</si>
  <si>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</si>
  <si>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</si>
  <si>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</si>
  <si>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</si>
  <si>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</si>
  <si>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</si>
  <si>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</si>
  <si>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</si>
  <si>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</si>
  <si>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</si>
  <si>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</si>
  <si>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</si>
  <si>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</si>
  <si>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</si>
  <si>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</si>
  <si>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</si>
  <si>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</si>
  <si>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</si>
  <si>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</si>
  <si>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</si>
  <si>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</si>
  <si>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</si>
  <si>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</si>
  <si>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</si>
  <si>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</si>
  <si>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</si>
  <si>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</si>
  <si>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</si>
  <si>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</si>
  <si>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</si>
  <si>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</si>
  <si>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</si>
  <si>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</si>
  <si>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</si>
  <si>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</si>
  <si>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</si>
  <si>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</si>
  <si>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</si>
  <si>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</si>
  <si>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</si>
  <si>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</si>
  <si>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</si>
  <si>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</si>
  <si>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</si>
  <si>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</si>
  <si>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</si>
  <si>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</si>
  <si>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</si>
  <si>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</si>
  <si>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</si>
  <si>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</si>
  <si>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</si>
  <si>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</si>
  <si>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</si>
  <si>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</si>
  <si>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</si>
  <si>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</si>
  <si>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</si>
  <si>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</si>
  <si>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</si>
  <si>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</si>
  <si>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</si>
  <si>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</si>
  <si>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</si>
  <si>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</si>
  <si>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</si>
  <si>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</si>
  <si>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</si>
  <si>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</si>
  <si>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</si>
  <si>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</si>
  <si>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</si>
  <si>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</si>
  <si>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</si>
  <si>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</si>
  <si>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</si>
  <si>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</si>
  <si>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</si>
  <si>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</si>
  <si>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</si>
  <si>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</si>
  <si>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</si>
  <si>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</si>
  <si>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</si>
  <si>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</si>
  <si>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</si>
  <si>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</si>
  <si>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</si>
  <si>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</si>
  <si>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</si>
  <si>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</si>
  <si>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</si>
  <si>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</si>
  <si>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</si>
  <si>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</si>
  <si>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</si>
  <si>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</si>
  <si>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</si>
  <si>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</si>
  <si>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</si>
  <si>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</si>
  <si>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</si>
  <si>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</si>
  <si>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</si>
  <si>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</si>
  <si>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</si>
  <si>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</si>
  <si>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</si>
  <si>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</si>
  <si>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</si>
  <si>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</si>
  <si>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</si>
  <si>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</si>
  <si>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</si>
  <si>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</si>
  <si>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</si>
  <si>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</si>
  <si>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</si>
  <si>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</si>
  <si>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</si>
  <si>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</si>
  <si>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</si>
  <si>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</si>
  <si>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</si>
  <si>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</si>
  <si>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</si>
  <si>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</si>
  <si>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</si>
  <si>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</si>
  <si>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</si>
  <si>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</si>
  <si>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</si>
  <si>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</si>
  <si>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</si>
  <si>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</si>
  <si>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</si>
  <si>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</si>
  <si>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</si>
  <si>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</si>
  <si>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</si>
  <si>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</si>
  <si>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</si>
  <si>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</si>
  <si>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</si>
  <si>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</si>
  <si>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</si>
  <si>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</si>
  <si>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</si>
  <si>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</si>
  <si>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</si>
  <si>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</si>
  <si>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</si>
  <si>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</si>
  <si>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</si>
  <si>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</si>
  <si>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</si>
  <si>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</si>
  <si>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</si>
  <si>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</si>
  <si>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</si>
  <si>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</si>
  <si>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</si>
  <si>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</si>
  <si>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</si>
  <si>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</si>
  <si>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</si>
  <si>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</si>
  <si>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</si>
  <si>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</si>
  <si>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</si>
  <si>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</si>
  <si>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</si>
  <si>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</si>
  <si>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</si>
  <si>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</si>
  <si>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</si>
  <si>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</si>
  <si>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</si>
  <si>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</si>
  <si>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</si>
  <si>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</si>
  <si>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</si>
  <si>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</si>
  <si>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</si>
  <si>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</si>
  <si>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</si>
  <si>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</si>
  <si>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</si>
  <si>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</si>
  <si>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</si>
  <si>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</si>
  <si>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</si>
  <si>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</si>
  <si>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</si>
  <si>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</si>
  <si>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</si>
  <si>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</si>
  <si>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</si>
  <si>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</si>
  <si>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</si>
  <si>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</si>
  <si>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</si>
  <si>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</si>
  <si>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</si>
  <si>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</si>
  <si>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</si>
  <si>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</si>
  <si>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</si>
  <si>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</si>
  <si>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</si>
  <si>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</si>
  <si>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</si>
  <si>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</si>
  <si>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</si>
  <si>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</si>
  <si>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</si>
  <si>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</si>
  <si>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</si>
  <si>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</si>
  <si>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</si>
  <si>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</si>
  <si>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</si>
  <si>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</si>
  <si>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</si>
  <si>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</si>
  <si>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</si>
  <si>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</si>
  <si>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</si>
  <si>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</si>
  <si>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</si>
  <si>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</si>
  <si>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</si>
  <si>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</si>
  <si>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</si>
  <si>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</si>
  <si>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</si>
  <si>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</si>
  <si>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</si>
  <si>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</si>
  <si>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</si>
  <si>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</si>
  <si>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</si>
  <si>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</si>
  <si>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</si>
  <si>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</si>
  <si>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</si>
  <si>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</si>
  <si>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</si>
  <si>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</si>
  <si>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</si>
  <si>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</si>
  <si>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</si>
  <si>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</si>
  <si>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</si>
  <si>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</si>
  <si>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</si>
  <si>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</si>
  <si>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</si>
  <si>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</si>
  <si>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</si>
  <si>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</si>
  <si>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</si>
  <si>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</si>
  <si>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</si>
  <si>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</si>
  <si>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</si>
  <si>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</si>
  <si>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</si>
  <si>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</si>
  <si>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</si>
  <si>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</si>
  <si>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</si>
  <si>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</si>
  <si>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</si>
  <si>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</si>
  <si>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</si>
  <si>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</si>
  <si>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</si>
  <si>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</si>
  <si>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</si>
  <si>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</si>
  <si>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</si>
  <si>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</si>
  <si>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</si>
  <si>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</si>
  <si>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</si>
  <si>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</si>
  <si>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</si>
  <si>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</si>
  <si>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</si>
  <si>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</si>
  <si>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</si>
  <si>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</si>
  <si>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</si>
  <si>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</si>
  <si>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</si>
  <si>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</si>
  <si>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</si>
  <si>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</si>
  <si>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</si>
  <si>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</si>
  <si>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</si>
  <si>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</si>
  <si>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</si>
  <si>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</si>
  <si>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</si>
  <si>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</si>
  <si>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</si>
  <si>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</si>
  <si>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</si>
  <si>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</si>
  <si>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</si>
  <si>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</si>
  <si>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</si>
  <si>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</si>
  <si>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</si>
  <si>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</si>
  <si>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</si>
  <si>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</si>
  <si>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</si>
  <si>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</si>
  <si>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</si>
  <si>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</si>
  <si>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</si>
  <si>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</si>
  <si>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</si>
  <si>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</si>
  <si>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</si>
  <si>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</si>
  <si>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</si>
  <si>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</si>
  <si>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</si>
  <si>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</si>
  <si>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</si>
  <si>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</si>
  <si>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</si>
  <si>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</si>
  <si>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</si>
  <si>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</si>
  <si>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</si>
  <si>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</si>
  <si>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</si>
  <si>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</si>
  <si>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</si>
  <si>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</si>
  <si>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</si>
  <si>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</si>
  <si>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</si>
  <si>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</si>
  <si>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</si>
  <si>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</si>
  <si>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</si>
  <si>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</si>
  <si>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</si>
  <si>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</si>
  <si>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</si>
  <si>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</si>
  <si>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</si>
  <si>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</si>
  <si>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</si>
  <si>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</si>
  <si>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</si>
  <si>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</si>
  <si>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</si>
  <si>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</si>
  <si>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</si>
  <si>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</si>
  <si>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</si>
  <si>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</si>
  <si>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</si>
  <si>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</si>
  <si>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</si>
  <si>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</si>
  <si>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</si>
  <si>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</si>
  <si>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</si>
  <si>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</si>
  <si>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</si>
  <si>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</si>
  <si>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</si>
  <si>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</si>
  <si>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</si>
  <si>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</si>
  <si>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</si>
  <si>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</si>
  <si>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</si>
  <si>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</si>
  <si>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</si>
  <si>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</si>
  <si>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</si>
  <si>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</si>
  <si>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</si>
  <si>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</si>
  <si>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</si>
  <si>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</si>
  <si>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</si>
  <si>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</si>
  <si>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</si>
  <si>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</si>
  <si>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</si>
  <si>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</si>
  <si>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</si>
  <si>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</si>
  <si>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</si>
  <si>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</si>
  <si>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</si>
  <si>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</si>
  <si>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</si>
  <si>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</si>
  <si>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</si>
  <si>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</si>
  <si>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</si>
  <si>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</si>
  <si>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</si>
  <si>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</si>
  <si>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</si>
  <si>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</si>
  <si>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</si>
  <si>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</si>
  <si>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</si>
  <si>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</si>
  <si>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</si>
  <si>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</si>
  <si>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</si>
  <si>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</si>
  <si>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</si>
  <si>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</si>
  <si>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</si>
  <si>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</si>
  <si>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</si>
  <si>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</si>
  <si>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</si>
  <si>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</si>
  <si>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</si>
  <si>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</si>
  <si>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</si>
  <si>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</si>
  <si>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</si>
  <si>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</si>
  <si>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</si>
  <si>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</si>
  <si>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</si>
  <si>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</si>
  <si>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</si>
  <si>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</si>
  <si>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</si>
  <si>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</si>
  <si>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</si>
  <si>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</si>
  <si>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</si>
  <si>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</si>
  <si>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</si>
  <si>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</si>
  <si>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</si>
  <si>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</si>
  <si>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</si>
  <si>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</si>
  <si>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</si>
  <si>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</si>
  <si>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</si>
  <si>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</si>
  <si>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</si>
  <si>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</si>
  <si>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</si>
  <si>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</si>
  <si>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</si>
  <si>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</si>
  <si>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</si>
  <si>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</si>
  <si>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</si>
  <si>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</si>
  <si>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</si>
  <si>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</si>
  <si>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</si>
  <si>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</si>
  <si>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</si>
  <si>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</si>
  <si>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</si>
  <si>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</si>
  <si>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</si>
  <si>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</si>
  <si>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</si>
  <si>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</si>
  <si>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</si>
  <si>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</si>
  <si>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</si>
  <si>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</si>
  <si>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</si>
  <si>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</si>
  <si>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</si>
  <si>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</si>
  <si>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</si>
  <si>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</si>
  <si>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</si>
  <si>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</si>
  <si>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</si>
  <si>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</si>
  <si>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</si>
  <si>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</si>
  <si>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</si>
  <si>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</si>
  <si>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</si>
  <si>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</si>
  <si>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</si>
  <si>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</si>
  <si>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</si>
  <si>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</si>
  <si>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</si>
  <si>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</si>
  <si>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</si>
  <si>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</si>
  <si>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</si>
  <si>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</si>
  <si>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</si>
  <si>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</si>
  <si>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</si>
  <si>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</si>
  <si>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</si>
  <si>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</si>
  <si>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</si>
  <si>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</si>
  <si>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</si>
  <si>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</si>
  <si>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</si>
  <si>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</si>
  <si>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</si>
  <si>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</si>
  <si>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</si>
  <si>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</si>
  <si>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</si>
  <si>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</si>
  <si>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</si>
  <si>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</si>
  <si>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</si>
  <si>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</si>
  <si>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</si>
  <si>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</si>
  <si>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</si>
  <si>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</si>
  <si>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</si>
  <si>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</si>
  <si>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</si>
  <si>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</si>
  <si>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</si>
  <si>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</si>
  <si>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</si>
  <si>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</si>
  <si>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</si>
  <si>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</si>
  <si>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</si>
  <si>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</si>
  <si>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</si>
  <si>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</si>
  <si>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</si>
  <si>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</si>
  <si>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</si>
  <si>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</si>
  <si>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</si>
  <si>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</si>
  <si>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</si>
  <si>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</si>
  <si>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</si>
  <si>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</si>
  <si>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</si>
  <si>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</si>
  <si>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</si>
  <si>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</si>
  <si>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</si>
  <si>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</si>
  <si>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</si>
  <si>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</si>
  <si>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</si>
  <si>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</si>
  <si>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</si>
  <si>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</si>
  <si>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</si>
  <si>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</si>
  <si>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</si>
  <si>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</si>
  <si>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</si>
  <si>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</si>
  <si>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</si>
  <si>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</si>
  <si>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</si>
  <si>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</si>
  <si>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</si>
  <si>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</si>
  <si>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</si>
  <si>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</si>
  <si>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</si>
  <si>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</si>
  <si>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</si>
  <si>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</si>
  <si>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</si>
  <si>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</si>
  <si>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</si>
  <si>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</si>
  <si>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</si>
  <si>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</si>
  <si>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</si>
  <si>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</si>
  <si>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</si>
  <si>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</si>
  <si>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</si>
  <si>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</si>
  <si>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</si>
  <si>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</si>
  <si>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</si>
  <si>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</si>
  <si>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</si>
  <si>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</si>
  <si>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</si>
  <si>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</si>
  <si>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</si>
  <si>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</si>
  <si>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</si>
  <si>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</si>
  <si>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</si>
  <si>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</si>
  <si>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</si>
  <si>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</si>
  <si>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</si>
  <si>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</si>
  <si>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</si>
  <si>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</si>
  <si>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</si>
  <si>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</si>
  <si>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</si>
  <si>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</si>
  <si>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</si>
  <si>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</si>
  <si>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</si>
  <si>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</si>
  <si>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</si>
  <si>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</si>
  <si>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</si>
  <si>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</si>
  <si>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</si>
  <si>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</si>
  <si>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</si>
  <si>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</si>
  <si>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</si>
  <si>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</si>
  <si>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</si>
  <si>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</si>
  <si>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</si>
  <si>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</si>
  <si>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</si>
  <si>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</si>
  <si>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</si>
  <si>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</si>
  <si>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</si>
  <si>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</si>
  <si>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</si>
  <si>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</si>
  <si>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</si>
  <si>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</si>
  <si>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</si>
  <si>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</si>
  <si>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</si>
  <si>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</si>
  <si>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</si>
  <si>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</si>
  <si>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</si>
  <si>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</si>
  <si>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</si>
  <si>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</si>
  <si>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</si>
  <si>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</si>
  <si>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</si>
  <si>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</si>
  <si>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</si>
  <si>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</si>
  <si>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</si>
  <si>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</si>
  <si>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</si>
  <si>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</si>
  <si>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</si>
  <si>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</si>
  <si>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</si>
  <si>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</si>
  <si>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</si>
  <si>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</si>
  <si>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</si>
  <si>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</si>
  <si>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</si>
  <si>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</si>
  <si>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</si>
  <si>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</si>
  <si>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</si>
  <si>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</si>
  <si>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</si>
  <si>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</si>
  <si>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</si>
  <si>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</si>
  <si>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</si>
  <si>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</si>
  <si>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</si>
  <si>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</si>
  <si>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</si>
  <si>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</si>
  <si>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</si>
  <si>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</si>
  <si>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</si>
  <si>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</si>
  <si>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</si>
  <si>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</si>
  <si>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</si>
  <si>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</si>
  <si>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</si>
  <si>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</si>
  <si>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</si>
  <si>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</si>
  <si>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</si>
  <si>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</si>
  <si>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</si>
  <si>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</si>
  <si>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</si>
  <si>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</si>
  <si>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</si>
  <si>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</si>
  <si>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</si>
  <si>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</si>
  <si>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</si>
  <si>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</si>
  <si>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</si>
  <si>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</si>
  <si>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</si>
  <si>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</si>
  <si>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</si>
  <si>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</si>
  <si>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</si>
  <si>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</si>
  <si>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</si>
  <si>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</si>
  <si>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</si>
  <si>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</si>
  <si>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</si>
  <si>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</si>
  <si>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</si>
  <si>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</si>
  <si>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</si>
  <si>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</si>
  <si>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</si>
  <si>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</si>
  <si>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</si>
  <si>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</si>
  <si>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</si>
  <si>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</si>
  <si>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</si>
  <si>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</si>
  <si>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</si>
  <si>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</si>
  <si>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</si>
  <si>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</si>
  <si>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</si>
  <si>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</si>
  <si>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</si>
  <si>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</si>
  <si>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</si>
  <si>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</si>
  <si>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</si>
  <si>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</si>
  <si>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</si>
  <si>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</si>
  <si>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</si>
  <si>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</si>
  <si>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</si>
  <si>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</si>
  <si>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</si>
  <si>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</si>
  <si>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</si>
  <si>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</si>
  <si>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</si>
  <si>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</si>
  <si>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</si>
  <si>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</si>
  <si>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</si>
  <si>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</si>
  <si>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</si>
  <si>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</si>
  <si>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</si>
  <si>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</si>
  <si>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</si>
  <si>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</si>
  <si>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</si>
  <si>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</si>
  <si>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</si>
  <si>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</si>
  <si>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</si>
  <si>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</si>
  <si>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</si>
  <si>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</si>
  <si>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</si>
  <si>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</si>
  <si>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</si>
  <si>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</si>
  <si>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</si>
  <si>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</si>
  <si>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</si>
  <si>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</si>
  <si>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</si>
  <si>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</si>
  <si>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</si>
  <si>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</si>
  <si>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</si>
  <si>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</si>
  <si>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</si>
  <si>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</si>
  <si>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</si>
  <si>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</si>
  <si>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</si>
  <si>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</si>
  <si>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</si>
  <si>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</si>
  <si>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</si>
  <si>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</si>
  <si>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</si>
  <si>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</si>
  <si>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</si>
  <si>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</si>
  <si>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</si>
  <si>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</si>
  <si>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</si>
  <si>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</si>
  <si>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</si>
  <si>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</si>
  <si>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</si>
  <si>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</si>
  <si>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</si>
  <si>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</si>
  <si>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</si>
  <si>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</si>
  <si>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</si>
  <si>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</si>
  <si>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</si>
  <si>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</si>
  <si>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</si>
  <si>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</si>
  <si>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</si>
  <si>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</si>
  <si>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</si>
  <si>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</si>
  <si>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</si>
  <si>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</si>
  <si>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</si>
  <si>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</si>
  <si>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</si>
  <si>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</si>
  <si>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</si>
  <si>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</si>
  <si>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</si>
  <si>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</si>
  <si>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</si>
  <si>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</si>
  <si>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</si>
  <si>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</si>
  <si>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</si>
  <si>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</si>
  <si>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</si>
  <si>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</si>
  <si>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</si>
  <si>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</si>
  <si>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</si>
  <si>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</si>
  <si>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</si>
  <si>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</si>
  <si>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</si>
  <si>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</si>
  <si>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</si>
  <si>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</si>
  <si>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</si>
  <si>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</si>
  <si>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</si>
  <si>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</si>
  <si>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</si>
  <si>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</si>
  <si>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</si>
  <si>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</si>
  <si>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</si>
  <si>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</si>
  <si>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</si>
  <si>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</si>
  <si>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</si>
  <si>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</si>
  <si>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</si>
  <si>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</si>
  <si>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</si>
  <si>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</si>
  <si>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</si>
  <si>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</si>
  <si>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</si>
  <si>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</si>
  <si>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</si>
  <si>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</si>
  <si>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</si>
  <si>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</si>
  <si>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</si>
  <si>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</si>
  <si>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</si>
  <si>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</si>
  <si>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</si>
  <si>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</si>
  <si>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</si>
  <si>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</si>
  <si>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</si>
  <si>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</si>
  <si>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</si>
  <si>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</si>
  <si>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</si>
  <si>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</si>
  <si>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</si>
  <si>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</si>
  <si>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</si>
  <si>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</si>
  <si>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</si>
  <si>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</si>
  <si>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</si>
  <si>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</si>
  <si>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</si>
  <si>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</si>
  <si>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</si>
  <si>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</si>
  <si>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</si>
  <si>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</si>
  <si>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</si>
  <si>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</si>
  <si>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</si>
  <si>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</si>
  <si>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</si>
  <si>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</si>
  <si>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</si>
  <si>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</si>
  <si>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</si>
  <si>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</si>
  <si>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</si>
  <si>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</si>
  <si>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</si>
  <si>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</si>
  <si>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</si>
  <si>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</si>
  <si>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</si>
  <si>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</si>
  <si>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</si>
  <si>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</si>
  <si>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</si>
  <si>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</si>
  <si>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</si>
  <si>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</si>
  <si>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</si>
  <si>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</si>
  <si>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</si>
  <si>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</si>
  <si>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</si>
  <si>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</si>
  <si>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</si>
  <si>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</si>
  <si>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</si>
  <si>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</si>
  <si>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</si>
  <si>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</si>
  <si>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</si>
  <si>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</si>
  <si>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</si>
  <si>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</si>
  <si>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</si>
  <si>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</si>
  <si>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</si>
  <si>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</si>
  <si>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</si>
  <si>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</si>
  <si>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</si>
  <si>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</si>
  <si>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</si>
  <si>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</si>
  <si>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</si>
  <si>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</si>
  <si>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</si>
  <si>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</si>
  <si>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</si>
  <si>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</si>
  <si>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</si>
  <si>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</si>
  <si>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</si>
  <si>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</si>
  <si>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</si>
  <si>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</si>
  <si>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</si>
  <si>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</si>
  <si>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</si>
  <si>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</si>
  <si>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</si>
  <si>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</si>
  <si>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</si>
  <si>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</si>
  <si>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</si>
  <si>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</si>
  <si>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</si>
  <si>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</si>
  <si>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</si>
  <si>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</si>
  <si>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</si>
  <si>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</si>
  <si>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</si>
  <si>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</si>
  <si>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</si>
  <si>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</si>
  <si>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</si>
  <si>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</si>
  <si>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</si>
  <si>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</si>
  <si>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</si>
  <si>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</si>
  <si>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</si>
  <si>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</si>
  <si>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</si>
  <si>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</si>
  <si>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</si>
  <si>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</si>
  <si>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</si>
  <si>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</si>
  <si>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</si>
  <si>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</si>
  <si>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</si>
  <si>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</si>
  <si>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</si>
  <si>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</si>
  <si>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</si>
  <si>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</si>
  <si>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</si>
  <si>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</si>
  <si>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</si>
  <si>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</si>
  <si>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</si>
  <si>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</si>
  <si>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</si>
  <si>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</si>
  <si>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</si>
  <si>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</si>
  <si>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</si>
  <si>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</si>
  <si>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</si>
  <si>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</si>
  <si>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</si>
  <si>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</si>
  <si>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</si>
  <si>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</si>
  <si>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</si>
  <si>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</si>
  <si>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</si>
  <si>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</si>
  <si>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</si>
  <si>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</si>
  <si>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</si>
  <si>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</si>
  <si>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</si>
  <si>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</si>
  <si>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</si>
  <si>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</si>
  <si>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</si>
  <si>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</si>
  <si>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</si>
  <si>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</si>
  <si>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</si>
  <si>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</si>
  <si>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</si>
  <si>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</si>
  <si>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</si>
  <si>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</si>
  <si>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</si>
  <si>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</si>
  <si>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</si>
  <si>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</si>
  <si>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</si>
  <si>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</si>
  <si>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</si>
  <si>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</si>
  <si>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</si>
  <si>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</si>
  <si>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</si>
  <si>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</si>
  <si>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</si>
  <si>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</si>
  <si>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</si>
  <si>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</si>
  <si>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</si>
  <si>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</si>
  <si>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</si>
  <si>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</si>
  <si>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</si>
  <si>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</si>
  <si>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</si>
  <si>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</si>
  <si>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</si>
  <si>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</si>
  <si>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</si>
  <si>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</si>
  <si>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</si>
  <si>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</si>
  <si>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</si>
  <si>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</si>
  <si>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</si>
  <si>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</si>
  <si>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</si>
  <si>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</si>
  <si>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</si>
  <si>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</si>
  <si>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</si>
  <si>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</si>
  <si>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</si>
  <si>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</si>
  <si>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</si>
  <si>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</si>
  <si>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</si>
  <si>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</si>
  <si>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</si>
  <si>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</si>
  <si>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</si>
  <si>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</si>
  <si>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</si>
  <si>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</si>
  <si>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</si>
  <si>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</si>
  <si>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</si>
  <si>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</si>
  <si>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</si>
  <si>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</si>
  <si>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</si>
  <si>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</si>
  <si>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</si>
  <si>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</si>
  <si>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</si>
  <si>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</si>
  <si>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</si>
  <si>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</si>
  <si>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</si>
  <si>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</si>
  <si>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</si>
  <si>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</si>
  <si>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</si>
  <si>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</si>
  <si>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</si>
  <si>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</si>
  <si>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</si>
  <si>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</si>
  <si>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</si>
  <si>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</si>
  <si>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</si>
  <si>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</si>
  <si>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</si>
  <si>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</si>
  <si>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</si>
  <si>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</si>
  <si>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</si>
  <si>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</si>
  <si>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</si>
  <si>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</si>
  <si>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</si>
  <si>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</si>
  <si>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</si>
  <si>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</si>
  <si>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</si>
  <si>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</si>
  <si>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</si>
  <si>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</si>
  <si>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</si>
  <si>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</si>
  <si>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</si>
  <si>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</si>
  <si>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</si>
  <si>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</si>
  <si>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</si>
  <si>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</si>
  <si>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</si>
  <si>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</si>
  <si>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</si>
  <si>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</si>
  <si>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</si>
  <si>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</si>
  <si>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</si>
  <si>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</si>
  <si>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</si>
  <si>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</si>
  <si>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</si>
  <si>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</si>
  <si>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</si>
  <si>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</si>
  <si>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</si>
  <si>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</si>
  <si>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</si>
  <si>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</si>
  <si>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</si>
  <si>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</si>
  <si>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</si>
  <si>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</si>
  <si>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</si>
  <si>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</si>
  <si>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</si>
  <si>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</si>
  <si>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</si>
  <si>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</si>
  <si>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</si>
  <si>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</si>
  <si>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</si>
  <si>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</si>
  <si>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</si>
  <si>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</si>
  <si>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</si>
  <si>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</si>
  <si>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</si>
  <si>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</si>
  <si>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</si>
  <si>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</si>
  <si>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</si>
  <si>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</si>
  <si>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</si>
  <si>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</si>
  <si>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</si>
  <si>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</si>
  <si>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</si>
  <si>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</si>
  <si>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</si>
  <si>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</si>
  <si>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</si>
  <si>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</si>
  <si>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</si>
  <si>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</si>
  <si>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</si>
  <si>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</si>
  <si>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</si>
  <si>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</si>
  <si>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</si>
  <si>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</si>
  <si>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</si>
  <si>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</si>
  <si>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</si>
  <si>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</si>
  <si>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</si>
  <si>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</si>
  <si>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</si>
  <si>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</si>
  <si>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</si>
  <si>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</si>
  <si>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</si>
  <si>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</si>
  <si>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</si>
  <si>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</si>
  <si>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</si>
  <si>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</si>
  <si>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</si>
  <si>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</si>
  <si>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</si>
  <si>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</si>
  <si>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</si>
  <si>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</si>
  <si>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</si>
  <si>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</si>
  <si>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</si>
  <si>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</si>
  <si>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</si>
  <si>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</si>
  <si>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</si>
  <si>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</si>
  <si>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</si>
  <si>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</si>
  <si>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</si>
  <si>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</si>
  <si>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</si>
  <si>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</si>
  <si>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</si>
  <si>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</si>
  <si>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</si>
  <si>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</si>
  <si>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</si>
  <si>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</si>
  <si>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</si>
  <si>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</si>
  <si>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</si>
  <si>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</si>
  <si>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</si>
  <si>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</si>
  <si>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</si>
  <si>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</si>
  <si>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</si>
  <si>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</si>
  <si>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</si>
  <si>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</si>
  <si>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</si>
  <si>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</si>
  <si>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</si>
  <si>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</si>
  <si>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</si>
  <si>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</si>
  <si>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</si>
  <si>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</si>
  <si>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</si>
  <si>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</si>
  <si>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</si>
  <si>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</si>
  <si>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</si>
  <si>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</si>
  <si>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</si>
  <si>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</si>
  <si>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</si>
  <si>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</si>
  <si>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</si>
  <si>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</si>
  <si>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</si>
  <si>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</si>
  <si>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</si>
  <si>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</si>
  <si>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</si>
  <si>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</si>
  <si>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</si>
  <si>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</si>
  <si>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</si>
  <si>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</si>
  <si>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</si>
  <si>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</si>
  <si>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</si>
  <si>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</si>
  <si>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</si>
  <si>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</si>
  <si>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</si>
  <si>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</si>
  <si>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</si>
  <si>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</si>
  <si>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</si>
  <si>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</si>
  <si>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</si>
  <si>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</si>
  <si>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</si>
  <si>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</si>
  <si>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</si>
  <si>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</si>
  <si>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</si>
  <si>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</si>
  <si>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</si>
  <si>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</si>
  <si>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</si>
  <si>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</si>
  <si>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</si>
  <si>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</si>
  <si>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</si>
  <si>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</si>
  <si>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</si>
  <si>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</si>
  <si>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</si>
  <si>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</si>
  <si>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</si>
  <si>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</si>
  <si>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</si>
  <si>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</si>
  <si>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</si>
  <si>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</si>
  <si>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</si>
  <si>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</si>
  <si>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</si>
  <si>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</si>
  <si>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</si>
  <si>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</si>
  <si>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</si>
  <si>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</si>
  <si>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</si>
  <si>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</si>
  <si>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</si>
  <si>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</si>
  <si>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</si>
  <si>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</si>
  <si>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</si>
  <si>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</si>
  <si>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</si>
  <si>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</si>
  <si>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</si>
  <si>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</si>
  <si>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</si>
  <si>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</si>
  <si>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</si>
  <si>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</si>
  <si>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</si>
  <si>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</si>
  <si>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</si>
  <si>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</si>
  <si>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</si>
  <si>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</si>
  <si>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</si>
  <si>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</si>
  <si>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</si>
  <si>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</si>
  <si>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</si>
  <si>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</si>
  <si>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</si>
  <si>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</si>
  <si>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</si>
  <si>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</si>
  <si>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</si>
  <si>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</si>
  <si>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</si>
  <si>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</si>
  <si>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</si>
  <si>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</si>
  <si>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</si>
  <si>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</si>
  <si>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</si>
  <si>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</si>
  <si>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</si>
  <si>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</si>
  <si>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</si>
  <si>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</si>
  <si>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</si>
  <si>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</si>
  <si>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</si>
  <si>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</si>
  <si>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</si>
  <si>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</si>
  <si>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</si>
  <si>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</si>
  <si>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</si>
  <si>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</si>
  <si>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</si>
  <si>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</si>
  <si>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</si>
  <si>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</si>
  <si>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</si>
  <si>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</si>
  <si>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</si>
  <si>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</si>
  <si>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</si>
  <si>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</si>
  <si>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</si>
  <si>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</si>
  <si>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</si>
  <si>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</si>
  <si>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</si>
  <si>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</si>
  <si>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</si>
  <si>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</si>
  <si>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</si>
  <si>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</si>
  <si>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</si>
  <si>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</si>
  <si>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</si>
  <si>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</si>
  <si>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</si>
  <si>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</si>
  <si>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</si>
  <si>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</si>
  <si>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</si>
  <si>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</si>
  <si>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</si>
  <si>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</si>
  <si>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</si>
  <si>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</si>
  <si>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</si>
  <si>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</si>
  <si>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</si>
  <si>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</si>
  <si>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</si>
  <si>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</si>
  <si>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</si>
  <si>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</si>
  <si>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</si>
  <si>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</si>
  <si>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</si>
  <si>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</si>
  <si>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</si>
  <si>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</si>
  <si>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</si>
  <si>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</si>
  <si>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</si>
  <si>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</si>
  <si>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</si>
  <si>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</si>
  <si>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</si>
  <si>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</si>
  <si>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</si>
  <si>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</si>
  <si>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</si>
  <si>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</si>
  <si>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</si>
  <si>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</si>
  <si>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</si>
  <si>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</si>
  <si>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</si>
  <si>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</si>
  <si>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</si>
  <si>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</si>
  <si>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</si>
  <si>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</si>
  <si>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</si>
  <si>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</si>
  <si>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</si>
  <si>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</si>
  <si>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</si>
  <si>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</si>
  <si>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</si>
  <si>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</si>
  <si>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</si>
  <si>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</si>
  <si>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</si>
  <si>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</si>
  <si>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</si>
  <si>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</si>
  <si>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</si>
  <si>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</si>
  <si>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</si>
  <si>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</si>
  <si>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</si>
  <si>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</si>
  <si>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</si>
  <si>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</si>
  <si>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</si>
  <si>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</si>
  <si>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</si>
  <si>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</si>
  <si>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</si>
  <si>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</si>
  <si>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</si>
  <si>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</si>
  <si>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</si>
  <si>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</si>
  <si>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</si>
  <si>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</si>
  <si>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</si>
  <si>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</si>
  <si>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</si>
  <si>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</si>
  <si>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</si>
  <si>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</si>
  <si>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</si>
  <si>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</si>
  <si>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</si>
  <si>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</si>
  <si>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</si>
  <si>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</si>
  <si>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</si>
  <si>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</si>
  <si>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</si>
  <si>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</si>
  <si>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</si>
  <si>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</si>
  <si>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</si>
  <si>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</si>
  <si>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</si>
  <si>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</si>
  <si>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</si>
  <si>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</si>
  <si>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</si>
  <si>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</si>
  <si>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</si>
  <si>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</si>
  <si>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</si>
  <si>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</si>
  <si>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</si>
  <si>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</si>
  <si>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</si>
  <si>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</si>
  <si>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</si>
  <si>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</si>
  <si>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</si>
  <si>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</si>
  <si>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</si>
  <si>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</si>
  <si>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</si>
  <si>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</si>
  <si>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</si>
  <si>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</si>
  <si>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</si>
  <si>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</si>
  <si>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</si>
  <si>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</si>
  <si>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</si>
  <si>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</si>
  <si>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</si>
  <si>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</si>
  <si>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</si>
  <si>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</si>
  <si>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</si>
  <si>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</si>
  <si>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</si>
  <si>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</si>
  <si>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</si>
  <si>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</si>
  <si>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</si>
  <si>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</si>
  <si>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</si>
  <si>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</si>
  <si>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</si>
  <si>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</si>
  <si>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</si>
  <si>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</si>
  <si>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</si>
  <si>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</si>
  <si>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</si>
  <si>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</si>
  <si>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</si>
  <si>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</si>
  <si>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</si>
  <si>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</si>
  <si>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</si>
  <si>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</si>
  <si>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</si>
  <si>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</si>
  <si>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</si>
  <si>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</si>
  <si>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</si>
  <si>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</si>
  <si>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</si>
  <si>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</si>
  <si>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</si>
  <si>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</si>
  <si>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</si>
  <si>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</si>
  <si>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</si>
  <si>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</si>
  <si>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</si>
  <si>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</si>
  <si>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</si>
  <si>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</si>
  <si>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</si>
  <si>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</si>
  <si>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</si>
  <si>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</si>
  <si>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</si>
  <si>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</si>
  <si>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</si>
  <si>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</si>
  <si>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</si>
  <si>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</si>
  <si>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</si>
  <si>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</si>
  <si>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</si>
  <si>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</si>
  <si>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</si>
  <si>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</si>
  <si>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</si>
  <si>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</si>
  <si>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</si>
  <si>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</si>
  <si>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</si>
  <si>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</si>
  <si>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</si>
  <si>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</si>
  <si>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</si>
  <si>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</si>
  <si>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</si>
  <si>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</si>
  <si>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</si>
  <si>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</si>
  <si>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</si>
  <si>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</si>
  <si>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</si>
  <si>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</si>
  <si>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</si>
  <si>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</si>
  <si>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</si>
  <si>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</si>
  <si>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</si>
  <si>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</si>
  <si>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</si>
  <si>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</si>
  <si>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</si>
  <si>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</si>
  <si>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</si>
  <si>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</si>
  <si>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</si>
  <si>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</si>
  <si>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</si>
  <si>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</si>
  <si>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</si>
  <si>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</si>
  <si>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</si>
  <si>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</si>
  <si>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</si>
  <si>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</si>
  <si>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</si>
  <si>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</si>
  <si>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</si>
  <si>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</si>
  <si>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</si>
  <si>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</si>
  <si>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</si>
  <si>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</si>
  <si>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</si>
  <si>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</si>
  <si>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</si>
  <si>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</si>
  <si>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</si>
  <si>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</si>
  <si>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</si>
  <si>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</si>
  <si>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</si>
  <si>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</si>
  <si>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</si>
  <si>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</si>
  <si>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</si>
  <si>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</si>
  <si>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</si>
  <si>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</si>
  <si>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</si>
  <si>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</si>
  <si>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</si>
  <si>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</si>
  <si>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</si>
  <si>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</si>
  <si>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</si>
  <si>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</si>
  <si>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</si>
  <si>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</si>
  <si>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</si>
  <si>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</si>
  <si>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</si>
  <si>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</si>
  <si>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</si>
  <si>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</si>
  <si>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</si>
  <si>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</si>
  <si>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</si>
  <si>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</si>
  <si>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</si>
  <si>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</si>
  <si>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</si>
  <si>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</si>
  <si>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</si>
  <si>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</si>
  <si>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</si>
  <si>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</si>
  <si>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</si>
  <si>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</si>
  <si>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</si>
  <si>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</si>
  <si>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</si>
  <si>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</si>
  <si>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</si>
  <si>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</si>
  <si>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</si>
  <si>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</si>
  <si>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</si>
  <si>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</si>
  <si>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</si>
  <si>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</si>
  <si>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</si>
  <si>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</si>
  <si>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</si>
  <si>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</si>
  <si>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</si>
  <si>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</si>
  <si>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</si>
  <si>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</si>
  <si>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</si>
  <si>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</si>
  <si>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</si>
  <si>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</si>
  <si>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</si>
  <si>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</si>
  <si>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</si>
  <si>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</si>
  <si>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</si>
  <si>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</si>
  <si>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</si>
  <si>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</si>
  <si>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</si>
  <si>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</si>
  <si>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</si>
  <si>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</si>
  <si>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</si>
  <si>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</si>
  <si>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</si>
  <si>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</si>
  <si>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</si>
  <si>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</si>
  <si>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</si>
  <si>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</si>
  <si>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</si>
  <si>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</si>
  <si>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</si>
  <si>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</si>
  <si>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</si>
  <si>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</si>
  <si>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</si>
  <si>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</si>
  <si>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</si>
  <si>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</si>
  <si>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</si>
  <si>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</si>
  <si>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</si>
  <si>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</si>
  <si>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</si>
  <si>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</si>
  <si>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</si>
  <si>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</si>
  <si>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</si>
  <si>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</si>
  <si>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</si>
  <si>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</si>
  <si>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</si>
  <si>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</si>
  <si>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</si>
  <si>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</si>
  <si>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</si>
  <si>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</si>
  <si>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</si>
  <si>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</si>
  <si>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</si>
  <si>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</si>
  <si>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</si>
  <si>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</si>
  <si>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</si>
  <si>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</si>
  <si>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</si>
  <si>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</si>
  <si>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</si>
  <si>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</si>
  <si>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</si>
  <si>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</si>
  <si>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</si>
  <si>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</si>
  <si>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</si>
  <si>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</si>
  <si>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</si>
  <si>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</si>
  <si>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</si>
  <si>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</si>
  <si>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</si>
  <si>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</si>
  <si>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</si>
  <si>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</si>
  <si>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</si>
  <si>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</si>
  <si>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</si>
  <si>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</si>
  <si>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</si>
  <si>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</si>
  <si>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</si>
  <si>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</si>
  <si>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</si>
  <si>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</si>
  <si>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</si>
  <si>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</si>
  <si>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</si>
  <si>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</si>
  <si>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</si>
  <si>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</si>
  <si>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</si>
  <si>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</si>
  <si>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</si>
  <si>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</si>
  <si>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</si>
  <si>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</si>
  <si>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</si>
  <si>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</si>
  <si>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</si>
  <si>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</si>
  <si>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</si>
  <si>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</si>
  <si>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</si>
  <si>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</si>
  <si>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</si>
  <si>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</si>
  <si>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</si>
  <si>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</si>
  <si>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</si>
  <si>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</si>
  <si>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</si>
  <si>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</si>
  <si>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</si>
  <si>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</si>
  <si>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</si>
  <si>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</si>
  <si>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</si>
  <si>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</si>
  <si>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</si>
  <si>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</si>
  <si>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</si>
  <si>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</si>
  <si>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</si>
  <si>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</si>
  <si>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</si>
  <si>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</si>
  <si>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</si>
  <si>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</si>
  <si>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</si>
  <si>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</si>
  <si>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</si>
  <si>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</si>
  <si>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</si>
  <si>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</si>
  <si>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</si>
  <si>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</si>
  <si>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</si>
  <si>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</si>
  <si>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</si>
  <si>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</si>
  <si>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</si>
  <si>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</si>
  <si>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</si>
  <si>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</si>
  <si>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</si>
  <si>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</si>
  <si>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</si>
  <si>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</si>
  <si>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</si>
  <si>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</si>
  <si>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</si>
  <si>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</si>
  <si>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</si>
  <si>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</si>
  <si>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</si>
  <si>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</si>
  <si>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</si>
  <si>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</si>
  <si>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</si>
  <si>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</si>
  <si>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</si>
  <si>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</si>
  <si>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</si>
  <si>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</si>
  <si>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</si>
  <si>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</si>
  <si>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</si>
  <si>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</si>
  <si>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</si>
  <si>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</si>
  <si>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</si>
  <si>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</si>
  <si>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</si>
  <si>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</si>
  <si>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</si>
  <si>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</si>
  <si>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</si>
  <si>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</si>
  <si>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</si>
  <si>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</si>
  <si>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</si>
  <si>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</si>
  <si>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</si>
  <si>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</si>
  <si>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</si>
  <si>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</si>
  <si>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</si>
  <si>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</si>
  <si>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</si>
  <si>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</si>
  <si>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</si>
  <si>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</si>
  <si>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</si>
  <si>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</si>
  <si>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</si>
  <si>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</si>
  <si>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</si>
  <si>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</si>
  <si>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</si>
  <si>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</si>
  <si>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</si>
  <si>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</si>
  <si>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</si>
  <si>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</si>
  <si>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</si>
  <si>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</si>
  <si>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</si>
  <si>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</si>
  <si>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</si>
  <si>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</si>
  <si>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</si>
  <si>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</si>
  <si>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</si>
  <si>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</si>
  <si>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</si>
  <si>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</si>
  <si>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</si>
  <si>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</si>
  <si>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</si>
  <si>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</si>
  <si>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</si>
  <si>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</si>
  <si>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</si>
  <si>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</si>
  <si>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</si>
  <si>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</si>
  <si>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</si>
  <si>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</si>
  <si>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</si>
  <si>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</si>
  <si>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</si>
  <si>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</si>
  <si>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</si>
  <si>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</si>
  <si>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</si>
  <si>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</si>
  <si>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</si>
  <si>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</si>
  <si>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</si>
  <si>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</si>
  <si>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</si>
  <si>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</si>
  <si>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</si>
  <si>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</si>
  <si>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</si>
  <si>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</si>
  <si>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</si>
  <si>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</si>
  <si>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</si>
  <si>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</si>
  <si>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</si>
  <si>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</si>
  <si>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</si>
  <si>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</si>
  <si>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</si>
  <si>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</si>
  <si>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</si>
  <si>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</si>
  <si>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</si>
  <si>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</si>
  <si>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</si>
  <si>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</si>
  <si>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</si>
  <si>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</si>
  <si>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</si>
  <si>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</si>
  <si>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</si>
  <si>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</si>
  <si>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</si>
  <si>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</si>
  <si>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</si>
  <si>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</si>
  <si>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</si>
  <si>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</si>
  <si>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</si>
  <si>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</si>
  <si>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</si>
  <si>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</si>
  <si>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</si>
  <si>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</si>
  <si>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</si>
  <si>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</si>
  <si>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</si>
  <si>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</si>
  <si>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</si>
  <si>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</si>
  <si>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</si>
  <si>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Russell Leigh &amp; Associates</t>
  </si>
  <si>
    <t>228 East Main</t>
  </si>
  <si>
    <t>Hoopeston</t>
  </si>
  <si>
    <t>IL</t>
  </si>
  <si>
    <t>217-283-9336</t>
  </si>
  <si>
    <t>217-283-9736</t>
  </si>
  <si>
    <t>Russ Leigh &amp; Associates</t>
  </si>
  <si>
    <t>Russ Leigh</t>
  </si>
  <si>
    <t>065-018319</t>
  </si>
  <si>
    <t>X</t>
  </si>
  <si>
    <t>Kankakee</t>
  </si>
  <si>
    <t>700 North Street</t>
  </si>
  <si>
    <t>Bradley</t>
  </si>
  <si>
    <t>Dr Scott Wakeley</t>
  </si>
  <si>
    <t>815-937-3707</t>
  </si>
  <si>
    <t>815-937-0156</t>
  </si>
  <si>
    <t>Alternative Revenue Bonds</t>
  </si>
  <si>
    <t>Refunding Bonds</t>
  </si>
  <si>
    <t>Refunding Bonds-Alternative Revenue Sources</t>
  </si>
  <si>
    <t>Regional Office of Education</t>
  </si>
  <si>
    <t>Kankakee Aea Career Center</t>
  </si>
  <si>
    <r>
      <t xml:space="preserve">The accompanying Schedule of Expenditures of Federal Awards includes the federal grant activity of </t>
    </r>
    <r>
      <rPr>
        <b/>
        <sz val="9"/>
        <rFont val="Calibri"/>
        <family val="2"/>
        <scheme val="minor"/>
      </rPr>
      <t>Bradley Bourbonnais Community High School Dist #307</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</si>
  <si>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in the schedule, Bradley Bourbonnais Community High School District #307 provided federal aeawds to subrecipients as follows:</t>
  </si>
  <si>
    <t>None</t>
  </si>
  <si>
    <r>
      <t xml:space="preserve">The following amounts were expended in the form of non-cash assistance by </t>
    </r>
    <r>
      <rPr>
        <b/>
        <sz val="9"/>
        <rFont val="Calibri"/>
        <family val="2"/>
        <scheme val="minor"/>
      </rPr>
      <t>Bradley Bourbonnais Community High School District #307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</si>
  <si>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t>
  </si>
  <si>
    <t>admin@russleigh.com</t>
  </si>
  <si>
    <t>U.S. Department of Agriculture</t>
  </si>
  <si>
    <t xml:space="preserve">   Passes Through the Illinois State Board of Education</t>
  </si>
  <si>
    <t>(M) National School Lunch-17</t>
  </si>
  <si>
    <t>(M) National School Lunch-18</t>
  </si>
  <si>
    <t xml:space="preserve">        School Breakfast-17</t>
  </si>
  <si>
    <t xml:space="preserve">        School Breakfast-18</t>
  </si>
  <si>
    <t xml:space="preserve">        Fresh Fruits /Vegtables</t>
  </si>
  <si>
    <t>U.S. Department of Education</t>
  </si>
  <si>
    <t xml:space="preserve">     Passes Through the Illinois State Board of Education</t>
  </si>
  <si>
    <t xml:space="preserve">         Title I-Low Income-17</t>
  </si>
  <si>
    <t xml:space="preserve">         Title I-Low Income-18</t>
  </si>
  <si>
    <t>(M) Special Education-Flow Thru-17</t>
  </si>
  <si>
    <t>(M) Special Education-Flow Thru-18</t>
  </si>
  <si>
    <t xml:space="preserve">            Total U.S. Department of Education</t>
  </si>
  <si>
    <t xml:space="preserve">          Total U.S. Department of Agriculture</t>
  </si>
  <si>
    <t>U.S. Department of Human Services</t>
  </si>
  <si>
    <t xml:space="preserve">  Passed Thru the IL Dept of Healthcare &amp; Family Serv</t>
  </si>
  <si>
    <t xml:space="preserve">        Title II-Teacher Quality-17</t>
  </si>
  <si>
    <t xml:space="preserve">        Title II-Teacher Quality-18</t>
  </si>
  <si>
    <t xml:space="preserve">        Title Iva Student Support &amp; Academic Enric-18</t>
  </si>
  <si>
    <t xml:space="preserve">        Rehab Services-Step 17</t>
  </si>
  <si>
    <t xml:space="preserve">        Rehab Services-Step 18</t>
  </si>
  <si>
    <t>746CVD00036</t>
  </si>
  <si>
    <t>846CWF00036</t>
  </si>
  <si>
    <t xml:space="preserve">             </t>
  </si>
  <si>
    <t xml:space="preserve">             Total Department of Human Services</t>
  </si>
  <si>
    <t>U.S. Department Health &amp; Family Services</t>
  </si>
  <si>
    <t xml:space="preserve">  Passed Thru the IL Deptment of Healthcare &amp; Family Services</t>
  </si>
  <si>
    <t xml:space="preserve">        Medicare-Administrative Outreach</t>
  </si>
  <si>
    <t xml:space="preserve">             Total Dept of Healthcare &amp; Family Services</t>
  </si>
  <si>
    <t>Total Federal Financial Assistance</t>
  </si>
  <si>
    <t>84.027a</t>
  </si>
  <si>
    <t>84.010a</t>
  </si>
  <si>
    <t>84.367a</t>
  </si>
  <si>
    <t xml:space="preserve">        School Commodities</t>
  </si>
  <si>
    <t>Special Education-Flow Thru</t>
  </si>
  <si>
    <t>Adverse-GAAP/Qualified-Regulatory</t>
  </si>
  <si>
    <t>NONE</t>
  </si>
  <si>
    <t>RESOURCE OFFICERS</t>
  </si>
  <si>
    <t>VILLAGE OF BRADLEY</t>
  </si>
  <si>
    <t>SPECIAL EDUCATION TRANSPORTATION</t>
  </si>
  <si>
    <t>CUSTODIAL CONTRACT SERVICE</t>
  </si>
  <si>
    <t>GCA SERVICE GROUP</t>
  </si>
  <si>
    <t>ATHLETIC TRAINER PURCHASE SERVICE</t>
  </si>
  <si>
    <t>ATI PHYSICAL THERAPY</t>
  </si>
  <si>
    <t>SUNRIRE SOUTHWEST LLC</t>
  </si>
  <si>
    <t>Bradley Bourbonnais CHSD 307</t>
  </si>
  <si>
    <t>20-2540-300</t>
  </si>
  <si>
    <t>40-2550-300</t>
  </si>
  <si>
    <t>10-2100-300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</si>
</sst>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781050</xdr:colOff>
          <xdr:row>3</xdr:row>
          <xdr:rowOff>161925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2084</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2074</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v>32046307016</v>
      </c>
      <c r="B13" s="2038"/>
      <c r="C13" s="2038"/>
      <c r="D13" s="2038"/>
      <c r="E13" s="2038"/>
      <c r="F13" s="2038"/>
      <c r="G13" s="2038"/>
      <c r="H13" s="2039"/>
      <c r="I13" s="31"/>
      <c r="J13" s="30"/>
      <c r="K13" s="28"/>
      <c r="L13" s="30"/>
      <c r="M13" s="30"/>
      <c r="N13" s="30"/>
      <c r="O13" s="30"/>
      <c r="P13" s="30"/>
      <c r="Q13" s="30"/>
      <c r="R13" s="30"/>
      <c r="S13" s="30"/>
      <c r="T13" s="2042" t="s">
        <v>2075</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2085</v>
      </c>
      <c r="B15" s="2040"/>
      <c r="C15" s="2040"/>
      <c r="D15" s="2040"/>
      <c r="E15" s="2040"/>
      <c r="F15" s="2040"/>
      <c r="G15" s="2040"/>
      <c r="H15" s="2041"/>
      <c r="T15" s="2046" t="s">
        <v>2082</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2148</v>
      </c>
      <c r="B17" s="1997"/>
      <c r="C17" s="1997"/>
      <c r="D17" s="1997"/>
      <c r="E17" s="1997"/>
      <c r="F17" s="1997"/>
      <c r="G17" s="1997"/>
      <c r="H17" s="2022"/>
      <c r="T17" s="2053" t="s">
        <v>2076</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2086</v>
      </c>
      <c r="B19" s="1982"/>
      <c r="C19" s="1982"/>
      <c r="D19" s="1982"/>
      <c r="E19" s="1982"/>
      <c r="F19" s="1982"/>
      <c r="G19" s="1982"/>
      <c r="H19" s="1962"/>
      <c r="I19" s="30"/>
      <c r="J19" s="99"/>
      <c r="K19" s="40"/>
      <c r="L19" s="38"/>
      <c r="M19" s="112" t="s">
        <v>333</v>
      </c>
      <c r="P19" s="27"/>
      <c r="Q19" s="27"/>
      <c r="R19" s="27"/>
      <c r="S19" s="31"/>
      <c r="T19" s="2036" t="s">
        <v>2077</v>
      </c>
      <c r="U19" s="1961"/>
      <c r="V19" s="1961"/>
      <c r="W19" s="1962"/>
      <c r="X19" s="2051" t="s">
        <v>2078</v>
      </c>
      <c r="Y19" s="2052"/>
      <c r="Z19" s="2049">
        <v>60942</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2087</v>
      </c>
      <c r="B21" s="1961"/>
      <c r="C21" s="1961"/>
      <c r="D21" s="1961"/>
      <c r="E21" s="1961"/>
      <c r="F21" s="1961"/>
      <c r="G21" s="1961"/>
      <c r="H21" s="1962"/>
      <c r="I21" s="2016" t="s">
        <v>699</v>
      </c>
      <c r="J21" s="2011"/>
      <c r="K21" s="2011"/>
      <c r="L21" s="2011"/>
      <c r="M21" s="2011"/>
      <c r="N21" s="2011"/>
      <c r="O21" s="2011"/>
      <c r="P21" s="2011"/>
      <c r="Q21" s="2011"/>
      <c r="R21" s="2011"/>
      <c r="S21" s="2017"/>
      <c r="T21" s="2060" t="s">
        <v>2079</v>
      </c>
      <c r="U21" s="2061"/>
      <c r="V21" s="2061"/>
      <c r="W21" s="2061"/>
      <c r="X21" s="2066" t="s">
        <v>2080</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c r="B23" s="2014"/>
      <c r="C23" s="2014"/>
      <c r="D23" s="2014"/>
      <c r="E23" s="2014"/>
      <c r="F23" s="2014"/>
      <c r="G23" s="2014"/>
      <c r="H23" s="2015"/>
      <c r="T23" s="1996" t="s">
        <v>2083</v>
      </c>
      <c r="U23" s="2059"/>
      <c r="V23" s="2059"/>
      <c r="W23" s="2059"/>
      <c r="X23" s="2063">
        <v>44469</v>
      </c>
      <c r="Y23" s="2064"/>
      <c r="Z23" s="2064"/>
      <c r="AA23" s="2065"/>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60915</v>
      </c>
      <c r="B25" s="1961"/>
      <c r="C25" s="1961"/>
      <c r="D25" s="1961"/>
      <c r="E25" s="1961"/>
      <c r="F25" s="1961"/>
      <c r="G25" s="1961"/>
      <c r="H25" s="1962"/>
      <c r="I25" s="113"/>
      <c r="J25" s="1985"/>
      <c r="K25" s="1985"/>
      <c r="L25" s="1985"/>
      <c r="M25" s="1985"/>
      <c r="N25" s="1985"/>
      <c r="O25" s="1985"/>
      <c r="P25" s="1985"/>
      <c r="Q25" s="1985"/>
      <c r="R25" s="1985"/>
      <c r="S25" s="1986"/>
      <c r="T25" s="2056" t="s">
        <v>2101</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48"/>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48"/>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2088</v>
      </c>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2089</v>
      </c>
      <c r="B42" s="1980"/>
      <c r="C42" s="1981"/>
      <c r="D42" s="1979" t="s">
        <v>2090</v>
      </c>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1902</v>
      </c>
      <c r="B2" s="1550" t="s">
        <v>2034</v>
      </c>
      <c r="C2" s="715" t="s">
        <v>1907</v>
      </c>
      <c r="D2" s="715" t="s">
        <v>1908</v>
      </c>
      <c r="E2" s="715" t="s">
        <v>1909</v>
      </c>
      <c r="F2" s="715" t="s">
        <v>1910</v>
      </c>
    </row>
    <row r="3" spans="1:6" ht="12" customHeight="1" x14ac:dyDescent="0.2">
      <c r="A3" s="2203"/>
      <c r="B3" s="1547"/>
      <c r="C3" s="1548"/>
      <c r="D3" s="1549" t="s">
        <v>274</v>
      </c>
      <c r="E3" s="1548"/>
      <c r="F3" s="1549" t="s">
        <v>275</v>
      </c>
    </row>
    <row r="4" spans="1:6" ht="13.7" customHeight="1" x14ac:dyDescent="0.2">
      <c r="A4" s="716" t="s">
        <v>1217</v>
      </c>
      <c r="B4" s="1771">
        <f>'Revenues 9-14'!C5</f>
        <v>10094325</v>
      </c>
      <c r="C4" s="1546"/>
      <c r="D4" s="1774">
        <f>B4-C4</f>
        <v>10094325</v>
      </c>
      <c r="E4" s="1546">
        <v>10463900</v>
      </c>
      <c r="F4" s="1774">
        <f>E4-C4</f>
        <v>10463900</v>
      </c>
    </row>
    <row r="5" spans="1:6" ht="13.7" customHeight="1" x14ac:dyDescent="0.2">
      <c r="A5" s="716" t="s">
        <v>925</v>
      </c>
      <c r="B5" s="1772">
        <f>'Revenues 9-14'!D5</f>
        <v>2898917</v>
      </c>
      <c r="C5" s="585"/>
      <c r="D5" s="1775">
        <f t="shared" ref="D5:D18" si="0">B5-C5</f>
        <v>2898917</v>
      </c>
      <c r="E5" s="585">
        <v>3005230</v>
      </c>
      <c r="F5" s="1775">
        <f>E5-C5</f>
        <v>3005230</v>
      </c>
    </row>
    <row r="6" spans="1:6" ht="13.7" customHeight="1" x14ac:dyDescent="0.2">
      <c r="A6" s="716" t="s">
        <v>431</v>
      </c>
      <c r="B6" s="1772">
        <f>'Revenues 9-14'!E5</f>
        <v>521663</v>
      </c>
      <c r="C6" s="585"/>
      <c r="D6" s="1775">
        <f t="shared" si="0"/>
        <v>521663</v>
      </c>
      <c r="E6" s="585">
        <v>533325</v>
      </c>
      <c r="F6" s="1775">
        <f t="shared" ref="F6:F18" si="1">E6-C6</f>
        <v>533325</v>
      </c>
    </row>
    <row r="7" spans="1:6" ht="13.7" customHeight="1" x14ac:dyDescent="0.2">
      <c r="A7" s="716" t="s">
        <v>157</v>
      </c>
      <c r="B7" s="1772">
        <f>'Revenues 9-14'!F5</f>
        <v>821940</v>
      </c>
      <c r="C7" s="585"/>
      <c r="D7" s="1775">
        <f t="shared" si="0"/>
        <v>821940</v>
      </c>
      <c r="E7" s="585">
        <v>852603</v>
      </c>
      <c r="F7" s="1775">
        <f t="shared" si="1"/>
        <v>852603</v>
      </c>
    </row>
    <row r="8" spans="1:6" ht="13.7" customHeight="1" x14ac:dyDescent="0.2">
      <c r="A8" s="716" t="s">
        <v>1241</v>
      </c>
      <c r="B8" s="1772">
        <f>'Revenues 9-14'!G5</f>
        <v>217942</v>
      </c>
      <c r="C8" s="585"/>
      <c r="D8" s="1775">
        <f t="shared" si="0"/>
        <v>217942</v>
      </c>
      <c r="E8" s="585">
        <v>226216</v>
      </c>
      <c r="F8" s="1775">
        <f t="shared" si="1"/>
        <v>226216</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8988</v>
      </c>
      <c r="C10" s="585"/>
      <c r="D10" s="1775">
        <f t="shared" si="0"/>
        <v>8988</v>
      </c>
      <c r="E10" s="585">
        <v>10022</v>
      </c>
      <c r="F10" s="1775">
        <f t="shared" si="1"/>
        <v>10022</v>
      </c>
    </row>
    <row r="11" spans="1:6" x14ac:dyDescent="0.2">
      <c r="A11" s="716" t="s">
        <v>429</v>
      </c>
      <c r="B11" s="1772">
        <f>'Revenues 9-14'!J5</f>
        <v>8988</v>
      </c>
      <c r="C11" s="585"/>
      <c r="D11" s="1775">
        <f t="shared" si="0"/>
        <v>8988</v>
      </c>
      <c r="E11" s="585">
        <v>10022</v>
      </c>
      <c r="F11" s="1775">
        <f t="shared" si="1"/>
        <v>10022</v>
      </c>
    </row>
    <row r="12" spans="1:6" ht="13.7" customHeight="1" x14ac:dyDescent="0.2">
      <c r="A12" s="716" t="s">
        <v>159</v>
      </c>
      <c r="B12" s="1772">
        <f>'Revenues 9-14'!K5</f>
        <v>8988</v>
      </c>
      <c r="C12" s="585"/>
      <c r="D12" s="1775">
        <f t="shared" si="0"/>
        <v>8988</v>
      </c>
      <c r="E12" s="585">
        <v>10022</v>
      </c>
      <c r="F12" s="1775">
        <f t="shared" si="1"/>
        <v>10022</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8987</v>
      </c>
      <c r="C14" s="585"/>
      <c r="D14" s="1775">
        <f t="shared" si="0"/>
        <v>8987</v>
      </c>
      <c r="E14" s="585">
        <v>10022</v>
      </c>
      <c r="F14" s="1775">
        <f t="shared" si="1"/>
        <v>10022</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14590738</v>
      </c>
      <c r="C19" s="1773">
        <f>SUM(C4:C18)</f>
        <v>0</v>
      </c>
      <c r="D19" s="1773">
        <f>SUM(D4:D18)</f>
        <v>14590738</v>
      </c>
      <c r="E19" s="1773">
        <f>SUM(E4:E18)</f>
        <v>15121362</v>
      </c>
      <c r="F19" s="1773">
        <f>SUM(F4:F18)</f>
        <v>15121362</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C36" sqref="C3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1902</v>
      </c>
      <c r="B2" s="2230"/>
      <c r="C2" s="1909" t="s">
        <v>2035</v>
      </c>
      <c r="D2" s="724" t="s">
        <v>2042</v>
      </c>
      <c r="E2" s="724" t="s">
        <v>2043</v>
      </c>
      <c r="F2" s="1909" t="s">
        <v>2036</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2091</v>
      </c>
      <c r="B31" s="734">
        <v>39804</v>
      </c>
      <c r="C31" s="735">
        <v>7285000</v>
      </c>
      <c r="D31" s="736">
        <v>7</v>
      </c>
      <c r="E31" s="735">
        <v>1460000</v>
      </c>
      <c r="F31" s="735"/>
      <c r="G31" s="735"/>
      <c r="H31" s="735"/>
      <c r="I31" s="1778">
        <f>((E31+F31)-H31)+G31</f>
        <v>1460000</v>
      </c>
      <c r="J31" s="735">
        <v>1458369</v>
      </c>
      <c r="K31" s="737"/>
    </row>
    <row r="32" spans="1:11" ht="12" customHeight="1" x14ac:dyDescent="0.2">
      <c r="A32" s="733" t="s">
        <v>427</v>
      </c>
      <c r="B32" s="734">
        <v>40100</v>
      </c>
      <c r="C32" s="735">
        <v>400000</v>
      </c>
      <c r="D32" s="736">
        <v>1</v>
      </c>
      <c r="E32" s="735">
        <v>400000</v>
      </c>
      <c r="F32" s="735"/>
      <c r="G32" s="735"/>
      <c r="H32" s="735"/>
      <c r="I32" s="1778">
        <f>((E32+F32)-H32)+G32</f>
        <v>400000</v>
      </c>
      <c r="J32" s="735">
        <v>399826</v>
      </c>
      <c r="K32" s="737"/>
    </row>
    <row r="33" spans="1:11" ht="12" customHeight="1" x14ac:dyDescent="0.2">
      <c r="A33" s="733" t="s">
        <v>427</v>
      </c>
      <c r="B33" s="734">
        <v>40465</v>
      </c>
      <c r="C33" s="735">
        <v>3600000</v>
      </c>
      <c r="D33" s="736">
        <v>1</v>
      </c>
      <c r="E33" s="735">
        <v>3600000</v>
      </c>
      <c r="F33" s="735"/>
      <c r="G33" s="735"/>
      <c r="H33" s="735"/>
      <c r="I33" s="1778">
        <f t="shared" ref="I33:I48" si="1">((E33+F33)-H33)+G33</f>
        <v>3600000</v>
      </c>
      <c r="J33" s="735">
        <v>3599117</v>
      </c>
      <c r="K33" s="737"/>
    </row>
    <row r="34" spans="1:11" ht="12" customHeight="1" x14ac:dyDescent="0.2">
      <c r="A34" s="733" t="s">
        <v>2092</v>
      </c>
      <c r="B34" s="734">
        <v>41996</v>
      </c>
      <c r="C34" s="735">
        <v>1305000</v>
      </c>
      <c r="D34" s="736">
        <v>3</v>
      </c>
      <c r="E34" s="735">
        <v>560000</v>
      </c>
      <c r="F34" s="735"/>
      <c r="G34" s="735"/>
      <c r="H34" s="735">
        <v>380000</v>
      </c>
      <c r="I34" s="1778">
        <f t="shared" si="1"/>
        <v>180000</v>
      </c>
      <c r="J34" s="735">
        <v>169746</v>
      </c>
      <c r="K34" s="738"/>
    </row>
    <row r="35" spans="1:11" ht="12" customHeight="1" x14ac:dyDescent="0.2">
      <c r="A35" s="733" t="s">
        <v>2093</v>
      </c>
      <c r="B35" s="734">
        <v>42552</v>
      </c>
      <c r="C35" s="739">
        <v>5765000</v>
      </c>
      <c r="D35" s="736">
        <v>8</v>
      </c>
      <c r="E35" s="739">
        <v>5765000</v>
      </c>
      <c r="F35" s="739"/>
      <c r="G35" s="739"/>
      <c r="H35" s="739">
        <v>15000</v>
      </c>
      <c r="I35" s="1778">
        <f t="shared" si="1"/>
        <v>5750000</v>
      </c>
      <c r="J35" s="739">
        <v>5690098</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18355000</v>
      </c>
      <c r="D49" s="746"/>
      <c r="E49" s="1778">
        <f t="shared" ref="E49:J49" si="2">SUM(E31:E48)</f>
        <v>11785000</v>
      </c>
      <c r="F49" s="1778">
        <f t="shared" si="2"/>
        <v>0</v>
      </c>
      <c r="G49" s="1778">
        <f t="shared" si="2"/>
        <v>0</v>
      </c>
      <c r="H49" s="1778">
        <f t="shared" si="2"/>
        <v>395000</v>
      </c>
      <c r="I49" s="1778">
        <f t="shared" si="2"/>
        <v>11390000</v>
      </c>
      <c r="J49" s="1778">
        <f t="shared" si="2"/>
        <v>11317156</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1916</v>
      </c>
      <c r="K2" s="763" t="s">
        <v>140</v>
      </c>
    </row>
    <row r="3" spans="1:11" x14ac:dyDescent="0.2">
      <c r="A3" s="2255" t="s">
        <v>1698</v>
      </c>
      <c r="B3" s="2256"/>
      <c r="C3" s="2256"/>
      <c r="D3" s="2256"/>
      <c r="E3" s="2257"/>
      <c r="F3" s="764"/>
      <c r="G3" s="765"/>
      <c r="H3" s="765"/>
      <c r="I3" s="765"/>
      <c r="J3" s="766"/>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6" t="s">
        <v>1917</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0</v>
      </c>
      <c r="I12" s="1780">
        <f>SUM(I5:I11)</f>
        <v>0</v>
      </c>
      <c r="J12" s="1780">
        <f>SUM(J5:J11)</f>
        <v>0</v>
      </c>
      <c r="K12" s="1780">
        <f>SUM(K5:K11)</f>
        <v>0</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c r="I14" s="772"/>
      <c r="J14" s="774"/>
      <c r="K14" s="766"/>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1913</v>
      </c>
      <c r="B19" s="2245"/>
      <c r="C19" s="2245"/>
      <c r="D19" s="2245"/>
      <c r="E19" s="2246"/>
      <c r="F19" s="790" t="s">
        <v>990</v>
      </c>
      <c r="G19" s="783"/>
      <c r="H19" s="783"/>
      <c r="I19" s="783"/>
      <c r="J19" s="766"/>
      <c r="K19" s="796"/>
    </row>
    <row r="20" spans="1:11" x14ac:dyDescent="0.2">
      <c r="A20" s="2247" t="s">
        <v>1918</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1919</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0</v>
      </c>
      <c r="I23" s="1780">
        <f>SUM(I14:I16,I21,I22)</f>
        <v>0</v>
      </c>
      <c r="J23" s="1780">
        <f>SUM(J14:J16,J21,J22)</f>
        <v>0</v>
      </c>
      <c r="K23" s="1780">
        <f>SUM(K14:K16,K21,K22)</f>
        <v>0</v>
      </c>
    </row>
    <row r="24" spans="1:11" ht="14.25" thickTop="1" thickBot="1" x14ac:dyDescent="0.25">
      <c r="A24" s="2267" t="s">
        <v>2023</v>
      </c>
      <c r="B24" s="2266"/>
      <c r="C24" s="2266"/>
      <c r="D24" s="2266"/>
      <c r="E24" s="226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13" sqref="E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2032</v>
      </c>
      <c r="B1" s="2273"/>
      <c r="C1" s="2274"/>
      <c r="D1" s="827"/>
      <c r="E1" s="828"/>
      <c r="F1" s="828"/>
      <c r="G1" s="829"/>
      <c r="H1" s="830"/>
      <c r="I1" s="831"/>
      <c r="J1" s="2270"/>
      <c r="K1" s="2271"/>
      <c r="L1" s="2271"/>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5381544</v>
      </c>
      <c r="D5" s="842"/>
      <c r="E5" s="842"/>
      <c r="F5" s="1782">
        <f>(C5+D5)-E5</f>
        <v>5381544</v>
      </c>
      <c r="G5" s="838"/>
      <c r="H5" s="843"/>
      <c r="I5" s="843"/>
      <c r="J5" s="843"/>
      <c r="K5" s="794"/>
      <c r="L5" s="1791">
        <f>F5-K5</f>
        <v>5381544</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28134502</v>
      </c>
      <c r="D8" s="845">
        <v>796546</v>
      </c>
      <c r="E8" s="845"/>
      <c r="F8" s="1782">
        <f>(C8+D8)-E8</f>
        <v>28931048</v>
      </c>
      <c r="G8" s="844">
        <v>50</v>
      </c>
      <c r="H8" s="766">
        <v>9531504</v>
      </c>
      <c r="I8" s="766">
        <v>578622</v>
      </c>
      <c r="J8" s="766"/>
      <c r="K8" s="1791">
        <f>(H8+I8)-J8</f>
        <v>10110126</v>
      </c>
      <c r="L8" s="1791">
        <f>F8-K8</f>
        <v>18820922</v>
      </c>
    </row>
    <row r="9" spans="1:14" ht="14.25" thickTop="1" thickBot="1" x14ac:dyDescent="0.25">
      <c r="A9" s="779" t="s">
        <v>1181</v>
      </c>
      <c r="B9" s="841">
        <v>232</v>
      </c>
      <c r="C9" s="766">
        <v>463943</v>
      </c>
      <c r="D9" s="766"/>
      <c r="E9" s="766"/>
      <c r="F9" s="1782">
        <f>(C9+D9)-E9</f>
        <v>463943</v>
      </c>
      <c r="G9" s="844">
        <v>20</v>
      </c>
      <c r="H9" s="766">
        <v>157833</v>
      </c>
      <c r="I9" s="766">
        <v>37116</v>
      </c>
      <c r="J9" s="766"/>
      <c r="K9" s="1791">
        <f>(H9+I9)-J9</f>
        <v>194949</v>
      </c>
      <c r="L9" s="1791">
        <f>F9-K9</f>
        <v>268994</v>
      </c>
    </row>
    <row r="10" spans="1:14" ht="24" thickTop="1" thickBot="1" x14ac:dyDescent="0.25">
      <c r="A10" s="846" t="s">
        <v>1182</v>
      </c>
      <c r="B10" s="841">
        <v>240</v>
      </c>
      <c r="C10" s="847">
        <v>2228007</v>
      </c>
      <c r="D10" s="847">
        <v>30323</v>
      </c>
      <c r="E10" s="847"/>
      <c r="F10" s="1786">
        <f>(C10+D10)-E10</f>
        <v>2258330</v>
      </c>
      <c r="G10" s="844">
        <v>20</v>
      </c>
      <c r="H10" s="848">
        <v>1284415</v>
      </c>
      <c r="I10" s="848">
        <v>141901</v>
      </c>
      <c r="J10" s="848"/>
      <c r="K10" s="1791">
        <f>(H10+I10)-J10</f>
        <v>1426316</v>
      </c>
      <c r="L10" s="1791">
        <f>F10-K10</f>
        <v>832014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6469014</v>
      </c>
      <c r="D12" s="845">
        <v>204420</v>
      </c>
      <c r="E12" s="845"/>
      <c r="F12" s="1782">
        <f>(C12+D12)-E12</f>
        <v>6673434</v>
      </c>
      <c r="G12" s="844">
        <v>10</v>
      </c>
      <c r="H12" s="766">
        <v>5500128</v>
      </c>
      <c r="I12" s="766">
        <v>241727</v>
      </c>
      <c r="J12" s="766"/>
      <c r="K12" s="1791">
        <f>(H12+I12)-J12</f>
        <v>5741855</v>
      </c>
      <c r="L12" s="1791">
        <f>F12-K12</f>
        <v>931579</v>
      </c>
    </row>
    <row r="13" spans="1:14" ht="14.25" thickTop="1" thickBot="1" x14ac:dyDescent="0.25">
      <c r="A13" s="849" t="s">
        <v>1184</v>
      </c>
      <c r="B13" s="841">
        <v>252</v>
      </c>
      <c r="C13" s="845">
        <v>126838</v>
      </c>
      <c r="D13" s="845"/>
      <c r="E13" s="845"/>
      <c r="F13" s="1782">
        <f>(C13+D13)-E13</f>
        <v>126838</v>
      </c>
      <c r="G13" s="844">
        <v>5</v>
      </c>
      <c r="H13" s="766">
        <v>70486</v>
      </c>
      <c r="I13" s="766">
        <v>25367</v>
      </c>
      <c r="J13" s="766"/>
      <c r="K13" s="1791">
        <f>(H13+I13)-J13</f>
        <v>95853</v>
      </c>
      <c r="L13" s="1791">
        <f>F13-K13</f>
        <v>30985</v>
      </c>
    </row>
    <row r="14" spans="1:14" ht="14.25" thickTop="1" thickBot="1" x14ac:dyDescent="0.25">
      <c r="A14" s="849" t="s">
        <v>1185</v>
      </c>
      <c r="B14" s="841">
        <v>253</v>
      </c>
      <c r="C14" s="766">
        <v>984241</v>
      </c>
      <c r="D14" s="766">
        <v>343051</v>
      </c>
      <c r="E14" s="766">
        <v>136602</v>
      </c>
      <c r="F14" s="1782">
        <f>(C14+D14)-E14</f>
        <v>1190690</v>
      </c>
      <c r="G14" s="844">
        <v>3</v>
      </c>
      <c r="H14" s="766">
        <v>654887</v>
      </c>
      <c r="I14" s="766">
        <v>221852</v>
      </c>
      <c r="J14" s="766">
        <v>136602</v>
      </c>
      <c r="K14" s="1791">
        <f>(H14+I14)-J14</f>
        <v>740137</v>
      </c>
      <c r="L14" s="1791">
        <f>F14-K14</f>
        <v>450553</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43788089</v>
      </c>
      <c r="D16" s="1782">
        <f>SUM(D3,D5:D6,D8:D10,D12:D15)</f>
        <v>1374340</v>
      </c>
      <c r="E16" s="1782">
        <f>SUM(E3,E5:E6,E8:E10,E12:E15)</f>
        <v>136602</v>
      </c>
      <c r="F16" s="1782">
        <f>SUM(F3,F5:F6,F8:F10,F12:F15)</f>
        <v>45025827</v>
      </c>
      <c r="G16" s="844"/>
      <c r="H16" s="1782">
        <f>SUM(H3,H6,H8:H10,H12:H14,)</f>
        <v>17199253</v>
      </c>
      <c r="I16" s="1782">
        <f>SUM(I3,I6,I8:I10,I12:I14,)</f>
        <v>1246585</v>
      </c>
      <c r="J16" s="1782">
        <f>SUM(J3,J6,J8:J10,J12:J14,)</f>
        <v>136602</v>
      </c>
      <c r="K16" s="1782">
        <f>(H16+I16)-J16</f>
        <v>18309236</v>
      </c>
      <c r="L16" s="1782">
        <f>F16-K16</f>
        <v>26716591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1911</v>
      </c>
      <c r="G17" s="838">
        <v>10</v>
      </c>
      <c r="H17" s="770"/>
      <c r="I17" s="1791">
        <f>F17/G17</f>
        <v>191.1</v>
      </c>
      <c r="J17" s="770"/>
      <c r="K17" s="796"/>
      <c r="L17" s="796"/>
    </row>
    <row r="18" spans="1:12" ht="14.25" thickTop="1" thickBot="1" x14ac:dyDescent="0.25">
      <c r="A18" s="1789" t="s">
        <v>706</v>
      </c>
      <c r="B18" s="1790"/>
      <c r="C18" s="772"/>
      <c r="D18" s="772"/>
      <c r="E18" s="772"/>
      <c r="F18" s="851"/>
      <c r="G18" s="852"/>
      <c r="H18" s="774"/>
      <c r="I18" s="1782">
        <f>SUM(I16,I17)</f>
        <v>1246776.1000000001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4" activePane="bottomLeft" state="frozen"/>
      <selection activeCell="A47" sqref="A47"/>
      <selection pane="bottomLeft" activeCell="D65" sqref="D6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17886861</v>
      </c>
      <c r="G8" s="866"/>
    </row>
    <row r="9" spans="1:7" x14ac:dyDescent="0.2">
      <c r="A9" s="870" t="s">
        <v>480</v>
      </c>
      <c r="B9" s="871" t="s">
        <v>1986</v>
      </c>
      <c r="C9" s="872"/>
      <c r="D9" s="870" t="s">
        <v>522</v>
      </c>
      <c r="E9" s="869"/>
      <c r="F9" s="1935">
        <f>'Expenditures 15-22'!K151</f>
        <v>2624384</v>
      </c>
      <c r="G9" s="873"/>
    </row>
    <row r="10" spans="1:7" x14ac:dyDescent="0.2">
      <c r="A10" s="870" t="s">
        <v>520</v>
      </c>
      <c r="B10" s="871" t="s">
        <v>1987</v>
      </c>
      <c r="C10" s="872"/>
      <c r="D10" s="870" t="s">
        <v>522</v>
      </c>
      <c r="E10" s="869"/>
      <c r="F10" s="1935">
        <f>'Expenditures 15-22'!K174</f>
        <v>928755</v>
      </c>
      <c r="G10" s="873"/>
    </row>
    <row r="11" spans="1:7" x14ac:dyDescent="0.2">
      <c r="A11" s="870" t="s">
        <v>481</v>
      </c>
      <c r="B11" s="871" t="s">
        <v>1988</v>
      </c>
      <c r="C11" s="872"/>
      <c r="D11" s="870" t="s">
        <v>522</v>
      </c>
      <c r="E11" s="869"/>
      <c r="F11" s="1935">
        <f>'Expenditures 15-22'!K210</f>
        <v>1268800</v>
      </c>
      <c r="G11" s="873"/>
    </row>
    <row r="12" spans="1:7" x14ac:dyDescent="0.2">
      <c r="A12" s="870" t="s">
        <v>482</v>
      </c>
      <c r="B12" s="871" t="s">
        <v>1989</v>
      </c>
      <c r="C12" s="872"/>
      <c r="D12" s="870" t="s">
        <v>522</v>
      </c>
      <c r="E12" s="869"/>
      <c r="F12" s="1935">
        <f>'Expenditures 15-22'!K295</f>
        <v>241909</v>
      </c>
      <c r="G12" s="873"/>
    </row>
    <row r="13" spans="1:7" x14ac:dyDescent="0.2">
      <c r="A13" s="870" t="s">
        <v>108</v>
      </c>
      <c r="B13" s="871" t="s">
        <v>1990</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22950709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72963</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744349</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140290</v>
      </c>
      <c r="G52" s="866"/>
    </row>
    <row r="53" spans="1:7" x14ac:dyDescent="0.2">
      <c r="A53" s="870" t="s">
        <v>479</v>
      </c>
      <c r="B53" s="870" t="s">
        <v>1551</v>
      </c>
      <c r="C53" s="890">
        <f>'Expenditures 15-22'!B102</f>
        <v>4000</v>
      </c>
      <c r="D53" s="889" t="str">
        <f>'Expenditures 15-22'!A102</f>
        <v>Total Payments to Other Govt Units</v>
      </c>
      <c r="E53" s="869"/>
      <c r="F53" s="1939">
        <f>'Expenditures 15-22'!K102</f>
        <v>431977</v>
      </c>
      <c r="G53" s="866"/>
    </row>
    <row r="54" spans="1:7" x14ac:dyDescent="0.2">
      <c r="A54" s="870" t="s">
        <v>479</v>
      </c>
      <c r="B54" s="870" t="s">
        <v>1552</v>
      </c>
      <c r="C54" s="890" t="s">
        <v>1039</v>
      </c>
      <c r="D54" s="886" t="s">
        <v>1157</v>
      </c>
      <c r="E54" s="869"/>
      <c r="F54" s="1939">
        <f>'Expenditures 15-22'!G114</f>
        <v>457584</v>
      </c>
      <c r="G54" s="866"/>
    </row>
    <row r="55" spans="1:7" x14ac:dyDescent="0.2">
      <c r="A55" s="870" t="s">
        <v>479</v>
      </c>
      <c r="B55" s="870" t="s">
        <v>1553</v>
      </c>
      <c r="C55" s="890" t="s">
        <v>1039</v>
      </c>
      <c r="D55" s="886" t="s">
        <v>309</v>
      </c>
      <c r="E55" s="869"/>
      <c r="F55" s="1939">
        <f>'Expenditures 15-22'!I114</f>
        <v>1911</v>
      </c>
      <c r="G55" s="866"/>
    </row>
    <row r="56" spans="1:7" x14ac:dyDescent="0.2">
      <c r="A56" s="870" t="s">
        <v>480</v>
      </c>
      <c r="B56" s="870" t="s">
        <v>1554</v>
      </c>
      <c r="C56" s="887" t="str">
        <f>'Expenditures 15-22'!B130</f>
        <v>3000</v>
      </c>
      <c r="D56" s="893" t="s">
        <v>469</v>
      </c>
      <c r="E56" s="869"/>
      <c r="F56" s="1939">
        <f>'Expenditures 15-22'!K130-SUM('Expenditures 15-22'!G130+'Expenditures 15-22'!I130)</f>
        <v>1781</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889756</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395000</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0</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141</v>
      </c>
      <c r="G71" s="866"/>
    </row>
    <row r="72" spans="1:8" x14ac:dyDescent="0.2">
      <c r="A72" s="870" t="s">
        <v>482</v>
      </c>
      <c r="B72" s="870" t="s">
        <v>2005</v>
      </c>
      <c r="C72" s="887">
        <f>'Expenditures 15-22'!B280</f>
        <v>3000</v>
      </c>
      <c r="D72" s="877" t="s">
        <v>469</v>
      </c>
      <c r="E72" s="869"/>
      <c r="F72" s="1939">
        <f>'Expenditures 15-22'!K280</f>
        <v>736</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3136488</v>
      </c>
      <c r="G76" s="866"/>
    </row>
    <row r="77" spans="1:8" s="894" customFormat="1" ht="12" customHeight="1" thickTop="1" thickBot="1" x14ac:dyDescent="0.25">
      <c r="A77" s="1801"/>
      <c r="B77" s="1798"/>
      <c r="C77" s="1794"/>
      <c r="D77" s="1799" t="s">
        <v>2009</v>
      </c>
      <c r="E77" s="1796"/>
      <c r="F77" s="1802">
        <f>(F14-F76)</f>
        <v>19814221</v>
      </c>
      <c r="G77" s="870"/>
    </row>
    <row r="78" spans="1:8" s="894" customFormat="1" ht="12" customHeight="1" thickTop="1" x14ac:dyDescent="0.2">
      <c r="A78" s="1803"/>
      <c r="B78" s="1798"/>
      <c r="C78" s="1794"/>
      <c r="D78" s="1799" t="s">
        <v>2056</v>
      </c>
      <c r="E78" s="1796"/>
      <c r="F78" s="899">
        <v>1817.23</v>
      </c>
      <c r="G78" s="900"/>
      <c r="H78" s="870"/>
    </row>
    <row r="79" spans="1:8" s="894" customFormat="1" ht="12" customHeight="1" thickBot="1" x14ac:dyDescent="0.25">
      <c r="A79" s="1804"/>
      <c r="B79" s="1798"/>
      <c r="C79" s="1794"/>
      <c r="D79" s="1799" t="s">
        <v>2010</v>
      </c>
      <c r="E79" s="1796" t="s">
        <v>1015</v>
      </c>
      <c r="F79" s="1805">
        <f>IF(F78&gt;0,F77/F78," Complete Line 78")</f>
        <v>10903.52954771823</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294536</v>
      </c>
      <c r="G94" s="913"/>
    </row>
    <row r="95" spans="1:7" x14ac:dyDescent="0.2">
      <c r="A95" s="909" t="s">
        <v>142</v>
      </c>
      <c r="B95" s="909" t="s">
        <v>177</v>
      </c>
      <c r="C95" s="911">
        <v>1700</v>
      </c>
      <c r="D95" s="919" t="str">
        <f>'Revenues 9-14'!A82</f>
        <v>Total District/School Activity Income</v>
      </c>
      <c r="E95" s="907"/>
      <c r="F95" s="1811">
        <f>SUM('Revenues 9-14'!C82,'Revenues 9-14'!D82)</f>
        <v>80832</v>
      </c>
      <c r="G95" s="913"/>
    </row>
    <row r="96" spans="1:7" x14ac:dyDescent="0.2">
      <c r="A96" s="909" t="s">
        <v>479</v>
      </c>
      <c r="B96" s="909" t="s">
        <v>178</v>
      </c>
      <c r="C96" s="911">
        <f>'Revenues 9-14'!B84</f>
        <v>1811</v>
      </c>
      <c r="D96" s="912" t="str">
        <f>'Revenues 9-14'!A84</f>
        <v>Rentals - Regular Textbooks</v>
      </c>
      <c r="E96" s="907"/>
      <c r="F96" s="1811">
        <f>'Revenues 9-14'!C84</f>
        <v>284868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34904</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5564</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723773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4828</v>
      </c>
      <c r="G107" s="913"/>
    </row>
    <row r="108" spans="1:7" x14ac:dyDescent="0.2">
      <c r="A108" s="909" t="s">
        <v>479</v>
      </c>
      <c r="B108" s="909" t="s">
        <v>844</v>
      </c>
      <c r="C108" s="921">
        <f>'Revenues 9-14'!B145</f>
        <v>3360</v>
      </c>
      <c r="D108" s="912" t="str">
        <f>'Revenues 9-14'!A145</f>
        <v>State Free Lunch &amp; Breakfast</v>
      </c>
      <c r="E108" s="907"/>
      <c r="F108" s="1811">
        <f>'Revenues 9-14'!C145</f>
        <v>5000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90408</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510771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1324</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372450</v>
      </c>
      <c r="G129" s="931"/>
    </row>
    <row r="130" spans="1:7" x14ac:dyDescent="0.2">
      <c r="A130" s="928" t="s">
        <v>689</v>
      </c>
      <c r="B130" s="928" t="s">
        <v>804</v>
      </c>
      <c r="C130" s="933">
        <v>4300</v>
      </c>
      <c r="D130" s="934" t="str">
        <f>'Revenues 9-14'!A211</f>
        <v>Total Title I</v>
      </c>
      <c r="E130" s="907"/>
      <c r="F130" s="1811">
        <f>SUM('Revenues 9-14'!C211,'Revenues 9-14'!D211,'Revenues 9-14'!F211,'Revenues 9-14'!G211)</f>
        <v>224275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544665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17414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27843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317</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63267</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3287039</v>
      </c>
    </row>
    <row r="179" spans="1:7" ht="12" customHeight="1" x14ac:dyDescent="0.2">
      <c r="A179" s="1792"/>
      <c r="B179" s="1806"/>
      <c r="C179" s="1807"/>
      <c r="D179" s="1808" t="s">
        <v>2012</v>
      </c>
      <c r="E179" s="1809"/>
      <c r="F179" s="1811">
        <f>'PCTC-OEPP 27-28'!F77-F178</f>
        <v>16527182</v>
      </c>
    </row>
    <row r="180" spans="1:7" ht="12" customHeight="1" x14ac:dyDescent="0.2">
      <c r="A180" s="1792"/>
      <c r="B180" s="1806"/>
      <c r="C180" s="1807"/>
      <c r="D180" s="1808" t="s">
        <v>1921</v>
      </c>
      <c r="E180" s="1809"/>
      <c r="F180" s="1811">
        <f>'Cap Outlay Deprec 26'!I18</f>
        <v>1246776.1000000001</v>
      </c>
    </row>
    <row r="181" spans="1:7" ht="12" customHeight="1" x14ac:dyDescent="0.2">
      <c r="A181" s="1792"/>
      <c r="B181" s="1806"/>
      <c r="C181" s="1807"/>
      <c r="D181" s="1808" t="s">
        <v>2013</v>
      </c>
      <c r="E181" s="1809"/>
      <c r="F181" s="1811">
        <f>F179+F180</f>
        <v>17773958.100000001</v>
      </c>
    </row>
    <row r="182" spans="1:7" ht="12" customHeight="1" x14ac:dyDescent="0.2">
      <c r="A182" s="1792"/>
      <c r="B182" s="1812"/>
      <c r="C182" s="1807"/>
      <c r="D182" s="1808" t="str">
        <f>D78</f>
        <v>9 Month ADA from District Average Daily Attendance/Prior General State Aid Inquiry 2017-2018</v>
      </c>
      <c r="E182" s="1809"/>
      <c r="F182" s="1813">
        <f>'PCTC-OEPP 27-28'!F78</f>
        <v>1817.23</v>
      </c>
      <c r="G182" s="931"/>
    </row>
    <row r="183" spans="1:7" ht="12" customHeight="1" thickBot="1" x14ac:dyDescent="0.25">
      <c r="A183" s="1792"/>
      <c r="B183" s="1812"/>
      <c r="C183" s="1807"/>
      <c r="D183" s="1808" t="s">
        <v>2014</v>
      </c>
      <c r="E183" s="1809" t="s">
        <v>1626</v>
      </c>
      <c r="F183" s="1814">
        <f>F181/F182</f>
        <v>9780.7972023354232</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1" sqref="B2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1922</v>
      </c>
      <c r="B4" s="2290"/>
      <c r="C4" s="2290"/>
      <c r="D4" s="2290"/>
      <c r="E4" s="2290"/>
      <c r="F4" s="2290"/>
      <c r="G4" s="2291"/>
    </row>
    <row r="5" spans="1:7" x14ac:dyDescent="0.25">
      <c r="A5" s="2292"/>
      <c r="B5" s="2293"/>
      <c r="C5" s="2293"/>
      <c r="D5" s="2293"/>
      <c r="E5" s="2293"/>
      <c r="F5" s="2293"/>
      <c r="G5" s="2294"/>
    </row>
    <row r="6" spans="1:7" ht="18.75" x14ac:dyDescent="0.25">
      <c r="A6" s="1556" t="s">
        <v>1923</v>
      </c>
      <c r="B6" s="1557"/>
      <c r="C6" s="1557"/>
      <c r="D6" s="1557"/>
      <c r="E6" s="1557"/>
      <c r="F6" s="1557"/>
      <c r="G6" s="1558"/>
    </row>
    <row r="7" spans="1:7" ht="30.75" customHeight="1" x14ac:dyDescent="0.25">
      <c r="A7" s="2295" t="s">
        <v>2072</v>
      </c>
      <c r="B7" s="2296"/>
      <c r="C7" s="2296"/>
      <c r="D7" s="2296"/>
      <c r="E7" s="2296"/>
      <c r="F7" s="2296"/>
      <c r="G7" s="2297"/>
    </row>
    <row r="8" spans="1:7" ht="15.75" customHeight="1" x14ac:dyDescent="0.25">
      <c r="A8" s="2298" t="s">
        <v>2021</v>
      </c>
      <c r="B8" s="2299"/>
      <c r="C8" s="2299"/>
      <c r="D8" s="2299"/>
      <c r="E8" s="2299"/>
      <c r="F8" s="2299"/>
      <c r="G8" s="2300"/>
    </row>
    <row r="9" spans="1:7" ht="35.25" customHeight="1" x14ac:dyDescent="0.25">
      <c r="A9" s="2295" t="s">
        <v>2020</v>
      </c>
      <c r="B9" s="2296"/>
      <c r="C9" s="2296"/>
      <c r="D9" s="2296"/>
      <c r="E9" s="2296"/>
      <c r="F9" s="2296"/>
      <c r="G9" s="2297"/>
    </row>
    <row r="10" spans="1:7" ht="15" customHeight="1" x14ac:dyDescent="0.25">
      <c r="A10" s="1559" t="s">
        <v>1924</v>
      </c>
      <c r="B10" s="1560"/>
      <c r="C10" s="1560"/>
      <c r="D10" s="1560"/>
      <c r="E10" s="1560"/>
      <c r="F10" s="1560"/>
      <c r="G10" s="1561"/>
    </row>
    <row r="11" spans="1:7" ht="17.25" customHeight="1" x14ac:dyDescent="0.25">
      <c r="A11" s="2295" t="s">
        <v>1938</v>
      </c>
      <c r="B11" s="2296"/>
      <c r="C11" s="2296"/>
      <c r="D11" s="2296"/>
      <c r="E11" s="2296"/>
      <c r="F11" s="2296"/>
      <c r="G11" s="2297"/>
    </row>
    <row r="12" spans="1:7" ht="15" customHeight="1" x14ac:dyDescent="0.25">
      <c r="A12" s="1559" t="s">
        <v>1929</v>
      </c>
      <c r="B12" s="1560"/>
      <c r="C12" s="1560"/>
      <c r="D12" s="1560"/>
      <c r="E12" s="1560"/>
      <c r="F12" s="1560"/>
      <c r="G12" s="1561"/>
    </row>
    <row r="13" spans="1:7" ht="32.25" customHeight="1" x14ac:dyDescent="0.25">
      <c r="A13" s="2286" t="s">
        <v>1930</v>
      </c>
      <c r="B13" s="2287"/>
      <c r="C13" s="2287"/>
      <c r="D13" s="2287"/>
      <c r="E13" s="2287"/>
      <c r="F13" s="2287"/>
      <c r="G13" s="2288"/>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2143</v>
      </c>
      <c r="B17" s="1957" t="s">
        <v>2149</v>
      </c>
      <c r="C17" s="1958" t="s">
        <v>2144</v>
      </c>
      <c r="D17" s="1959">
        <v>96861</v>
      </c>
      <c r="E17" s="1562">
        <f t="shared" ref="E17:E141" si="1">IF(D17&lt;=25000,D17,IF(D17&gt;25000,25000,0))</f>
        <v>25000</v>
      </c>
      <c r="F17" s="1815">
        <f t="shared" si="0"/>
        <v>25000</v>
      </c>
      <c r="G17" s="1816">
        <f>IF(F17=0,0,D17-F17)</f>
        <v>71861</v>
      </c>
      <c r="H17" s="1669"/>
    </row>
    <row r="18" spans="1:8" x14ac:dyDescent="0.25">
      <c r="A18" s="1956" t="s">
        <v>2145</v>
      </c>
      <c r="B18" s="1957" t="s">
        <v>2149</v>
      </c>
      <c r="C18" s="1958" t="s">
        <v>2146</v>
      </c>
      <c r="D18" s="1867">
        <v>53000</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28000</v>
      </c>
    </row>
    <row r="19" spans="1:8" x14ac:dyDescent="0.25">
      <c r="A19" s="1956" t="s">
        <v>2142</v>
      </c>
      <c r="B19" s="1957" t="s">
        <v>2150</v>
      </c>
      <c r="C19" s="1958" t="s">
        <v>2147</v>
      </c>
      <c r="D19" s="1867">
        <v>43762</v>
      </c>
      <c r="E19" s="1562">
        <f t="shared" si="2"/>
        <v>25000</v>
      </c>
      <c r="F19" s="1815">
        <f t="shared" si="3"/>
        <v>25000</v>
      </c>
      <c r="G19" s="1816">
        <f t="shared" si="4"/>
        <v>18762</v>
      </c>
    </row>
    <row r="20" spans="1:8" x14ac:dyDescent="0.25">
      <c r="A20" s="1956" t="s">
        <v>2140</v>
      </c>
      <c r="B20" s="1957" t="s">
        <v>2151</v>
      </c>
      <c r="C20" s="1958" t="s">
        <v>2141</v>
      </c>
      <c r="D20" s="1867">
        <v>31999</v>
      </c>
      <c r="E20" s="1562">
        <f t="shared" si="2"/>
        <v>25000</v>
      </c>
      <c r="F20" s="1815">
        <f t="shared" si="3"/>
        <v>25000</v>
      </c>
      <c r="G20" s="1816">
        <f t="shared" si="4"/>
        <v>6999</v>
      </c>
    </row>
    <row r="21" spans="1:8" x14ac:dyDescent="0.25">
      <c r="A21" s="1956" t="s">
        <v>1231</v>
      </c>
      <c r="B21" s="1957" t="s">
        <v>1231</v>
      </c>
      <c r="C21" s="1958" t="s">
        <v>1231</v>
      </c>
      <c r="D21" s="1959" t="s">
        <v>1231</v>
      </c>
      <c r="E21" s="1562">
        <f t="shared" si="2"/>
        <v>25000</v>
      </c>
      <c r="F21" s="1815">
        <f t="shared" si="3"/>
        <v>0</v>
      </c>
      <c r="G21" s="1816">
        <f t="shared" si="4"/>
        <v>0</v>
      </c>
    </row>
    <row r="22" spans="1:8" x14ac:dyDescent="0.25">
      <c r="A22" s="1675"/>
      <c r="B22" s="1868"/>
      <c r="C22" s="1678"/>
      <c r="D22" s="1959" t="s">
        <v>1231</v>
      </c>
      <c r="E22" s="1562">
        <f t="shared" si="2"/>
        <v>25000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225622</v>
      </c>
      <c r="E141" s="1563">
        <f t="shared" si="1"/>
        <v>25000</v>
      </c>
      <c r="F141" s="1817">
        <f>SUM(F17:F140)</f>
        <v>100000</v>
      </c>
      <c r="G141" s="1818">
        <f>SUM(G17:G140)</f>
        <v>125622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06" t="s">
        <v>1942</v>
      </c>
      <c r="B11" s="2307"/>
      <c r="C11" s="2307"/>
      <c r="D11" s="2308"/>
      <c r="E11" s="978">
        <v>60798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12054964</v>
      </c>
      <c r="F19" s="1822"/>
      <c r="G19" s="1824">
        <f>'Expenditures 15-22'!K33-SUM('Expenditures 15-22'!G33,'Expenditures 15-22'!I33)+'Expenditures 15-22'!D229</f>
        <v>12054964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1745318</v>
      </c>
      <c r="F21" s="1825"/>
      <c r="G21" s="1828">
        <f>'Expenditures 15-22'!K42-SUM('Expenditures 15-22'!G42,'Expenditures 15-22'!I42)+'Expenditures 15-22'!K120-SUM('Expenditures 15-22'!G120,'Expenditures 15-22'!I120)+'Expenditures 15-22'!K180-SUM('Expenditures 15-22'!G180,'Expenditures 15-22'!I180)+'Expenditures 15-22'!D238</f>
        <v>1745318</v>
      </c>
      <c r="H21" s="988"/>
      <c r="I21" s="162"/>
    </row>
    <row r="22" spans="1:9" s="669" customFormat="1" ht="12" customHeight="1" x14ac:dyDescent="0.2">
      <c r="A22" s="995" t="s">
        <v>585</v>
      </c>
      <c r="B22" s="996"/>
      <c r="C22" s="994">
        <v>2200</v>
      </c>
      <c r="D22" s="1825"/>
      <c r="E22" s="1827">
        <f>'Expenditures 15-22'!K47-SUM('Expenditures 15-22'!G47,'Expenditures 15-22'!I47)+'Expenditures 15-22'!D243</f>
        <v>730295</v>
      </c>
      <c r="F22" s="1825"/>
      <c r="G22" s="1828">
        <f>'Expenditures 15-22'!K47-SUM('Expenditures 15-22'!G47,'Expenditures 15-22'!I47)+'Expenditures 15-22'!D243</f>
        <v>730295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699079</v>
      </c>
      <c r="F23" s="1825"/>
      <c r="G23" s="1827">
        <f>'Expenditures 15-22'!K53-SUM('Expenditures 15-22'!G53,'Expenditures 15-22'!I53)+'Expenditures 15-22'!D257+'Expenditures 15-22'!K330-SUM('Expenditures 15-22'!G330,'Expenditures 15-22'!I330)</f>
        <v>699079</v>
      </c>
      <c r="H23" s="988"/>
      <c r="I23" s="162"/>
    </row>
    <row r="24" spans="1:9" s="669" customFormat="1" ht="12" customHeight="1" x14ac:dyDescent="0.2">
      <c r="A24" s="995" t="s">
        <v>587</v>
      </c>
      <c r="B24" s="996"/>
      <c r="C24" s="994">
        <v>2400</v>
      </c>
      <c r="D24" s="1825"/>
      <c r="E24" s="1827">
        <f>'Expenditures 15-22'!K57-SUM('Expenditures 15-22'!G57,'Expenditures 15-22'!I57)+'Expenditures 15-22'!D261</f>
        <v>229186</v>
      </c>
      <c r="F24" s="1825"/>
      <c r="G24" s="1828">
        <f>'Expenditures 15-22'!K57-SUM('Expenditures 15-22'!G57,'Expenditures 15-22'!I57)+'Expenditures 15-22'!D261</f>
        <v>229186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345913</v>
      </c>
      <c r="E27" s="1827">
        <f>E8</f>
        <v>0</v>
      </c>
      <c r="F27" s="1827">
        <f>'Expenditures 15-22'!K60-SUM('Expenditures 15-22'!G60,'Expenditures 15-22'!I60)+'Expenditures 15-22'!D264-E8</f>
        <v>345913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1855556</v>
      </c>
      <c r="F28" s="1829">
        <f>'Expenditures 15-22'!K61-SUM('Expenditures 15-22'!G61,'Expenditures 15-22'!I61)+'Expenditures 15-22'!K124-SUM('Expenditures 15-22'!G124,'Expenditures 15-22'!I124)+'Expenditures 15-22'!D266-E9</f>
        <v>1855556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1268800</v>
      </c>
      <c r="F29" s="1825"/>
      <c r="G29" s="1828">
        <f>'Expenditures 15-22'!K62-SUM('Expenditures 15-22'!G62,'Expenditures 15-22'!I62)+'Expenditures 15-22'!K125-SUM('Expenditures 15-22'!G125,'Expenditures 15-22'!I125)+'Expenditures 15-22'!K182-SUM('Expenditures 15-22'!G182,'Expenditures 15-22'!I182)+'Expenditures 15-22'!D267</f>
        <v>1268800</v>
      </c>
      <c r="H29" s="986"/>
    </row>
    <row r="30" spans="1:9" ht="12" customHeight="1" x14ac:dyDescent="0.2">
      <c r="A30" s="995" t="s">
        <v>102</v>
      </c>
      <c r="B30" s="998"/>
      <c r="C30" s="994">
        <v>2560</v>
      </c>
      <c r="D30" s="1825"/>
      <c r="E30" s="1827">
        <f>'Expenditures 15-22'!K63-SUM('Expenditures 15-22'!G63,'Expenditures 15-22'!I63)+'Expenditures 15-22'!D268-E10</f>
        <v>590831</v>
      </c>
      <c r="F30" s="1825"/>
      <c r="G30" s="1827">
        <f>'Expenditures 15-22'!K63-SUM('Expenditures 15-22'!G63,'Expenditures 15-22'!I63)+'Expenditures 15-22'!D268-E10</f>
        <v>590831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1200</v>
      </c>
      <c r="E36" s="1827">
        <f>E13</f>
        <v>0</v>
      </c>
      <c r="F36" s="1827">
        <f>'Expenditures 15-22'!K70-SUM('Expenditures 15-22'!G70,'Expenditures 15-22'!I70)+'Expenditures 15-22'!D275-E13</f>
        <v>1200</v>
      </c>
      <c r="G36" s="1827">
        <f>E13</f>
        <v>0</v>
      </c>
    </row>
    <row r="37" spans="1:7" ht="12" customHeight="1" x14ac:dyDescent="0.2">
      <c r="A37" s="995" t="s">
        <v>424</v>
      </c>
      <c r="B37" s="998"/>
      <c r="C37" s="994">
        <v>2660</v>
      </c>
      <c r="D37" s="1827">
        <f>'Expenditures 15-22'!K71-SUM('Expenditures 15-22'!G71,'Expenditures 15-22'!I71)+'Expenditures 15-22'!D276-E14</f>
        <v>488460</v>
      </c>
      <c r="E37" s="1827">
        <f>E14</f>
        <v>0</v>
      </c>
      <c r="F37" s="1827">
        <f>'Expenditures 15-22'!K71-SUM('Expenditures 15-22'!G71,'Expenditures 15-22'!I71)+'Expenditures 15-22'!D276-E14</f>
        <v>488460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142807</v>
      </c>
      <c r="F39" s="1825"/>
      <c r="G39" s="1827">
        <f>'Expenditures 15-22'!K75-SUM('Expenditures 15-22'!G75,'Expenditures 15-22'!I75)+'Expenditures 15-22'!K130-SUM('Expenditures 15-22'!G130,'Expenditures 15-22'!I130)+'Expenditures 15-22'!K185-SUM('Expenditures 15-22'!G185,'Expenditures 15-22'!I185)+'Expenditures 15-22'!D280</f>
        <v>142807</v>
      </c>
    </row>
    <row r="40" spans="1:7" ht="12" customHeight="1" x14ac:dyDescent="0.2">
      <c r="A40" s="991" t="s">
        <v>1927</v>
      </c>
      <c r="B40" s="992"/>
      <c r="C40" s="994"/>
      <c r="D40" s="1825"/>
      <c r="E40" s="1829">
        <f>-'Contracts Paid in CY 29'!G141</f>
        <v>-125622</v>
      </c>
      <c r="F40" s="1825"/>
      <c r="G40" s="1829">
        <f>-'Contracts Paid in CY 29'!G141</f>
        <v>-125622</v>
      </c>
    </row>
    <row r="41" spans="1:7" ht="12" customHeight="1" x14ac:dyDescent="0.2">
      <c r="A41" s="999" t="s">
        <v>158</v>
      </c>
      <c r="B41" s="1000"/>
      <c r="C41" s="1001"/>
      <c r="D41" s="1829">
        <f>SUM(D19:D39)</f>
        <v>835573</v>
      </c>
      <c r="E41" s="1829">
        <f>SUM(E19:E40)</f>
        <v>19191214</v>
      </c>
      <c r="F41" s="1829">
        <f>SUM(F19:F39)</f>
        <v>2691129</v>
      </c>
      <c r="G41" s="1829">
        <f>SUM(G19:G40)</f>
        <v>17335658</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835573</v>
      </c>
      <c r="F43" s="1830" t="s">
        <v>495</v>
      </c>
      <c r="G43" s="1831">
        <f>F41</f>
        <v>2691129</v>
      </c>
    </row>
    <row r="44" spans="1:7" ht="12" customHeight="1" x14ac:dyDescent="0.2">
      <c r="A44" s="988"/>
      <c r="B44" s="162"/>
      <c r="C44" s="1002"/>
      <c r="D44" s="1830" t="s">
        <v>494</v>
      </c>
      <c r="E44" s="1831">
        <f>E41</f>
        <v>19191214</v>
      </c>
      <c r="F44" s="1830" t="s">
        <v>494</v>
      </c>
      <c r="G44" s="1831">
        <f>G41</f>
        <v>17335658</v>
      </c>
    </row>
    <row r="45" spans="1:7" ht="12" customHeight="1" x14ac:dyDescent="0.2">
      <c r="A45" s="988"/>
      <c r="B45" s="162"/>
      <c r="C45" s="162"/>
      <c r="D45" s="1832" t="s">
        <v>1063</v>
      </c>
      <c r="E45" s="1833">
        <f>(E43/E44)</f>
        <v>4.3539350871706191E-2</v>
      </c>
      <c r="F45" s="1832" t="s">
        <v>1063</v>
      </c>
      <c r="G45" s="1833">
        <f>(G43/G44)</f>
        <v>0.15523662268833407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3" t="s">
        <v>1446</v>
      </c>
      <c r="B1" s="2323"/>
      <c r="C1" s="2323"/>
      <c r="D1" s="2323"/>
      <c r="E1" s="2323"/>
      <c r="F1" s="2323"/>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4" t="s">
        <v>1627</v>
      </c>
      <c r="B5" s="2325"/>
      <c r="C5" s="2326"/>
      <c r="D5" s="2326"/>
      <c r="E5" s="2326"/>
      <c r="F5" s="2326"/>
    </row>
    <row r="6" spans="1:10" ht="12" customHeight="1" x14ac:dyDescent="0.25">
      <c r="A6" s="1875"/>
      <c r="B6" s="1876"/>
      <c r="C6" s="2327" t="str">
        <f>COVER!A17</f>
        <v>Bradley Bourbonnais CHSD 307</v>
      </c>
      <c r="D6" s="2327"/>
      <c r="E6" s="2327"/>
      <c r="F6" s="1877"/>
    </row>
    <row r="7" spans="1:10" ht="11.25" customHeight="1" thickBot="1" x14ac:dyDescent="0.3">
      <c r="A7" s="1875"/>
      <c r="B7" s="1876"/>
      <c r="C7" s="2328">
        <f>COVER!A13</f>
        <v>32046307016</v>
      </c>
      <c r="D7" s="2328"/>
      <c r="E7" s="2328"/>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2074</v>
      </c>
      <c r="D25" s="1890" t="s">
        <v>2074</v>
      </c>
      <c r="E25" s="1893"/>
      <c r="F25" s="1892" t="s">
        <v>2094</v>
      </c>
      <c r="H25" s="1903">
        <f t="shared" si="0"/>
        <v>5</v>
      </c>
      <c r="I25" s="1903">
        <f t="shared" si="1"/>
        <v>5</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2074</v>
      </c>
      <c r="D31" s="1890" t="s">
        <v>2074</v>
      </c>
      <c r="E31" s="1893"/>
      <c r="F31" s="1892" t="s">
        <v>2095</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8"/>
      <c r="B39" s="1898"/>
      <c r="C39" s="1898"/>
      <c r="D39" s="1898"/>
      <c r="E39" s="1898"/>
      <c r="F39" s="1898"/>
    </row>
    <row r="40" spans="1:11" s="1895" customFormat="1" ht="12" customHeight="1" x14ac:dyDescent="0.25">
      <c r="A40" s="1899" t="s">
        <v>1458</v>
      </c>
      <c r="B40" s="1900"/>
      <c r="C40" s="2318"/>
      <c r="D40" s="2318"/>
      <c r="E40" s="2318"/>
      <c r="F40" s="2319"/>
      <c r="H40" s="1904"/>
      <c r="I40" s="1904"/>
      <c r="J40" s="1904"/>
      <c r="K40" s="1904"/>
    </row>
    <row r="41" spans="1:11" s="1895" customFormat="1" ht="12" customHeight="1" x14ac:dyDescent="0.25">
      <c r="A41" s="2320"/>
      <c r="B41" s="2321"/>
      <c r="C41" s="2321"/>
      <c r="D41" s="2321"/>
      <c r="E41" s="2321"/>
      <c r="F41" s="2322"/>
      <c r="H41" s="1904"/>
      <c r="I41" s="1904"/>
      <c r="J41" s="1904"/>
      <c r="K41" s="1904"/>
    </row>
    <row r="42" spans="1:11" s="1895" customFormat="1" ht="12" customHeight="1" x14ac:dyDescent="0.25">
      <c r="A42" s="2320"/>
      <c r="B42" s="2321"/>
      <c r="C42" s="2321"/>
      <c r="D42" s="2321"/>
      <c r="E42" s="2321"/>
      <c r="F42" s="2322"/>
      <c r="H42" s="1904"/>
      <c r="I42" s="1904"/>
      <c r="J42" s="1904"/>
      <c r="K42" s="1904"/>
    </row>
    <row r="43" spans="1:11" s="1895" customFormat="1" ht="15" x14ac:dyDescent="0.25">
      <c r="A43" s="2309"/>
      <c r="B43" s="2310"/>
      <c r="C43" s="2310"/>
      <c r="D43" s="2310"/>
      <c r="E43" s="2310"/>
      <c r="F43" s="2311"/>
      <c r="H43" s="1904"/>
      <c r="I43" s="1904"/>
      <c r="J43" s="1904"/>
      <c r="K43" s="1904"/>
    </row>
    <row r="44" spans="1:11" s="1895" customFormat="1" ht="12" hidden="1" customHeight="1" x14ac:dyDescent="0.25">
      <c r="A44" s="2309"/>
      <c r="B44" s="2310"/>
      <c r="C44" s="2310"/>
      <c r="D44" s="2310"/>
      <c r="E44" s="2310"/>
      <c r="F44" s="231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5" sqref="H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Bradley Bourbonnais CHSD 307</v>
      </c>
      <c r="J6" s="2337"/>
      <c r="Q6" s="1686"/>
    </row>
    <row r="7" spans="1:17" x14ac:dyDescent="0.2">
      <c r="A7" s="2338" t="s">
        <v>924</v>
      </c>
      <c r="B7" s="2339"/>
      <c r="C7" s="2339"/>
      <c r="D7" s="2339"/>
      <c r="E7" s="2340"/>
      <c r="F7" s="1018"/>
      <c r="G7" s="1010"/>
      <c r="H7" s="1017" t="s">
        <v>390</v>
      </c>
      <c r="I7" s="2341">
        <f>COVER!A13</f>
        <v>32046307016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345104</v>
      </c>
      <c r="F12" s="1040"/>
      <c r="G12" s="1834">
        <f t="shared" ref="G12:G18" si="0">SUM(E12:F12)</f>
        <v>345104</v>
      </c>
      <c r="H12" s="1041">
        <v>350737</v>
      </c>
      <c r="I12" s="1040"/>
      <c r="J12" s="1834">
        <f t="shared" ref="J12:J18" si="1">SUM(H12:I12)</f>
        <v>350737</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345104</v>
      </c>
      <c r="F19" s="1836">
        <f t="shared" si="2"/>
        <v>0</v>
      </c>
      <c r="G19" s="1836">
        <f t="shared" si="2"/>
        <v>345104</v>
      </c>
      <c r="H19" s="1836">
        <f t="shared" si="2"/>
        <v>350737</v>
      </c>
      <c r="I19" s="1836">
        <f t="shared" si="2"/>
        <v>0</v>
      </c>
      <c r="J19" s="1836">
        <f t="shared" si="2"/>
        <v>350737</v>
      </c>
    </row>
    <row r="20" spans="1:10" ht="13.5" thickTop="1" x14ac:dyDescent="0.2">
      <c r="A20" s="1036">
        <v>9</v>
      </c>
      <c r="B20" s="2348" t="s">
        <v>1703</v>
      </c>
      <c r="C20" s="2348"/>
      <c r="D20" s="2349"/>
      <c r="E20" s="1047"/>
      <c r="F20" s="1047"/>
      <c r="G20" s="1047"/>
      <c r="H20" s="1047"/>
      <c r="I20" s="1047"/>
      <c r="J20" s="1837">
        <f>IF(AND(G19&gt;0,J19&gt;0),(((J19-G19)/G19)),"Enter Budget Data")</f>
        <v>1.6322615791181789E-2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1941</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Bradley Bourbonnais CHSD 307</v>
      </c>
    </row>
    <row r="65" spans="2:2" x14ac:dyDescent="0.2">
      <c r="B65" s="1071">
        <f>COVER!A13</f>
        <v>32046307016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781050</xdr:colOff>
                <xdr:row>3</xdr:row>
                <xdr:rowOff>161925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2053</v>
      </c>
      <c r="B4" s="2376"/>
      <c r="C4" s="2376"/>
      <c r="D4" s="2376"/>
      <c r="E4" s="2376"/>
      <c r="F4" s="2377"/>
      <c r="G4" s="1075"/>
      <c r="H4" s="1075"/>
    </row>
    <row r="5" spans="1:8" ht="14.25" customHeight="1" x14ac:dyDescent="0.2">
      <c r="A5" s="2378" t="s">
        <v>2054</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19143542</v>
      </c>
      <c r="C8" s="1838">
        <f>'Acct Summary 7-8'!D8</f>
        <v>2995316</v>
      </c>
      <c r="D8" s="1838">
        <f>'Acct Summary 7-8'!F8</f>
        <v>1649434</v>
      </c>
      <c r="E8" s="1838">
        <f>'Acct Summary 7-8'!I8</f>
        <v>15150</v>
      </c>
      <c r="F8" s="1838">
        <f>SUM(B8:E8)</f>
        <v>23803442</v>
      </c>
    </row>
    <row r="9" spans="1:8" s="1080" customFormat="1" ht="14.25" customHeight="1" thickBot="1" x14ac:dyDescent="0.25">
      <c r="A9" s="1079" t="s">
        <v>1436</v>
      </c>
      <c r="B9" s="1839">
        <f>'Acct Summary 7-8'!C17</f>
        <v>17886861</v>
      </c>
      <c r="C9" s="1839">
        <f>'Acct Summary 7-8'!D17</f>
        <v>2624384</v>
      </c>
      <c r="D9" s="1839">
        <f>'Acct Summary 7-8'!F17</f>
        <v>1268800</v>
      </c>
      <c r="E9" s="1838"/>
      <c r="F9" s="1838">
        <f>SUM(B9:E9)</f>
        <v>21780045</v>
      </c>
    </row>
    <row r="10" spans="1:8" s="1080" customFormat="1" ht="14.25" thickTop="1" thickBot="1" x14ac:dyDescent="0.25">
      <c r="A10" s="1081" t="s">
        <v>1437</v>
      </c>
      <c r="B10" s="1840">
        <f>(B8-B9)</f>
        <v>1256681</v>
      </c>
      <c r="C10" s="1840">
        <f>(C8-C9)</f>
        <v>370932</v>
      </c>
      <c r="D10" s="1840">
        <f>(D8-D9)</f>
        <v>380634</v>
      </c>
      <c r="E10" s="1839">
        <f>(E8-E9)</f>
        <v>15150</v>
      </c>
      <c r="F10" s="1841">
        <f>SUM(F8-F9)</f>
        <v>2023397</v>
      </c>
    </row>
    <row r="11" spans="1:8" s="1080" customFormat="1" ht="14.25" thickTop="1" thickBot="1" x14ac:dyDescent="0.25">
      <c r="A11" s="1082" t="s">
        <v>1785</v>
      </c>
      <c r="B11" s="1842">
        <f>'Acct Summary 7-8'!C81</f>
        <v>6880106</v>
      </c>
      <c r="C11" s="1842">
        <f>'Acct Summary 7-8'!D81</f>
        <v>3718317</v>
      </c>
      <c r="D11" s="1842">
        <f>'Acct Summary 7-8'!F81</f>
        <v>1319195</v>
      </c>
      <c r="E11" s="1842">
        <f>'Acct Summary 7-8'!I81</f>
        <v>2738084</v>
      </c>
      <c r="F11" s="1843">
        <f>SUM(B11:E11)</f>
        <v>14655702</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32046307016</v>
      </c>
    </row>
    <row r="3" spans="1:2" x14ac:dyDescent="0.2">
      <c r="A3" t="s">
        <v>1013</v>
      </c>
      <c r="B3" s="138" t="str">
        <f>COVER!A15</f>
        <v>Kankakee</v>
      </c>
    </row>
    <row r="4" spans="1:2" x14ac:dyDescent="0.2">
      <c r="A4" t="s">
        <v>1064</v>
      </c>
      <c r="B4" s="138" t="str">
        <f>COVER!A17</f>
        <v>Bradley Bourbonnais CHSD 307</v>
      </c>
    </row>
    <row r="5" spans="1:2" x14ac:dyDescent="0.2">
      <c r="A5" t="s">
        <v>728</v>
      </c>
      <c r="B5" s="138" t="str">
        <f>COVER!A38</f>
        <v>Dr Scott Wakeley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065-018319</v>
      </c>
    </row>
    <row r="16" spans="1:2" x14ac:dyDescent="0.2">
      <c r="A16" t="s">
        <v>442</v>
      </c>
      <c r="B16" s="138" t="str">
        <f>COVER!T13</f>
        <v>Russell Leigh &amp; Associates</v>
      </c>
    </row>
    <row r="17" spans="1:2" x14ac:dyDescent="0.2">
      <c r="A17" t="s">
        <v>939</v>
      </c>
      <c r="B17" s="138" t="str">
        <f>COVER!T15</f>
        <v>Russ Leigh</v>
      </c>
    </row>
    <row r="18" spans="1:2" x14ac:dyDescent="0.2">
      <c r="A18" t="s">
        <v>1212</v>
      </c>
      <c r="B18" s="138" t="str">
        <f>COVER!T17</f>
        <v>228 East Main</v>
      </c>
    </row>
    <row r="19" spans="1:2" x14ac:dyDescent="0.2">
      <c r="A19" t="s">
        <v>941</v>
      </c>
      <c r="B19" s="138" t="str">
        <f>COVER!T25</f>
        <v>admin@russleigh.com</v>
      </c>
    </row>
    <row r="20" spans="1:2" x14ac:dyDescent="0.2">
      <c r="A20" t="s">
        <v>942</v>
      </c>
      <c r="B20" s="138" t="str">
        <f>COVER!T19</f>
        <v>Hoopeston</v>
      </c>
    </row>
    <row r="21" spans="1:2" x14ac:dyDescent="0.2">
      <c r="A21" t="s">
        <v>500</v>
      </c>
      <c r="B21" s="138" t="str">
        <f>COVER!X19</f>
        <v>IL</v>
      </c>
    </row>
    <row r="22" spans="1:2" x14ac:dyDescent="0.2">
      <c r="A22" t="s">
        <v>943</v>
      </c>
      <c r="B22" s="138">
        <f>COVER!Z19</f>
        <v>60942</v>
      </c>
    </row>
    <row r="23" spans="1:2" x14ac:dyDescent="0.2">
      <c r="A23" t="s">
        <v>1214</v>
      </c>
      <c r="B23" s="138" t="str">
        <f>COVER!T21</f>
        <v>217-283-9336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6594370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6880106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6880106</v>
      </c>
      <c r="D92" s="2" t="str">
        <f t="shared" si="0"/>
        <v>Error?</v>
      </c>
    </row>
    <row r="93" spans="1:4" x14ac:dyDescent="0.2">
      <c r="A93" s="5">
        <v>32</v>
      </c>
      <c r="B93" s="138">
        <f>'Assets-Liab 5-6'!C41</f>
        <v>6880106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3711139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3718317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3718317</v>
      </c>
      <c r="D123" s="2" t="str">
        <f t="shared" si="0"/>
        <v>Error?</v>
      </c>
    </row>
    <row r="124" spans="1:4" x14ac:dyDescent="0.2">
      <c r="A124" s="5">
        <v>63</v>
      </c>
      <c r="B124" s="138">
        <f>'Assets-Liab 5-6'!D41</f>
        <v>3718317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50560</v>
      </c>
      <c r="D129" s="2" t="str">
        <f t="shared" si="1"/>
        <v>Error?</v>
      </c>
    </row>
    <row r="130" spans="1:4" x14ac:dyDescent="0.2">
      <c r="A130" s="5">
        <v>69</v>
      </c>
      <c r="B130" s="138">
        <f>'Assets-Liab 5-6'!E12</f>
        <v>0</v>
      </c>
      <c r="D130" s="2" t="str">
        <f t="shared" si="1"/>
        <v>Error?</v>
      </c>
    </row>
    <row r="131" spans="1:4" x14ac:dyDescent="0.2">
      <c r="A131" s="5">
        <v>70</v>
      </c>
      <c r="B131" s="138">
        <f>'Assets-Liab 5-6'!E13</f>
        <v>72844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72844</v>
      </c>
      <c r="D140" s="2" t="str">
        <f t="shared" si="1"/>
        <v>Error?</v>
      </c>
    </row>
    <row r="141" spans="1:4" x14ac:dyDescent="0.2">
      <c r="A141" s="5">
        <v>80</v>
      </c>
      <c r="B141" s="138">
        <f>'Assets-Liab 5-6'!E41</f>
        <v>72844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1209907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1319195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1319195</v>
      </c>
      <c r="D170" s="2" t="str">
        <f t="shared" si="1"/>
        <v>Error?</v>
      </c>
    </row>
    <row r="171" spans="1:4" x14ac:dyDescent="0.2">
      <c r="A171" s="5">
        <v>110</v>
      </c>
      <c r="B171" s="138">
        <f>'Assets-Liab 5-6'!F41</f>
        <v>1319195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160161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233960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210208</v>
      </c>
      <c r="D189" s="2" t="str">
        <f t="shared" si="1"/>
        <v>Error?</v>
      </c>
    </row>
    <row r="190" spans="1:4" x14ac:dyDescent="0.2">
      <c r="A190" s="5">
        <v>129</v>
      </c>
      <c r="B190" s="138">
        <f>'Assets-Liab 5-6'!G41</f>
        <v>233960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39244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41712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41712</v>
      </c>
      <c r="D212" s="2" t="str">
        <f t="shared" si="2"/>
        <v>Error?</v>
      </c>
    </row>
    <row r="213" spans="1:4" x14ac:dyDescent="0.2">
      <c r="A213" s="12">
        <v>152</v>
      </c>
      <c r="B213" s="138">
        <f>'Assets-Liab 5-6'!H41</f>
        <v>41712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5381544</v>
      </c>
      <c r="D273" s="2" t="str">
        <f t="shared" si="3"/>
        <v>Error?</v>
      </c>
    </row>
    <row r="274" spans="1:4" x14ac:dyDescent="0.2">
      <c r="A274" s="5">
        <v>213</v>
      </c>
      <c r="B274" s="138">
        <f>'Assets-Liab 5-6'!M17</f>
        <v>29394991</v>
      </c>
      <c r="D274" s="2" t="str">
        <f t="shared" si="3"/>
        <v>Error?</v>
      </c>
    </row>
    <row r="275" spans="1:4" x14ac:dyDescent="0.2">
      <c r="A275" s="5">
        <v>214</v>
      </c>
      <c r="B275" s="138">
        <f>'Assets-Liab 5-6'!M18</f>
        <v>2258330</v>
      </c>
      <c r="D275" s="2" t="str">
        <f t="shared" si="3"/>
        <v>Error?</v>
      </c>
    </row>
    <row r="276" spans="1:4" x14ac:dyDescent="0.2">
      <c r="A276" s="5">
        <v>215</v>
      </c>
      <c r="B276" s="138">
        <f>'Assets-Liab 5-6'!M19</f>
        <v>7990962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45025827</v>
      </c>
      <c r="C279" s="2" t="s">
        <v>594</v>
      </c>
      <c r="D279" s="2" t="str">
        <f t="shared" si="3"/>
        <v>Error?</v>
      </c>
    </row>
    <row r="280" spans="1:4" x14ac:dyDescent="0.2">
      <c r="A280" s="5">
        <v>219</v>
      </c>
      <c r="B280" s="138">
        <f>'Assets-Liab 5-6'!M40</f>
        <v>45025827</v>
      </c>
      <c r="D280" s="2" t="str">
        <f t="shared" si="3"/>
        <v>Error?</v>
      </c>
    </row>
    <row r="281" spans="1:4" x14ac:dyDescent="0.2">
      <c r="A281" s="5">
        <v>220</v>
      </c>
      <c r="B281" s="138">
        <f>'Assets-Liab 5-6'!M41</f>
        <v>45025827</v>
      </c>
      <c r="C281" s="2" t="s">
        <v>594</v>
      </c>
      <c r="D281" s="2" t="str">
        <f t="shared" si="3"/>
        <v>Error?</v>
      </c>
    </row>
    <row r="282" spans="1:4" x14ac:dyDescent="0.2">
      <c r="A282" s="5">
        <v>221</v>
      </c>
      <c r="B282" s="138">
        <f>'Assets-Liab 5-6'!N21</f>
        <v>72844</v>
      </c>
      <c r="D282" s="2" t="str">
        <f t="shared" si="3"/>
        <v>Error?</v>
      </c>
    </row>
    <row r="283" spans="1:4" x14ac:dyDescent="0.2">
      <c r="A283" s="5">
        <v>222</v>
      </c>
      <c r="B283" s="138">
        <f>'Assets-Liab 5-6'!N22</f>
        <v>11317156</v>
      </c>
      <c r="D283" s="2" t="str">
        <f t="shared" si="3"/>
        <v>Error?</v>
      </c>
    </row>
    <row r="284" spans="1:4" x14ac:dyDescent="0.2">
      <c r="A284" s="5">
        <v>223</v>
      </c>
      <c r="B284" s="138">
        <f>'Assets-Liab 5-6'!N23</f>
        <v>11390000</v>
      </c>
      <c r="C284" s="2" t="s">
        <v>594</v>
      </c>
      <c r="D284" s="2" t="str">
        <f t="shared" si="3"/>
        <v>Error?</v>
      </c>
    </row>
    <row r="285" spans="1:4" x14ac:dyDescent="0.2">
      <c r="A285" s="5">
        <v>224</v>
      </c>
      <c r="B285" s="138">
        <f>'Assets-Liab 5-6'!N36</f>
        <v>11390000</v>
      </c>
      <c r="D285" s="2" t="str">
        <f t="shared" si="3"/>
        <v>Error?</v>
      </c>
    </row>
    <row r="286" spans="1:4" x14ac:dyDescent="0.2">
      <c r="A286" s="10">
        <v>225</v>
      </c>
      <c r="D286" s="2" t="str">
        <f t="shared" si="3"/>
        <v>OK</v>
      </c>
    </row>
    <row r="287" spans="1:4" x14ac:dyDescent="0.2">
      <c r="A287" s="5">
        <v>226</v>
      </c>
      <c r="B287" s="138">
        <f>'Assets-Liab 5-6'!N37</f>
        <v>11390000</v>
      </c>
      <c r="C287" s="2" t="s">
        <v>594</v>
      </c>
      <c r="D287" s="2" t="str">
        <f t="shared" si="3"/>
        <v>Error?</v>
      </c>
    </row>
    <row r="288" spans="1:4" x14ac:dyDescent="0.2">
      <c r="A288" s="5">
        <v>227</v>
      </c>
      <c r="B288" s="138">
        <f>'Assets-Liab 5-6'!N41</f>
        <v>11390000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5753843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56513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775502</v>
      </c>
      <c r="D718" s="2" t="str">
        <f t="shared" si="10"/>
        <v>Error?</v>
      </c>
    </row>
    <row r="719" spans="1:4" x14ac:dyDescent="0.2">
      <c r="A719" s="5">
        <v>658</v>
      </c>
      <c r="B719" s="138">
        <f>'Expenditures 15-22'!C15</f>
        <v>70401</v>
      </c>
      <c r="D719" s="2" t="str">
        <f t="shared" si="10"/>
        <v>Error?</v>
      </c>
    </row>
    <row r="720" spans="1:4" x14ac:dyDescent="0.2">
      <c r="A720" s="5">
        <v>659</v>
      </c>
      <c r="B720" s="138">
        <f>'Expenditures 15-22'!C33</f>
        <v>8938581</v>
      </c>
      <c r="C720" s="2" t="s">
        <v>594</v>
      </c>
      <c r="D720" s="2" t="str">
        <f t="shared" si="10"/>
        <v>Error?</v>
      </c>
    </row>
    <row r="721" spans="1:4" x14ac:dyDescent="0.2">
      <c r="A721" s="5">
        <v>660</v>
      </c>
      <c r="B721" s="138">
        <f>'Expenditures 15-22'!C36</f>
        <v>412195</v>
      </c>
      <c r="D721" s="2" t="str">
        <f t="shared" si="10"/>
        <v>Error?</v>
      </c>
    </row>
    <row r="722" spans="1:4" x14ac:dyDescent="0.2">
      <c r="A722" s="5">
        <v>661</v>
      </c>
      <c r="B722" s="138">
        <f>'Expenditures 15-22'!C37</f>
        <v>695121</v>
      </c>
      <c r="D722" s="2" t="str">
        <f t="shared" si="10"/>
        <v>Error?</v>
      </c>
    </row>
    <row r="723" spans="1:4" x14ac:dyDescent="0.2">
      <c r="A723" s="5">
        <v>662</v>
      </c>
      <c r="B723" s="138">
        <f>'Expenditures 15-22'!C38</f>
        <v>86699</v>
      </c>
      <c r="D723" s="2" t="str">
        <f t="shared" si="10"/>
        <v>Error?</v>
      </c>
    </row>
    <row r="724" spans="1:4" x14ac:dyDescent="0.2">
      <c r="A724" s="5">
        <v>663</v>
      </c>
      <c r="B724" s="138">
        <f>'Expenditures 15-22'!C39</f>
        <v>50189</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1244204</v>
      </c>
      <c r="C727" s="2" t="s">
        <v>594</v>
      </c>
      <c r="D727" s="2" t="str">
        <f t="shared" si="10"/>
        <v>Error?</v>
      </c>
    </row>
    <row r="728" spans="1:4" x14ac:dyDescent="0.2">
      <c r="A728" s="5">
        <v>667</v>
      </c>
      <c r="B728" s="138">
        <f>'Expenditures 15-22'!C44</f>
        <v>214954</v>
      </c>
      <c r="D728" s="2" t="str">
        <f t="shared" si="10"/>
        <v>Error?</v>
      </c>
    </row>
    <row r="729" spans="1:4" x14ac:dyDescent="0.2">
      <c r="A729" s="5">
        <v>668</v>
      </c>
      <c r="B729" s="138">
        <f>'Expenditures 15-22'!C45</f>
        <v>99602</v>
      </c>
      <c r="D729" s="2" t="str">
        <f t="shared" si="10"/>
        <v>Error?</v>
      </c>
    </row>
    <row r="730" spans="1:4" x14ac:dyDescent="0.2">
      <c r="A730" s="5">
        <v>669</v>
      </c>
      <c r="B730" s="138">
        <f>'Expenditures 15-22'!C46</f>
        <v>183635</v>
      </c>
      <c r="D730" s="2" t="str">
        <f t="shared" si="10"/>
        <v>Error?</v>
      </c>
    </row>
    <row r="731" spans="1:4" x14ac:dyDescent="0.2">
      <c r="A731" s="5">
        <v>670</v>
      </c>
      <c r="B731" s="138">
        <f>'Expenditures 15-22'!C47</f>
        <v>498191</v>
      </c>
      <c r="C731" s="2" t="s">
        <v>594</v>
      </c>
      <c r="D731" s="2" t="str">
        <f t="shared" si="10"/>
        <v>Error?</v>
      </c>
    </row>
    <row r="732" spans="1:4" x14ac:dyDescent="0.2">
      <c r="A732" s="5">
        <v>671</v>
      </c>
      <c r="B732" s="138">
        <f>'Expenditures 15-22'!C49</f>
        <v>16660</v>
      </c>
      <c r="D732" s="2" t="str">
        <f t="shared" si="10"/>
        <v>Error?</v>
      </c>
    </row>
    <row r="733" spans="1:4" x14ac:dyDescent="0.2">
      <c r="A733" s="5">
        <v>672</v>
      </c>
      <c r="B733" s="138">
        <f>'Expenditures 15-22'!C50</f>
        <v>253524</v>
      </c>
      <c r="D733" s="2" t="str">
        <f t="shared" si="10"/>
        <v>Error?</v>
      </c>
    </row>
    <row r="734" spans="1:4" x14ac:dyDescent="0.2">
      <c r="A734" s="5">
        <v>673</v>
      </c>
      <c r="B734" s="138">
        <f>'Expenditures 15-22'!C53</f>
        <v>270184</v>
      </c>
      <c r="C734" s="2" t="s">
        <v>594</v>
      </c>
      <c r="D734" s="2" t="str">
        <f t="shared" si="10"/>
        <v>Error?</v>
      </c>
    </row>
    <row r="735" spans="1:4" x14ac:dyDescent="0.2">
      <c r="A735" s="5">
        <v>674</v>
      </c>
      <c r="B735" s="138">
        <f>'Expenditures 15-22'!C55</f>
        <v>159855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159855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248049</v>
      </c>
      <c r="D739" s="2" t="str">
        <f t="shared" si="10"/>
        <v>Error?</v>
      </c>
    </row>
    <row r="740" spans="1:4" x14ac:dyDescent="0.2">
      <c r="A740" s="5">
        <v>679</v>
      </c>
      <c r="B740" s="138">
        <f>'Expenditures 15-22'!C61</f>
        <v>102567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233129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583745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226677</v>
      </c>
      <c r="D751" s="2" t="str">
        <f t="shared" si="10"/>
        <v>Error?</v>
      </c>
    </row>
    <row r="752" spans="1:4" x14ac:dyDescent="0.2">
      <c r="A752" s="10">
        <v>691</v>
      </c>
      <c r="D752" s="2" t="str">
        <f t="shared" si="10"/>
        <v>OK</v>
      </c>
    </row>
    <row r="753" spans="1:4" x14ac:dyDescent="0.2">
      <c r="A753" s="5">
        <v>692</v>
      </c>
      <c r="B753" s="138">
        <f>'Expenditures 15-22'!C72</f>
        <v>226677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2982856</v>
      </c>
      <c r="C755" s="2" t="s">
        <v>594</v>
      </c>
      <c r="D755" s="2" t="str">
        <f t="shared" si="10"/>
        <v>Error?</v>
      </c>
    </row>
    <row r="756" spans="1:4" x14ac:dyDescent="0.2">
      <c r="A756" s="5">
        <v>695</v>
      </c>
      <c r="B756" s="138">
        <f>'Expenditures 15-22'!C75</f>
        <v>44631</v>
      </c>
      <c r="D756" s="2" t="str">
        <f t="shared" si="10"/>
        <v>Error?</v>
      </c>
    </row>
    <row r="757" spans="1:4" x14ac:dyDescent="0.2">
      <c r="A757" s="5">
        <v>696</v>
      </c>
      <c r="B757" s="138">
        <f>'Expenditures 15-22'!C114</f>
        <v>11966068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1018675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4025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111658</v>
      </c>
      <c r="D776" s="2" t="str">
        <f t="shared" si="11"/>
        <v>Error?</v>
      </c>
    </row>
    <row r="777" spans="1:4" x14ac:dyDescent="0.2">
      <c r="A777" s="5">
        <v>716</v>
      </c>
      <c r="B777" s="138">
        <f>'Expenditures 15-22'!D15</f>
        <v>2530</v>
      </c>
      <c r="D777" s="2" t="str">
        <f t="shared" si="11"/>
        <v>Error?</v>
      </c>
    </row>
    <row r="778" spans="1:4" x14ac:dyDescent="0.2">
      <c r="A778" s="5">
        <v>717</v>
      </c>
      <c r="B778" s="138">
        <f>'Expenditures 15-22'!D33</f>
        <v>1628683</v>
      </c>
      <c r="C778" s="2" t="s">
        <v>594</v>
      </c>
      <c r="D778" s="2" t="str">
        <f t="shared" si="11"/>
        <v>Error?</v>
      </c>
    </row>
    <row r="779" spans="1:4" x14ac:dyDescent="0.2">
      <c r="A779" s="5">
        <v>718</v>
      </c>
      <c r="B779" s="138">
        <f>'Expenditures 15-22'!D36</f>
        <v>152782</v>
      </c>
      <c r="D779" s="2" t="str">
        <f t="shared" si="11"/>
        <v>Error?</v>
      </c>
    </row>
    <row r="780" spans="1:4" x14ac:dyDescent="0.2">
      <c r="A780" s="5">
        <v>719</v>
      </c>
      <c r="B780" s="138">
        <f>'Expenditures 15-22'!D37</f>
        <v>153290</v>
      </c>
      <c r="D780" s="2" t="str">
        <f t="shared" si="11"/>
        <v>Error?</v>
      </c>
    </row>
    <row r="781" spans="1:4" x14ac:dyDescent="0.2">
      <c r="A781" s="5">
        <v>720</v>
      </c>
      <c r="B781" s="138">
        <f>'Expenditures 15-22'!D38</f>
        <v>22391</v>
      </c>
      <c r="D781" s="2" t="str">
        <f t="shared" si="11"/>
        <v>Error?</v>
      </c>
    </row>
    <row r="782" spans="1:4" x14ac:dyDescent="0.2">
      <c r="A782" s="5">
        <v>721</v>
      </c>
      <c r="B782" s="138">
        <f>'Expenditures 15-22'!D39</f>
        <v>16516</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344979</v>
      </c>
      <c r="C785" s="2" t="s">
        <v>594</v>
      </c>
      <c r="D785" s="2" t="str">
        <f t="shared" si="11"/>
        <v>Error?</v>
      </c>
    </row>
    <row r="786" spans="1:4" x14ac:dyDescent="0.2">
      <c r="A786" s="5">
        <v>725</v>
      </c>
      <c r="B786" s="138">
        <f>'Expenditures 15-22'!D44</f>
        <v>36629</v>
      </c>
      <c r="D786" s="2" t="str">
        <f t="shared" si="11"/>
        <v>Error?</v>
      </c>
    </row>
    <row r="787" spans="1:4" x14ac:dyDescent="0.2">
      <c r="A787" s="5">
        <v>726</v>
      </c>
      <c r="B787" s="138">
        <f>'Expenditures 15-22'!D45</f>
        <v>17351</v>
      </c>
      <c r="D787" s="2" t="str">
        <f t="shared" si="11"/>
        <v>Error?</v>
      </c>
    </row>
    <row r="788" spans="1:4" x14ac:dyDescent="0.2">
      <c r="A788" s="5">
        <v>727</v>
      </c>
      <c r="B788" s="138">
        <f>'Expenditures 15-22'!D46</f>
        <v>55808</v>
      </c>
      <c r="D788" s="2" t="str">
        <f t="shared" si="11"/>
        <v>Error?</v>
      </c>
    </row>
    <row r="789" spans="1:4" x14ac:dyDescent="0.2">
      <c r="A789" s="5">
        <v>728</v>
      </c>
      <c r="B789" s="138">
        <f>'Expenditures 15-22'!D47</f>
        <v>109788</v>
      </c>
      <c r="C789" s="2" t="s">
        <v>594</v>
      </c>
      <c r="D789" s="2" t="str">
        <f t="shared" si="11"/>
        <v>Error?</v>
      </c>
    </row>
    <row r="790" spans="1:4" x14ac:dyDescent="0.2">
      <c r="A790" s="5">
        <v>729</v>
      </c>
      <c r="B790" s="138">
        <f>'Expenditures 15-22'!D49</f>
        <v>32297</v>
      </c>
      <c r="D790" s="2" t="str">
        <f t="shared" si="11"/>
        <v>Error?</v>
      </c>
    </row>
    <row r="791" spans="1:4" x14ac:dyDescent="0.2">
      <c r="A791" s="5">
        <v>730</v>
      </c>
      <c r="B791" s="138">
        <f>'Expenditures 15-22'!D50</f>
        <v>63277</v>
      </c>
      <c r="D791" s="2" t="str">
        <f t="shared" si="11"/>
        <v>Error?</v>
      </c>
    </row>
    <row r="792" spans="1:4" x14ac:dyDescent="0.2">
      <c r="A792" s="5">
        <v>731</v>
      </c>
      <c r="B792" s="138">
        <f>'Expenditures 15-22'!D53</f>
        <v>95574</v>
      </c>
      <c r="C792" s="2" t="s">
        <v>594</v>
      </c>
      <c r="D792" s="2" t="str">
        <f t="shared" si="11"/>
        <v>Error?</v>
      </c>
    </row>
    <row r="793" spans="1:4" x14ac:dyDescent="0.2">
      <c r="A793" s="5">
        <v>732</v>
      </c>
      <c r="B793" s="138">
        <f>'Expenditures 15-22'!D55</f>
        <v>51119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51119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55543</v>
      </c>
      <c r="D797" s="2" t="str">
        <f t="shared" si="11"/>
        <v>Error?</v>
      </c>
    </row>
    <row r="798" spans="1:4" x14ac:dyDescent="0.2">
      <c r="A798" s="5">
        <v>737</v>
      </c>
      <c r="B798" s="138">
        <f>'Expenditures 15-22'!D61</f>
        <v>27957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46843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130343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23499</v>
      </c>
      <c r="D809" s="2" t="str">
        <f t="shared" si="11"/>
        <v>Error?</v>
      </c>
    </row>
    <row r="810" spans="1:4" x14ac:dyDescent="0.2">
      <c r="A810" s="10">
        <v>749</v>
      </c>
      <c r="D810" s="2" t="str">
        <f t="shared" si="11"/>
        <v>OK</v>
      </c>
    </row>
    <row r="811" spans="1:4" x14ac:dyDescent="0.2">
      <c r="A811" s="5">
        <v>750</v>
      </c>
      <c r="B811" s="138">
        <f>'Expenditures 15-22'!D72</f>
        <v>23499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755302</v>
      </c>
      <c r="C813" s="2" t="s">
        <v>594</v>
      </c>
      <c r="D813" s="2" t="str">
        <f t="shared" si="11"/>
        <v>Error?</v>
      </c>
    </row>
    <row r="814" spans="1:4" x14ac:dyDescent="0.2">
      <c r="A814" s="5">
        <v>753</v>
      </c>
      <c r="B814" s="138">
        <f>'Expenditures 15-22'!D75</f>
        <v>1989</v>
      </c>
      <c r="D814" s="2" t="str">
        <f t="shared" si="11"/>
        <v>Error?</v>
      </c>
    </row>
    <row r="815" spans="1:4" x14ac:dyDescent="0.2">
      <c r="A815" s="5">
        <v>754</v>
      </c>
      <c r="B815" s="138">
        <f>'Expenditures 15-22'!D114</f>
        <v>2385974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155305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144260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319681</v>
      </c>
      <c r="C836" s="2" t="s">
        <v>594</v>
      </c>
      <c r="D836" s="2" t="str">
        <f t="shared" si="12"/>
        <v>Error?</v>
      </c>
    </row>
    <row r="837" spans="1:4" x14ac:dyDescent="0.2">
      <c r="A837" s="5">
        <v>776</v>
      </c>
      <c r="B837" s="138">
        <f>'Expenditures 15-22'!E36</f>
        <v>45118</v>
      </c>
      <c r="D837" s="2" t="str">
        <f t="shared" si="12"/>
        <v>Error?</v>
      </c>
    </row>
    <row r="838" spans="1:4" x14ac:dyDescent="0.2">
      <c r="A838" s="5">
        <v>777</v>
      </c>
      <c r="B838" s="138">
        <f>'Expenditures 15-22'!E37</f>
        <v>20660</v>
      </c>
      <c r="D838" s="2" t="str">
        <f t="shared" si="12"/>
        <v>Error?</v>
      </c>
    </row>
    <row r="839" spans="1:4" x14ac:dyDescent="0.2">
      <c r="A839" s="5">
        <v>778</v>
      </c>
      <c r="B839" s="138">
        <f>'Expenditures 15-22'!E38</f>
        <v>31616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5083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102477</v>
      </c>
      <c r="C843" s="2" t="s">
        <v>594</v>
      </c>
      <c r="D843" s="2" t="str">
        <f t="shared" si="12"/>
        <v>Error?</v>
      </c>
    </row>
    <row r="844" spans="1:4" x14ac:dyDescent="0.2">
      <c r="A844" s="5">
        <v>783</v>
      </c>
      <c r="B844" s="138">
        <f>'Expenditures 15-22'!E44</f>
        <v>89010</v>
      </c>
      <c r="D844" s="2" t="str">
        <f t="shared" si="12"/>
        <v>Error?</v>
      </c>
    </row>
    <row r="845" spans="1:4" x14ac:dyDescent="0.2">
      <c r="A845" s="5">
        <v>784</v>
      </c>
      <c r="B845" s="138">
        <f>'Expenditures 15-22'!E45</f>
        <v>9513</v>
      </c>
      <c r="D845" s="2" t="str">
        <f t="shared" si="12"/>
        <v>Error?</v>
      </c>
    </row>
    <row r="846" spans="1:4" x14ac:dyDescent="0.2">
      <c r="A846" s="5">
        <v>785</v>
      </c>
      <c r="B846" s="138">
        <f>'Expenditures 15-22'!E46</f>
        <v>7427</v>
      </c>
      <c r="D846" s="2" t="str">
        <f t="shared" si="12"/>
        <v>Error?</v>
      </c>
    </row>
    <row r="847" spans="1:4" x14ac:dyDescent="0.2">
      <c r="A847" s="5">
        <v>786</v>
      </c>
      <c r="B847" s="138">
        <f>'Expenditures 15-22'!E47</f>
        <v>105950</v>
      </c>
      <c r="C847" s="2" t="s">
        <v>594</v>
      </c>
      <c r="D847" s="2" t="str">
        <f t="shared" si="12"/>
        <v>Error?</v>
      </c>
    </row>
    <row r="848" spans="1:4" x14ac:dyDescent="0.2">
      <c r="A848" s="5">
        <v>787</v>
      </c>
      <c r="B848" s="138">
        <f>'Expenditures 15-22'!E49</f>
        <v>62539</v>
      </c>
      <c r="D848" s="2" t="str">
        <f t="shared" si="12"/>
        <v>Error?</v>
      </c>
    </row>
    <row r="849" spans="1:4" x14ac:dyDescent="0.2">
      <c r="A849" s="5">
        <v>788</v>
      </c>
      <c r="B849" s="138">
        <f>'Expenditures 15-22'!E50</f>
        <v>15485</v>
      </c>
      <c r="D849" s="2" t="str">
        <f t="shared" si="12"/>
        <v>Error?</v>
      </c>
    </row>
    <row r="850" spans="1:4" x14ac:dyDescent="0.2">
      <c r="A850" s="5">
        <v>789</v>
      </c>
      <c r="B850" s="138">
        <f>'Expenditures 15-22'!E53</f>
        <v>260472</v>
      </c>
      <c r="C850" s="2" t="s">
        <v>594</v>
      </c>
      <c r="D850" s="2" t="str">
        <f t="shared" si="12"/>
        <v>Error?</v>
      </c>
    </row>
    <row r="851" spans="1:4" x14ac:dyDescent="0.2">
      <c r="A851" s="5">
        <v>790</v>
      </c>
      <c r="B851" s="138">
        <f>'Expenditures 15-22'!E55</f>
        <v>2354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2354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23038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4351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27389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1200</v>
      </c>
      <c r="D865" s="2" t="str">
        <f t="shared" si="12"/>
        <v>Error?</v>
      </c>
    </row>
    <row r="866" spans="1:4" x14ac:dyDescent="0.2">
      <c r="A866" s="10">
        <v>805</v>
      </c>
      <c r="D866" s="2" t="str">
        <f t="shared" si="12"/>
        <v>OK</v>
      </c>
    </row>
    <row r="867" spans="1:4" x14ac:dyDescent="0.2">
      <c r="A867" s="5">
        <v>806</v>
      </c>
      <c r="B867" s="138">
        <f>'Expenditures 15-22'!E71</f>
        <v>187172</v>
      </c>
      <c r="D867" s="2" t="str">
        <f t="shared" si="12"/>
        <v>Error?</v>
      </c>
    </row>
    <row r="868" spans="1:4" x14ac:dyDescent="0.2">
      <c r="A868" s="10">
        <v>807</v>
      </c>
      <c r="D868" s="2" t="str">
        <f t="shared" si="12"/>
        <v>OK</v>
      </c>
    </row>
    <row r="869" spans="1:4" x14ac:dyDescent="0.2">
      <c r="A869" s="5">
        <v>808</v>
      </c>
      <c r="B869" s="138">
        <f>'Expenditures 15-22'!E72</f>
        <v>188372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687014</v>
      </c>
      <c r="C871" s="2" t="s">
        <v>594</v>
      </c>
      <c r="D871" s="2" t="str">
        <f t="shared" si="12"/>
        <v>Error?</v>
      </c>
    </row>
    <row r="872" spans="1:4" x14ac:dyDescent="0.2">
      <c r="A872" s="5">
        <v>811</v>
      </c>
      <c r="B872" s="138">
        <f>'Expenditures 15-22'!E75</f>
        <v>49738</v>
      </c>
      <c r="D872" s="2" t="str">
        <f t="shared" si="12"/>
        <v>Error?</v>
      </c>
    </row>
    <row r="873" spans="1:4" x14ac:dyDescent="0.2">
      <c r="A873" s="5">
        <v>812</v>
      </c>
      <c r="B873" s="138">
        <f>'Expenditures 15-22'!E114</f>
        <v>1103033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228417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863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57403</v>
      </c>
      <c r="D892" s="2" t="str">
        <f t="shared" si="12"/>
        <v>Error?</v>
      </c>
    </row>
    <row r="893" spans="1:4" x14ac:dyDescent="0.2">
      <c r="A893" s="5">
        <v>832</v>
      </c>
      <c r="B893" s="138">
        <f>'Expenditures 15-22'!F15</f>
        <v>32</v>
      </c>
      <c r="D893" s="2" t="str">
        <f t="shared" si="12"/>
        <v>Error?</v>
      </c>
    </row>
    <row r="894" spans="1:4" x14ac:dyDescent="0.2">
      <c r="A894" s="5">
        <v>833</v>
      </c>
      <c r="B894" s="138">
        <f>'Expenditures 15-22'!F33</f>
        <v>333273</v>
      </c>
      <c r="C894" s="2" t="s">
        <v>594</v>
      </c>
      <c r="D894" s="2" t="str">
        <f t="shared" si="12"/>
        <v>Error?</v>
      </c>
    </row>
    <row r="895" spans="1:4" x14ac:dyDescent="0.2">
      <c r="A895" s="5">
        <v>834</v>
      </c>
      <c r="B895" s="138">
        <f>'Expenditures 15-22'!F36</f>
        <v>2599</v>
      </c>
      <c r="D895" s="2" t="str">
        <f t="shared" ref="D895:D958" si="13">IF(ISBLANK(B895),"OK",IF(A895-B895=0,"OK","Error?"))</f>
        <v>Error?</v>
      </c>
    </row>
    <row r="896" spans="1:4" x14ac:dyDescent="0.2">
      <c r="A896" s="5">
        <v>835</v>
      </c>
      <c r="B896" s="138">
        <f>'Expenditures 15-22'!F37</f>
        <v>13054</v>
      </c>
      <c r="D896" s="2" t="str">
        <f t="shared" si="13"/>
        <v>Error?</v>
      </c>
    </row>
    <row r="897" spans="1:4" x14ac:dyDescent="0.2">
      <c r="A897" s="5">
        <v>836</v>
      </c>
      <c r="B897" s="138">
        <f>'Expenditures 15-22'!F38</f>
        <v>1322</v>
      </c>
      <c r="D897" s="2" t="str">
        <f t="shared" si="13"/>
        <v>Error?</v>
      </c>
    </row>
    <row r="898" spans="1:4" x14ac:dyDescent="0.2">
      <c r="A898" s="5">
        <v>837</v>
      </c>
      <c r="B898" s="138">
        <f>'Expenditures 15-22'!F39</f>
        <v>1130</v>
      </c>
      <c r="D898" s="2" t="str">
        <f t="shared" si="13"/>
        <v>Error?</v>
      </c>
    </row>
    <row r="899" spans="1:4" x14ac:dyDescent="0.2">
      <c r="A899" s="5">
        <v>838</v>
      </c>
      <c r="B899" s="138">
        <f>'Expenditures 15-22'!F40</f>
        <v>4800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22905</v>
      </c>
      <c r="C901" s="2" t="s">
        <v>594</v>
      </c>
      <c r="D901" s="2" t="str">
        <f t="shared" si="13"/>
        <v>Error?</v>
      </c>
    </row>
    <row r="902" spans="1:4" x14ac:dyDescent="0.2">
      <c r="A902" s="5">
        <v>841</v>
      </c>
      <c r="B902" s="138">
        <f>'Expenditures 15-22'!F44</f>
        <v>3193</v>
      </c>
      <c r="D902" s="2" t="str">
        <f t="shared" si="13"/>
        <v>Error?</v>
      </c>
    </row>
    <row r="903" spans="1:4" x14ac:dyDescent="0.2">
      <c r="A903" s="5">
        <v>842</v>
      </c>
      <c r="B903" s="138">
        <f>'Expenditures 15-22'!F45</f>
        <v>6252</v>
      </c>
      <c r="D903" s="2" t="str">
        <f t="shared" si="13"/>
        <v>Error?</v>
      </c>
    </row>
    <row r="904" spans="1:4" x14ac:dyDescent="0.2">
      <c r="A904" s="5">
        <v>843</v>
      </c>
      <c r="B904" s="138">
        <f>'Expenditures 15-22'!F46</f>
        <v>1189</v>
      </c>
      <c r="D904" s="2" t="str">
        <f t="shared" si="13"/>
        <v>Error?</v>
      </c>
    </row>
    <row r="905" spans="1:4" x14ac:dyDescent="0.2">
      <c r="A905" s="5">
        <v>844</v>
      </c>
      <c r="B905" s="138">
        <f>'Expenditures 15-22'!F47</f>
        <v>10634</v>
      </c>
      <c r="C905" s="2" t="s">
        <v>594</v>
      </c>
      <c r="D905" s="2" t="str">
        <f t="shared" si="13"/>
        <v>Error?</v>
      </c>
    </row>
    <row r="906" spans="1:4" x14ac:dyDescent="0.2">
      <c r="A906" s="5">
        <v>845</v>
      </c>
      <c r="B906" s="138">
        <f>'Expenditures 15-22'!F49</f>
        <v>2584</v>
      </c>
      <c r="D906" s="2" t="str">
        <f t="shared" si="13"/>
        <v>Error?</v>
      </c>
    </row>
    <row r="907" spans="1:4" x14ac:dyDescent="0.2">
      <c r="A907" s="5">
        <v>846</v>
      </c>
      <c r="B907" s="138">
        <f>'Expenditures 15-22'!F50</f>
        <v>5958</v>
      </c>
      <c r="D907" s="2" t="str">
        <f t="shared" si="13"/>
        <v>Error?</v>
      </c>
    </row>
    <row r="908" spans="1:4" x14ac:dyDescent="0.2">
      <c r="A908" s="5">
        <v>847</v>
      </c>
      <c r="B908" s="138">
        <f>'Expenditures 15-22'!F53</f>
        <v>8542</v>
      </c>
      <c r="C908" s="2" t="s">
        <v>594</v>
      </c>
      <c r="D908" s="2" t="str">
        <f t="shared" si="13"/>
        <v>Error?</v>
      </c>
    </row>
    <row r="909" spans="1:4" x14ac:dyDescent="0.2">
      <c r="A909" s="5">
        <v>848</v>
      </c>
      <c r="B909" s="138">
        <f>'Expenditures 15-22'!F55</f>
        <v>2033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2033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1708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280521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282229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25001</v>
      </c>
      <c r="D925" s="2" t="str">
        <f t="shared" si="13"/>
        <v>Error?</v>
      </c>
    </row>
    <row r="926" spans="1:4" x14ac:dyDescent="0.2">
      <c r="A926" s="10">
        <v>865</v>
      </c>
      <c r="D926" s="2" t="str">
        <f t="shared" si="13"/>
        <v>OK</v>
      </c>
    </row>
    <row r="927" spans="1:4" x14ac:dyDescent="0.2">
      <c r="A927" s="5">
        <v>866</v>
      </c>
      <c r="B927" s="138">
        <f>'Expenditures 15-22'!F72</f>
        <v>25001</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351344</v>
      </c>
      <c r="C929" s="2" t="s">
        <v>594</v>
      </c>
      <c r="D929" s="2" t="str">
        <f t="shared" si="13"/>
        <v>Error?</v>
      </c>
    </row>
    <row r="930" spans="1:4" x14ac:dyDescent="0.2">
      <c r="A930" s="5">
        <v>869</v>
      </c>
      <c r="B930" s="138">
        <f>'Expenditures 15-22'!F75</f>
        <v>8336</v>
      </c>
      <c r="D930" s="2" t="str">
        <f t="shared" si="13"/>
        <v>Error?</v>
      </c>
    </row>
    <row r="931" spans="1:4" x14ac:dyDescent="0.2">
      <c r="A931" s="5">
        <v>870</v>
      </c>
      <c r="B931" s="138">
        <f>'Expenditures 15-22'!F114</f>
        <v>692953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58736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91219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6559</v>
      </c>
      <c r="D965" s="2" t="str">
        <f t="shared" si="14"/>
        <v>Error?</v>
      </c>
    </row>
    <row r="966" spans="1:4" x14ac:dyDescent="0.2">
      <c r="A966" s="5">
        <v>905</v>
      </c>
      <c r="B966" s="138">
        <f>'Expenditures 15-22'!G53</f>
        <v>6559</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10756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10756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343051</v>
      </c>
      <c r="D983" s="2" t="str">
        <f t="shared" si="14"/>
        <v>Error?</v>
      </c>
    </row>
    <row r="984" spans="1:4" x14ac:dyDescent="0.2">
      <c r="A984" s="10">
        <v>923</v>
      </c>
      <c r="D984" s="2" t="str">
        <f t="shared" si="14"/>
        <v>OK</v>
      </c>
    </row>
    <row r="985" spans="1:4" x14ac:dyDescent="0.2">
      <c r="A985" s="5">
        <v>924</v>
      </c>
      <c r="B985" s="138">
        <f>'Expenditures 15-22'!G72</f>
        <v>343051</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360366</v>
      </c>
      <c r="C987" s="2" t="s">
        <v>594</v>
      </c>
      <c r="D987" s="2" t="str">
        <f t="shared" si="14"/>
        <v>Error?</v>
      </c>
    </row>
    <row r="988" spans="1:4" x14ac:dyDescent="0.2">
      <c r="A988" s="5">
        <v>927</v>
      </c>
      <c r="B988" s="138">
        <f>'Expenditures 15-22'!G75</f>
        <v>5999</v>
      </c>
      <c r="D988" s="2" t="str">
        <f t="shared" si="14"/>
        <v>Error?</v>
      </c>
    </row>
    <row r="989" spans="1:4" x14ac:dyDescent="0.2">
      <c r="A989" s="5">
        <v>928</v>
      </c>
      <c r="B989" s="138">
        <f>'Expenditures 15-22'!G114</f>
        <v>457584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8767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34170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788084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895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895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1340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1340</v>
      </c>
      <c r="C1021" s="2" t="s">
        <v>594</v>
      </c>
      <c r="D1021" s="2" t="str">
        <f t="shared" si="14"/>
        <v>Error?</v>
      </c>
    </row>
    <row r="1022" spans="1:4" x14ac:dyDescent="0.2">
      <c r="A1022" s="5">
        <v>961</v>
      </c>
      <c r="B1022" s="138">
        <f>'Expenditures 15-22'!H49</f>
        <v>56798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56798</v>
      </c>
      <c r="C1024" s="2" t="s">
        <v>594</v>
      </c>
      <c r="D1024" s="2" t="str">
        <f t="shared" si="15"/>
        <v>Error?</v>
      </c>
    </row>
    <row r="1025" spans="1:4" x14ac:dyDescent="0.2">
      <c r="A1025" s="5">
        <v>964</v>
      </c>
      <c r="B1025" s="138">
        <f>'Expenditures 15-22'!H55</f>
        <v>9928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9928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1320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1320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70281</v>
      </c>
      <c r="C1045" s="2" t="s">
        <v>594</v>
      </c>
      <c r="D1045" s="2" t="str">
        <f t="shared" si="15"/>
        <v>Error?</v>
      </c>
    </row>
    <row r="1046" spans="1:4" x14ac:dyDescent="0.2">
      <c r="A1046" s="5">
        <v>985</v>
      </c>
      <c r="B1046" s="138">
        <f>'Expenditures 15-22'!H75</f>
        <v>35596</v>
      </c>
      <c r="D1046" s="2" t="str">
        <f t="shared" si="15"/>
        <v>Error?</v>
      </c>
    </row>
    <row r="1047" spans="1:4" x14ac:dyDescent="0.2">
      <c r="A1047" s="5">
        <v>986</v>
      </c>
      <c r="B1047" s="138">
        <f>'Expenditures 15-22'!H102</f>
        <v>385377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1279338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7223743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61401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1122993</v>
      </c>
      <c r="C1106" s="2" t="s">
        <v>594</v>
      </c>
      <c r="D1106" s="2" t="str">
        <f t="shared" si="16"/>
        <v>Error?</v>
      </c>
    </row>
    <row r="1107" spans="1:4" x14ac:dyDescent="0.2">
      <c r="A1107" s="5">
        <v>1046</v>
      </c>
      <c r="B1107" s="138">
        <f>'Expenditures 15-22'!K15</f>
        <v>72963</v>
      </c>
      <c r="C1107" s="2" t="s">
        <v>594</v>
      </c>
      <c r="D1107" s="2" t="str">
        <f t="shared" si="16"/>
        <v>Error?</v>
      </c>
    </row>
    <row r="1108" spans="1:4" x14ac:dyDescent="0.2">
      <c r="A1108" s="5">
        <v>1047</v>
      </c>
      <c r="B1108" s="138">
        <f>'Expenditures 15-22'!K33</f>
        <v>12099521</v>
      </c>
      <c r="C1108" s="2" t="s">
        <v>594</v>
      </c>
      <c r="D1108" s="2" t="str">
        <f t="shared" si="16"/>
        <v>Error?</v>
      </c>
    </row>
    <row r="1109" spans="1:4" x14ac:dyDescent="0.2">
      <c r="A1109" s="5">
        <v>1048</v>
      </c>
      <c r="B1109" s="138">
        <f>'Expenditures 15-22'!K36</f>
        <v>612694</v>
      </c>
      <c r="C1109" s="2" t="s">
        <v>594</v>
      </c>
      <c r="D1109" s="2" t="str">
        <f t="shared" si="16"/>
        <v>Error?</v>
      </c>
    </row>
    <row r="1110" spans="1:4" x14ac:dyDescent="0.2">
      <c r="A1110" s="5">
        <v>1049</v>
      </c>
      <c r="B1110" s="138">
        <f>'Expenditures 15-22'!K37</f>
        <v>883020</v>
      </c>
      <c r="C1110" s="2" t="s">
        <v>594</v>
      </c>
      <c r="D1110" s="2" t="str">
        <f t="shared" si="16"/>
        <v>Error?</v>
      </c>
    </row>
    <row r="1111" spans="1:4" x14ac:dyDescent="0.2">
      <c r="A1111" s="5">
        <v>1050</v>
      </c>
      <c r="B1111" s="138">
        <f>'Expenditures 15-22'!K38</f>
        <v>142028</v>
      </c>
      <c r="C1111" s="2" t="s">
        <v>594</v>
      </c>
      <c r="D1111" s="2" t="str">
        <f t="shared" si="16"/>
        <v>Error?</v>
      </c>
    </row>
    <row r="1112" spans="1:4" x14ac:dyDescent="0.2">
      <c r="A1112" s="5">
        <v>1051</v>
      </c>
      <c r="B1112" s="138">
        <f>'Expenditures 15-22'!K39</f>
        <v>67835</v>
      </c>
      <c r="C1112" s="2" t="s">
        <v>594</v>
      </c>
      <c r="D1112" s="2" t="str">
        <f t="shared" si="16"/>
        <v>Error?</v>
      </c>
    </row>
    <row r="1113" spans="1:4" x14ac:dyDescent="0.2">
      <c r="A1113" s="5">
        <v>1052</v>
      </c>
      <c r="B1113" s="138">
        <f>'Expenditures 15-22'!K40</f>
        <v>9883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1715460</v>
      </c>
      <c r="C1115" s="2" t="s">
        <v>594</v>
      </c>
      <c r="D1115" s="2" t="str">
        <f t="shared" si="16"/>
        <v>Error?</v>
      </c>
    </row>
    <row r="1116" spans="1:4" x14ac:dyDescent="0.2">
      <c r="A1116" s="5">
        <v>1055</v>
      </c>
      <c r="B1116" s="138">
        <f>'Expenditures 15-22'!K44</f>
        <v>343786</v>
      </c>
      <c r="C1116" s="2" t="s">
        <v>594</v>
      </c>
      <c r="D1116" s="2" t="str">
        <f t="shared" si="16"/>
        <v>Error?</v>
      </c>
    </row>
    <row r="1117" spans="1:4" x14ac:dyDescent="0.2">
      <c r="A1117" s="5">
        <v>1056</v>
      </c>
      <c r="B1117" s="138">
        <f>'Expenditures 15-22'!K45</f>
        <v>134831</v>
      </c>
      <c r="C1117" s="2" t="s">
        <v>594</v>
      </c>
      <c r="D1117" s="2" t="str">
        <f t="shared" si="16"/>
        <v>Error?</v>
      </c>
    </row>
    <row r="1118" spans="1:4" x14ac:dyDescent="0.2">
      <c r="A1118" s="5">
        <v>1057</v>
      </c>
      <c r="B1118" s="138">
        <f>'Expenditures 15-22'!K46</f>
        <v>248564</v>
      </c>
      <c r="C1118" s="2" t="s">
        <v>594</v>
      </c>
      <c r="D1118" s="2" t="str">
        <f t="shared" si="16"/>
        <v>Error?</v>
      </c>
    </row>
    <row r="1119" spans="1:4" x14ac:dyDescent="0.2">
      <c r="A1119" s="5">
        <v>1058</v>
      </c>
      <c r="B1119" s="138">
        <f>'Expenditures 15-22'!K47</f>
        <v>727181</v>
      </c>
      <c r="C1119" s="2" t="s">
        <v>594</v>
      </c>
      <c r="D1119" s="2" t="str">
        <f t="shared" si="16"/>
        <v>Error?</v>
      </c>
    </row>
    <row r="1120" spans="1:4" x14ac:dyDescent="0.2">
      <c r="A1120" s="5">
        <v>1059</v>
      </c>
      <c r="B1120" s="138">
        <f>'Expenditures 15-22'!K49</f>
        <v>170878</v>
      </c>
      <c r="C1120" s="2" t="s">
        <v>594</v>
      </c>
      <c r="D1120" s="2" t="str">
        <f t="shared" si="16"/>
        <v>Error?</v>
      </c>
    </row>
    <row r="1121" spans="1:4" x14ac:dyDescent="0.2">
      <c r="A1121" s="5">
        <v>1060</v>
      </c>
      <c r="B1121" s="138">
        <f>'Expenditures 15-22'!K50</f>
        <v>345104</v>
      </c>
      <c r="C1121" s="2" t="s">
        <v>594</v>
      </c>
      <c r="D1121" s="2" t="str">
        <f t="shared" si="16"/>
        <v>Error?</v>
      </c>
    </row>
    <row r="1122" spans="1:4" x14ac:dyDescent="0.2">
      <c r="A1122" s="5">
        <v>1061</v>
      </c>
      <c r="B1122" s="138">
        <f>'Expenditures 15-22'!K53</f>
        <v>698430</v>
      </c>
      <c r="C1122" s="2" t="s">
        <v>594</v>
      </c>
      <c r="D1122" s="2" t="str">
        <f t="shared" si="16"/>
        <v>Error?</v>
      </c>
    </row>
    <row r="1123" spans="1:4" x14ac:dyDescent="0.2">
      <c r="A1123" s="5">
        <v>1062</v>
      </c>
      <c r="B1123" s="138">
        <f>'Expenditures 15-22'!K55</f>
        <v>225289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225289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329990</v>
      </c>
      <c r="C1127" s="2" t="s">
        <v>594</v>
      </c>
      <c r="D1127" s="2" t="str">
        <f t="shared" si="16"/>
        <v>Error?</v>
      </c>
    </row>
    <row r="1128" spans="1:4" x14ac:dyDescent="0.2">
      <c r="A1128" s="5">
        <v>1067</v>
      </c>
      <c r="B1128" s="138">
        <f>'Expenditures 15-22'!K61</f>
        <v>130524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575600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1036114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1200</v>
      </c>
      <c r="C1137" s="2" t="s">
        <v>594</v>
      </c>
      <c r="D1137" s="2" t="str">
        <f t="shared" si="16"/>
        <v>Error?</v>
      </c>
    </row>
    <row r="1138" spans="1:4" x14ac:dyDescent="0.2">
      <c r="A1138" s="10">
        <v>1077</v>
      </c>
      <c r="D1138" s="2" t="str">
        <f t="shared" si="16"/>
        <v>OK</v>
      </c>
    </row>
    <row r="1139" spans="1:4" x14ac:dyDescent="0.2">
      <c r="A1139" s="5">
        <v>1078</v>
      </c>
      <c r="B1139" s="138">
        <f>'Expenditures 15-22'!K71</f>
        <v>805400</v>
      </c>
      <c r="C1139" s="2" t="s">
        <v>594</v>
      </c>
      <c r="D1139" s="2" t="str">
        <f t="shared" si="16"/>
        <v>Error?</v>
      </c>
    </row>
    <row r="1140" spans="1:4" x14ac:dyDescent="0.2">
      <c r="A1140" s="10">
        <v>1079</v>
      </c>
      <c r="D1140" s="2" t="str">
        <f t="shared" si="16"/>
        <v>OK</v>
      </c>
    </row>
    <row r="1141" spans="1:4" x14ac:dyDescent="0.2">
      <c r="A1141" s="5">
        <v>1080</v>
      </c>
      <c r="B1141" s="138">
        <f>'Expenditures 15-22'!K72</f>
        <v>806600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5209074</v>
      </c>
      <c r="C1143" s="2" t="s">
        <v>594</v>
      </c>
      <c r="D1143" s="2" t="str">
        <f t="shared" si="16"/>
        <v>Error?</v>
      </c>
    </row>
    <row r="1144" spans="1:4" x14ac:dyDescent="0.2">
      <c r="A1144" s="5">
        <v>1083</v>
      </c>
      <c r="B1144" s="138">
        <f>'Expenditures 15-22'!K75</f>
        <v>146289</v>
      </c>
      <c r="C1144" s="2" t="s">
        <v>594</v>
      </c>
      <c r="D1144" s="2" t="str">
        <f t="shared" si="16"/>
        <v>Error?</v>
      </c>
    </row>
    <row r="1145" spans="1:4" x14ac:dyDescent="0.2">
      <c r="A1145" s="5">
        <v>1084</v>
      </c>
      <c r="B1145" s="138">
        <f>'Expenditures 15-22'!K102</f>
        <v>431977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17886861</v>
      </c>
      <c r="C1152" s="2" t="s">
        <v>594</v>
      </c>
      <c r="D1152" s="2" t="str">
        <f t="shared" si="17"/>
        <v>Error?</v>
      </c>
    </row>
    <row r="1153" spans="1:4" x14ac:dyDescent="0.2">
      <c r="A1153" s="5">
        <v>1092</v>
      </c>
      <c r="B1153" s="138">
        <f>'Expenditures 15-22'!K115</f>
        <v>1256681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516995</v>
      </c>
      <c r="D1221" s="2" t="str">
        <f t="shared" si="18"/>
        <v>Error?</v>
      </c>
    </row>
    <row r="1222" spans="1:4" x14ac:dyDescent="0.2">
      <c r="A1222" s="10">
        <v>1161</v>
      </c>
      <c r="D1222" s="2" t="str">
        <f t="shared" si="18"/>
        <v>OK</v>
      </c>
    </row>
    <row r="1223" spans="1:4" x14ac:dyDescent="0.2">
      <c r="A1223" s="5">
        <v>1162</v>
      </c>
      <c r="B1223" s="138">
        <f>'Expenditures 15-22'!C127</f>
        <v>516995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516995</v>
      </c>
      <c r="C1225" s="2" t="s">
        <v>594</v>
      </c>
      <c r="D1225" s="2" t="str">
        <f t="shared" si="18"/>
        <v>Error?</v>
      </c>
    </row>
    <row r="1226" spans="1:4" x14ac:dyDescent="0.2">
      <c r="A1226" s="5">
        <v>1165</v>
      </c>
      <c r="B1226" s="138">
        <f>'Expenditures 15-22'!C151</f>
        <v>518760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95449</v>
      </c>
      <c r="D1229" s="2" t="str">
        <f t="shared" si="18"/>
        <v>Error?</v>
      </c>
    </row>
    <row r="1230" spans="1:4" x14ac:dyDescent="0.2">
      <c r="A1230" s="10">
        <v>1169</v>
      </c>
      <c r="D1230" s="2" t="str">
        <f t="shared" si="18"/>
        <v>OK</v>
      </c>
    </row>
    <row r="1231" spans="1:4" x14ac:dyDescent="0.2">
      <c r="A1231" s="5">
        <v>1170</v>
      </c>
      <c r="B1231" s="138">
        <f>'Expenditures 15-22'!D127</f>
        <v>95449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95449</v>
      </c>
      <c r="C1233" s="2" t="s">
        <v>594</v>
      </c>
      <c r="D1233" s="2" t="str">
        <f t="shared" si="18"/>
        <v>Error?</v>
      </c>
    </row>
    <row r="1234" spans="1:4" x14ac:dyDescent="0.2">
      <c r="A1234" s="5">
        <v>1173</v>
      </c>
      <c r="B1234" s="138">
        <f>'Expenditures 15-22'!D151</f>
        <v>95465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88317</v>
      </c>
      <c r="D1236" s="2" t="str">
        <f t="shared" si="18"/>
        <v>Error?</v>
      </c>
    </row>
    <row r="1237" spans="1:4" x14ac:dyDescent="0.2">
      <c r="A1237" s="5">
        <v>1176</v>
      </c>
      <c r="B1237" s="138">
        <f>'Expenditures 15-22'!E124</f>
        <v>616747</v>
      </c>
      <c r="D1237" s="2" t="str">
        <f t="shared" si="18"/>
        <v>Error?</v>
      </c>
    </row>
    <row r="1238" spans="1:4" x14ac:dyDescent="0.2">
      <c r="A1238" s="10">
        <v>1177</v>
      </c>
      <c r="D1238" s="2" t="str">
        <f t="shared" si="18"/>
        <v>OK</v>
      </c>
    </row>
    <row r="1239" spans="1:4" x14ac:dyDescent="0.2">
      <c r="A1239" s="5">
        <v>1178</v>
      </c>
      <c r="B1239" s="138">
        <f>'Expenditures 15-22'!E127</f>
        <v>705064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705064</v>
      </c>
      <c r="C1241" s="2" t="s">
        <v>594</v>
      </c>
      <c r="D1241" s="2" t="str">
        <f t="shared" si="18"/>
        <v>Error?</v>
      </c>
    </row>
    <row r="1242" spans="1:4" x14ac:dyDescent="0.2">
      <c r="A1242" s="5">
        <v>1181</v>
      </c>
      <c r="B1242" s="138">
        <f>'Expenditures 15-22'!E151</f>
        <v>705064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415112</v>
      </c>
      <c r="D1245" s="2" t="str">
        <f t="shared" si="18"/>
        <v>Error?</v>
      </c>
    </row>
    <row r="1246" spans="1:4" x14ac:dyDescent="0.2">
      <c r="A1246" s="10">
        <v>1185</v>
      </c>
      <c r="D1246" s="2" t="str">
        <f t="shared" si="18"/>
        <v>OK</v>
      </c>
    </row>
    <row r="1247" spans="1:4" x14ac:dyDescent="0.2">
      <c r="A1247" s="5">
        <v>1186</v>
      </c>
      <c r="B1247" s="138">
        <f>'Expenditures 15-22'!F127</f>
        <v>415112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415112</v>
      </c>
      <c r="C1249" s="2" t="s">
        <v>594</v>
      </c>
      <c r="D1249" s="2" t="str">
        <f t="shared" si="18"/>
        <v>Error?</v>
      </c>
    </row>
    <row r="1250" spans="1:4" x14ac:dyDescent="0.2">
      <c r="A1250" s="5">
        <v>1189</v>
      </c>
      <c r="B1250" s="138">
        <f>'Expenditures 15-22'!F151</f>
        <v>415112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889756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889756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889756</v>
      </c>
      <c r="C1258" s="2" t="s">
        <v>594</v>
      </c>
      <c r="D1258" s="2" t="str">
        <f t="shared" si="18"/>
        <v>Error?</v>
      </c>
    </row>
    <row r="1259" spans="1:4" x14ac:dyDescent="0.2">
      <c r="A1259" s="5">
        <v>1198</v>
      </c>
      <c r="B1259" s="138">
        <f>'Expenditures 15-22'!G151</f>
        <v>889756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227</v>
      </c>
      <c r="D1262" s="2" t="str">
        <f t="shared" si="18"/>
        <v>Error?</v>
      </c>
    </row>
    <row r="1263" spans="1:4" x14ac:dyDescent="0.2">
      <c r="A1263" s="10">
        <v>1202</v>
      </c>
      <c r="D1263" s="2" t="str">
        <f t="shared" si="18"/>
        <v>OK</v>
      </c>
    </row>
    <row r="1264" spans="1:4" x14ac:dyDescent="0.2">
      <c r="A1264" s="5">
        <v>1203</v>
      </c>
      <c r="B1264" s="138">
        <f>'Expenditures 15-22'!H127</f>
        <v>227</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227</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227</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88317</v>
      </c>
      <c r="C1275" s="2" t="s">
        <v>594</v>
      </c>
      <c r="D1275" s="2" t="str">
        <f t="shared" si="18"/>
        <v>Error?</v>
      </c>
    </row>
    <row r="1276" spans="1:4" x14ac:dyDescent="0.2">
      <c r="A1276" s="5">
        <v>1215</v>
      </c>
      <c r="B1276" s="138">
        <f>'Expenditures 15-22'!K124</f>
        <v>2534286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2622603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2622603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2624384</v>
      </c>
      <c r="C1288" s="2" t="s">
        <v>594</v>
      </c>
      <c r="D1288" s="2" t="str">
        <f t="shared" si="19"/>
        <v>Error?</v>
      </c>
    </row>
    <row r="1289" spans="1:4" x14ac:dyDescent="0.2">
      <c r="A1289" s="5">
        <v>1228</v>
      </c>
      <c r="B1289" s="138">
        <f>'Expenditures 15-22'!K152</f>
        <v>370932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529680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395000</v>
      </c>
      <c r="D1315" s="2" t="str">
        <f t="shared" si="19"/>
        <v>Error?</v>
      </c>
    </row>
    <row r="1316" spans="1:4" x14ac:dyDescent="0.2">
      <c r="A1316" s="5">
        <v>1255</v>
      </c>
      <c r="B1316" s="138">
        <f>'Expenditures 15-22'!H171</f>
        <v>4075</v>
      </c>
      <c r="D1316" s="2" t="str">
        <f t="shared" si="19"/>
        <v>Error?</v>
      </c>
    </row>
    <row r="1317" spans="1:4" x14ac:dyDescent="0.2">
      <c r="A1317" s="5">
        <v>1256</v>
      </c>
      <c r="B1317" s="138">
        <f>'Expenditures 15-22'!H172</f>
        <v>928755</v>
      </c>
      <c r="C1317" s="2" t="s">
        <v>594</v>
      </c>
      <c r="D1317" s="2" t="str">
        <f t="shared" si="19"/>
        <v>Error?</v>
      </c>
    </row>
    <row r="1318" spans="1:4" x14ac:dyDescent="0.2">
      <c r="A1318" s="5">
        <v>1257</v>
      </c>
      <c r="B1318" s="138">
        <f>'Expenditures 15-22'!H174</f>
        <v>928755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529680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395000</v>
      </c>
      <c r="C1329" s="2" t="s">
        <v>594</v>
      </c>
      <c r="D1329" s="2" t="str">
        <f t="shared" si="19"/>
        <v>Error?</v>
      </c>
    </row>
    <row r="1330" spans="1:4" x14ac:dyDescent="0.2">
      <c r="A1330" s="5">
        <v>1269</v>
      </c>
      <c r="B1330" s="138">
        <f>'Expenditures 15-22'!K171</f>
        <v>4075</v>
      </c>
      <c r="C1330" s="2" t="s">
        <v>594</v>
      </c>
      <c r="D1330" s="2" t="str">
        <f t="shared" si="19"/>
        <v>Error?</v>
      </c>
    </row>
    <row r="1331" spans="1:4" x14ac:dyDescent="0.2">
      <c r="A1331" s="5">
        <v>1270</v>
      </c>
      <c r="B1331" s="138">
        <f>'Expenditures 15-22'!K172</f>
        <v>928755</v>
      </c>
      <c r="C1331" s="2" t="s">
        <v>594</v>
      </c>
      <c r="D1331" s="2" t="str">
        <f t="shared" si="19"/>
        <v>Error?</v>
      </c>
    </row>
    <row r="1332" spans="1:4" x14ac:dyDescent="0.2">
      <c r="A1332" s="5">
        <v>1271</v>
      </c>
      <c r="B1332" s="138">
        <f>'Expenditures 15-22'!K174</f>
        <v>928755</v>
      </c>
      <c r="C1332" s="2" t="s">
        <v>594</v>
      </c>
      <c r="D1332" s="2" t="str">
        <f t="shared" si="19"/>
        <v>Error?</v>
      </c>
    </row>
    <row r="1333" spans="1:4" x14ac:dyDescent="0.2">
      <c r="A1333" s="5">
        <v>1272</v>
      </c>
      <c r="B1333" s="138">
        <f>'Expenditures 15-22'!K175</f>
        <v>-114142</v>
      </c>
      <c r="C1333" s="2" t="s">
        <v>594</v>
      </c>
      <c r="D1333" s="2" t="str">
        <f t="shared" si="19"/>
        <v>Error?</v>
      </c>
    </row>
    <row r="1334" spans="1:4" x14ac:dyDescent="0.2">
      <c r="A1334" s="10">
        <v>1273</v>
      </c>
      <c r="D1334" s="2" t="str">
        <f t="shared" si="19"/>
        <v>OK</v>
      </c>
    </row>
    <row r="1335" spans="1:4" x14ac:dyDescent="0.2">
      <c r="A1335" s="5">
        <v>1274</v>
      </c>
      <c r="B1335" s="138">
        <f>'Expenditures 15-22'!C182</f>
        <v>578936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578936</v>
      </c>
      <c r="C1339" s="2" t="s">
        <v>594</v>
      </c>
      <c r="D1339" s="2" t="str">
        <f t="shared" si="19"/>
        <v>Error?</v>
      </c>
    </row>
    <row r="1340" spans="1:4" x14ac:dyDescent="0.2">
      <c r="A1340" s="5">
        <v>1279</v>
      </c>
      <c r="B1340" s="138">
        <f>'Expenditures 15-22'!C210</f>
        <v>578936</v>
      </c>
      <c r="C1340" s="2" t="s">
        <v>594</v>
      </c>
      <c r="D1340" s="2" t="str">
        <f t="shared" si="19"/>
        <v>Error?</v>
      </c>
    </row>
    <row r="1341" spans="1:4" x14ac:dyDescent="0.2">
      <c r="A1341" s="5">
        <v>1280</v>
      </c>
      <c r="B1341" s="138">
        <f>'Expenditures 15-22'!D182</f>
        <v>191861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191861</v>
      </c>
      <c r="C1345" s="2" t="s">
        <v>594</v>
      </c>
      <c r="D1345" s="2" t="str">
        <f t="shared" si="20"/>
        <v>Error?</v>
      </c>
    </row>
    <row r="1346" spans="1:4" x14ac:dyDescent="0.2">
      <c r="A1346" s="5">
        <v>1285</v>
      </c>
      <c r="B1346" s="138">
        <f>'Expenditures 15-22'!D210</f>
        <v>191861</v>
      </c>
      <c r="C1346" s="2" t="s">
        <v>594</v>
      </c>
      <c r="D1346" s="2" t="str">
        <f t="shared" si="20"/>
        <v>Error?</v>
      </c>
    </row>
    <row r="1347" spans="1:4" x14ac:dyDescent="0.2">
      <c r="A1347" s="5">
        <v>1286</v>
      </c>
      <c r="B1347" s="138">
        <f>'Expenditures 15-22'!E182</f>
        <v>386399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386399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386399</v>
      </c>
      <c r="C1353" s="2" t="s">
        <v>594</v>
      </c>
      <c r="D1353" s="2" t="str">
        <f t="shared" si="20"/>
        <v>Error?</v>
      </c>
    </row>
    <row r="1354" spans="1:4" x14ac:dyDescent="0.2">
      <c r="A1354" s="5">
        <v>1293</v>
      </c>
      <c r="B1354" s="138">
        <f>'Expenditures 15-22'!F182</f>
        <v>109010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109010</v>
      </c>
      <c r="C1358" s="2" t="s">
        <v>594</v>
      </c>
      <c r="D1358" s="2" t="str">
        <f t="shared" si="20"/>
        <v>Error?</v>
      </c>
    </row>
    <row r="1359" spans="1:4" x14ac:dyDescent="0.2">
      <c r="A1359" s="5">
        <v>1298</v>
      </c>
      <c r="B1359" s="138">
        <f>'Expenditures 15-22'!F210</f>
        <v>109010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2594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2594</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2594</v>
      </c>
      <c r="C1376" s="2" t="s">
        <v>594</v>
      </c>
      <c r="D1376" s="2" t="str">
        <f t="shared" si="20"/>
        <v>Error?</v>
      </c>
    </row>
    <row r="1377" spans="1:4" x14ac:dyDescent="0.2">
      <c r="A1377" s="5">
        <v>1316</v>
      </c>
      <c r="B1377" s="138">
        <f>'Expenditures 15-22'!K182</f>
        <v>1268800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1268800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1268800</v>
      </c>
      <c r="C1388" s="2" t="s">
        <v>594</v>
      </c>
      <c r="D1388" s="2" t="str">
        <f t="shared" si="20"/>
        <v>Error?</v>
      </c>
    </row>
    <row r="1389" spans="1:4" x14ac:dyDescent="0.2">
      <c r="A1389" s="5">
        <v>1328</v>
      </c>
      <c r="B1389" s="138">
        <f>'Expenditures 15-22'!K211</f>
        <v>380634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8392</v>
      </c>
      <c r="D1408" s="2" t="str">
        <f t="shared" si="21"/>
        <v>Error?</v>
      </c>
    </row>
    <row r="1409" spans="1:4" x14ac:dyDescent="0.2">
      <c r="A1409" s="5">
        <v>1348</v>
      </c>
      <c r="B1409" s="138">
        <f>'Expenditures 15-22'!D224</f>
        <v>141</v>
      </c>
      <c r="D1409" s="2" t="str">
        <f t="shared" si="21"/>
        <v>Error?</v>
      </c>
    </row>
    <row r="1410" spans="1:4" x14ac:dyDescent="0.2">
      <c r="A1410" s="5">
        <v>1349</v>
      </c>
      <c r="B1410" s="138">
        <f>'Expenditures 15-22'!D229</f>
        <v>46662</v>
      </c>
      <c r="C1410" s="2" t="s">
        <v>594</v>
      </c>
      <c r="D1410" s="2" t="str">
        <f t="shared" si="21"/>
        <v>Error?</v>
      </c>
    </row>
    <row r="1411" spans="1:4" x14ac:dyDescent="0.2">
      <c r="A1411" s="5">
        <v>1350</v>
      </c>
      <c r="B1411" s="138">
        <f>'Expenditures 15-22'!D232</f>
        <v>7841</v>
      </c>
      <c r="D1411" s="2" t="str">
        <f t="shared" si="21"/>
        <v>Error?</v>
      </c>
    </row>
    <row r="1412" spans="1:4" x14ac:dyDescent="0.2">
      <c r="A1412" s="5">
        <v>1351</v>
      </c>
      <c r="B1412" s="138">
        <f>'Expenditures 15-22'!D233</f>
        <v>12222</v>
      </c>
      <c r="D1412" s="2" t="str">
        <f t="shared" si="21"/>
        <v>Error?</v>
      </c>
    </row>
    <row r="1413" spans="1:4" x14ac:dyDescent="0.2">
      <c r="A1413" s="5">
        <v>1352</v>
      </c>
      <c r="B1413" s="138">
        <f>'Expenditures 15-22'!D234</f>
        <v>9795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29858</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4392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4392</v>
      </c>
      <c r="C1421" s="2" t="s">
        <v>594</v>
      </c>
      <c r="D1421" s="2" t="str">
        <f t="shared" si="21"/>
        <v>Error?</v>
      </c>
    </row>
    <row r="1422" spans="1:4" x14ac:dyDescent="0.2">
      <c r="A1422" s="5">
        <v>1361</v>
      </c>
      <c r="B1422" s="138">
        <f>'Expenditures 15-22'!D245</f>
        <v>1925</v>
      </c>
      <c r="D1422" s="2" t="str">
        <f t="shared" si="21"/>
        <v>Error?</v>
      </c>
    </row>
    <row r="1423" spans="1:4" x14ac:dyDescent="0.2">
      <c r="A1423" s="5">
        <v>1362</v>
      </c>
      <c r="B1423" s="138">
        <f>'Expenditures 15-22'!D246</f>
        <v>5584</v>
      </c>
      <c r="D1423" s="2" t="str">
        <f t="shared" si="21"/>
        <v>Error?</v>
      </c>
    </row>
    <row r="1424" spans="1:4" x14ac:dyDescent="0.2">
      <c r="A1424" s="5">
        <v>1363</v>
      </c>
      <c r="B1424" s="138">
        <f>'Expenditures 15-22'!D257</f>
        <v>7509</v>
      </c>
      <c r="C1424" s="2" t="s">
        <v>594</v>
      </c>
      <c r="D1424" s="2" t="str">
        <f t="shared" si="21"/>
        <v>Error?</v>
      </c>
    </row>
    <row r="1425" spans="1:4" x14ac:dyDescent="0.2">
      <c r="A1425" s="5">
        <v>1364</v>
      </c>
      <c r="B1425" s="138">
        <f>'Expenditures 15-22'!D259</f>
        <v>3897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3897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16255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80502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25987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122744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26111</v>
      </c>
      <c r="D1442" s="2" t="str">
        <f t="shared" si="21"/>
        <v>Error?</v>
      </c>
    </row>
    <row r="1443" spans="1:4" x14ac:dyDescent="0.2">
      <c r="A1443" s="10">
        <v>1382</v>
      </c>
      <c r="D1443" s="2" t="str">
        <f t="shared" si="21"/>
        <v>OK</v>
      </c>
    </row>
    <row r="1444" spans="1:4" x14ac:dyDescent="0.2">
      <c r="A1444" s="5">
        <v>1383</v>
      </c>
      <c r="B1444" s="138">
        <f>'Expenditures 15-22'!D277</f>
        <v>26111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194511</v>
      </c>
      <c r="C1446" s="2" t="s">
        <v>594</v>
      </c>
      <c r="D1446" s="2" t="str">
        <f t="shared" si="21"/>
        <v>Error?</v>
      </c>
    </row>
    <row r="1447" spans="1:4" x14ac:dyDescent="0.2">
      <c r="A1447" s="5">
        <v>1386</v>
      </c>
      <c r="B1447" s="138">
        <f>'Expenditures 15-22'!D280</f>
        <v>736</v>
      </c>
      <c r="D1447" s="2" t="str">
        <f t="shared" si="21"/>
        <v>Error?</v>
      </c>
    </row>
    <row r="1448" spans="1:4" x14ac:dyDescent="0.2">
      <c r="A1448" s="5">
        <v>1387</v>
      </c>
      <c r="B1448" s="138">
        <f>'Expenditures 15-22'!D295</f>
        <v>241909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8392</v>
      </c>
      <c r="C1472" s="2" t="s">
        <v>594</v>
      </c>
      <c r="D1472" s="2" t="str">
        <f t="shared" si="22"/>
        <v>Error?</v>
      </c>
    </row>
    <row r="1473" spans="1:4" x14ac:dyDescent="0.2">
      <c r="A1473" s="5">
        <v>1412</v>
      </c>
      <c r="B1473" s="138">
        <f>'Expenditures 15-22'!K224</f>
        <v>141</v>
      </c>
      <c r="C1473" s="2" t="s">
        <v>594</v>
      </c>
      <c r="D1473" s="2" t="str">
        <f t="shared" si="22"/>
        <v>Error?</v>
      </c>
    </row>
    <row r="1474" spans="1:4" x14ac:dyDescent="0.2">
      <c r="A1474" s="5">
        <v>1413</v>
      </c>
      <c r="B1474" s="138">
        <f>'Expenditures 15-22'!K229</f>
        <v>46662</v>
      </c>
      <c r="C1474" s="2" t="s">
        <v>594</v>
      </c>
      <c r="D1474" s="2" t="str">
        <f t="shared" si="22"/>
        <v>Error?</v>
      </c>
    </row>
    <row r="1475" spans="1:4" x14ac:dyDescent="0.2">
      <c r="A1475" s="5">
        <v>1414</v>
      </c>
      <c r="B1475" s="138">
        <f>'Expenditures 15-22'!K232</f>
        <v>7841</v>
      </c>
      <c r="C1475" s="2" t="s">
        <v>594</v>
      </c>
      <c r="D1475" s="2" t="str">
        <f t="shared" si="22"/>
        <v>Error?</v>
      </c>
    </row>
    <row r="1476" spans="1:4" x14ac:dyDescent="0.2">
      <c r="A1476" s="5">
        <v>1415</v>
      </c>
      <c r="B1476" s="138">
        <f>'Expenditures 15-22'!K233</f>
        <v>12222</v>
      </c>
      <c r="C1476" s="2" t="s">
        <v>594</v>
      </c>
      <c r="D1476" s="2" t="str">
        <f t="shared" si="22"/>
        <v>Error?</v>
      </c>
    </row>
    <row r="1477" spans="1:4" x14ac:dyDescent="0.2">
      <c r="A1477" s="5">
        <v>1416</v>
      </c>
      <c r="B1477" s="138">
        <f>'Expenditures 15-22'!K234</f>
        <v>9795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29858</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4392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4392</v>
      </c>
      <c r="C1485" s="2" t="s">
        <v>594</v>
      </c>
      <c r="D1485" s="2" t="str">
        <f t="shared" si="22"/>
        <v>Error?</v>
      </c>
    </row>
    <row r="1486" spans="1:4" x14ac:dyDescent="0.2">
      <c r="A1486" s="5">
        <v>1425</v>
      </c>
      <c r="B1486" s="138">
        <f>'Expenditures 15-22'!K245</f>
        <v>1925</v>
      </c>
      <c r="C1486" s="2" t="s">
        <v>594</v>
      </c>
      <c r="D1486" s="2" t="str">
        <f t="shared" si="22"/>
        <v>Error?</v>
      </c>
    </row>
    <row r="1487" spans="1:4" x14ac:dyDescent="0.2">
      <c r="A1487" s="5">
        <v>1426</v>
      </c>
      <c r="B1487" s="138">
        <f>'Expenditures 15-22'!K246</f>
        <v>5584</v>
      </c>
      <c r="C1487" s="2" t="s">
        <v>594</v>
      </c>
      <c r="D1487" s="2" t="str">
        <f t="shared" si="22"/>
        <v>Error?</v>
      </c>
    </row>
    <row r="1488" spans="1:4" x14ac:dyDescent="0.2">
      <c r="A1488" s="5">
        <v>1427</v>
      </c>
      <c r="B1488" s="138">
        <f>'Expenditures 15-22'!K257</f>
        <v>7509</v>
      </c>
      <c r="C1488" s="2" t="s">
        <v>594</v>
      </c>
      <c r="D1488" s="2" t="str">
        <f t="shared" si="22"/>
        <v>Error?</v>
      </c>
    </row>
    <row r="1489" spans="1:4" x14ac:dyDescent="0.2">
      <c r="A1489" s="5">
        <v>1428</v>
      </c>
      <c r="B1489" s="138">
        <f>'Expenditures 15-22'!K259</f>
        <v>3897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3897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16255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80502</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25987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122744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26111</v>
      </c>
      <c r="C1506" s="2" t="s">
        <v>594</v>
      </c>
      <c r="D1506" s="2" t="str">
        <f t="shared" si="22"/>
        <v>Error?</v>
      </c>
    </row>
    <row r="1507" spans="1:4" x14ac:dyDescent="0.2">
      <c r="A1507" s="10">
        <v>1446</v>
      </c>
      <c r="D1507" s="2" t="str">
        <f t="shared" si="22"/>
        <v>OK</v>
      </c>
    </row>
    <row r="1508" spans="1:4" x14ac:dyDescent="0.2">
      <c r="A1508" s="5">
        <v>1447</v>
      </c>
      <c r="B1508" s="138">
        <f>'Expenditures 15-22'!K277</f>
        <v>26111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194511</v>
      </c>
      <c r="C1510" s="2" t="s">
        <v>594</v>
      </c>
      <c r="D1510" s="2" t="str">
        <f t="shared" si="22"/>
        <v>Error?</v>
      </c>
    </row>
    <row r="1511" spans="1:4" x14ac:dyDescent="0.2">
      <c r="A1511" s="5">
        <v>1450</v>
      </c>
      <c r="B1511" s="138">
        <f>'Expenditures 15-22'!K280</f>
        <v>736</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241909</v>
      </c>
      <c r="C1517" s="2" t="s">
        <v>594</v>
      </c>
      <c r="D1517" s="2" t="str">
        <f t="shared" si="22"/>
        <v>Error?</v>
      </c>
    </row>
    <row r="1518" spans="1:4" x14ac:dyDescent="0.2">
      <c r="A1518" s="5">
        <v>1457</v>
      </c>
      <c r="B1518" s="138">
        <f>'Expenditures 15-22'!K296</f>
        <v>78694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6159</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6159</v>
      </c>
      <c r="C1553" s="2" t="s">
        <v>594</v>
      </c>
      <c r="D1553" s="2" t="str">
        <f t="shared" si="23"/>
        <v>Error?</v>
      </c>
    </row>
    <row r="1554" spans="1:4" x14ac:dyDescent="0.2">
      <c r="A1554" s="5">
        <v>1493</v>
      </c>
      <c r="B1554" s="138">
        <f>'Expenditures 15-22'!H312</f>
        <v>6159</v>
      </c>
      <c r="C1554" s="2" t="s">
        <v>594</v>
      </c>
      <c r="D1554" s="2" t="str">
        <f t="shared" si="23"/>
        <v>Error?</v>
      </c>
    </row>
    <row r="1555" spans="1:4" x14ac:dyDescent="0.2">
      <c r="A1555" s="5">
        <v>1494</v>
      </c>
      <c r="B1555" s="138">
        <f>'Expenditures 15-22'!K301</f>
        <v>6159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6159</v>
      </c>
      <c r="C1559" s="2" t="s">
        <v>594</v>
      </c>
      <c r="D1559" s="2" t="str">
        <f t="shared" si="23"/>
        <v>Error?</v>
      </c>
    </row>
    <row r="1560" spans="1:4" x14ac:dyDescent="0.2">
      <c r="A1560" s="5">
        <v>1499</v>
      </c>
      <c r="B1560" s="138">
        <f>'Expenditures 15-22'!K312</f>
        <v>6159</v>
      </c>
      <c r="C1560" s="2" t="s">
        <v>594</v>
      </c>
      <c r="D1560" s="2" t="str">
        <f t="shared" si="23"/>
        <v>Error?</v>
      </c>
    </row>
    <row r="1561" spans="1:4" x14ac:dyDescent="0.2">
      <c r="A1561" s="5">
        <v>1500</v>
      </c>
      <c r="B1561" s="138">
        <f>'Expenditures 15-22'!K313</f>
        <v>-5578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5623425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6880106</v>
      </c>
      <c r="C1630" s="2" t="s">
        <v>594</v>
      </c>
      <c r="D1630" s="2" t="str">
        <f t="shared" si="24"/>
        <v>Error?</v>
      </c>
    </row>
    <row r="1631" spans="1:4" x14ac:dyDescent="0.2">
      <c r="A1631" s="5">
        <v>1570</v>
      </c>
      <c r="B1631" s="138">
        <f>'Acct Summary 7-8'!D79</f>
        <v>3347385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3718317</v>
      </c>
      <c r="C1644" s="2" t="s">
        <v>594</v>
      </c>
      <c r="D1644" s="2" t="str">
        <f t="shared" si="24"/>
        <v>Error?</v>
      </c>
    </row>
    <row r="1645" spans="1:4" x14ac:dyDescent="0.2">
      <c r="A1645" s="5">
        <v>1584</v>
      </c>
      <c r="B1645" s="138">
        <f>'Acct Summary 7-8'!E79</f>
        <v>186986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72844</v>
      </c>
      <c r="C1658" s="2" t="s">
        <v>594</v>
      </c>
      <c r="D1658" s="2" t="str">
        <f t="shared" si="24"/>
        <v>Error?</v>
      </c>
    </row>
    <row r="1659" spans="1:4" x14ac:dyDescent="0.2">
      <c r="A1659" s="5">
        <v>1598</v>
      </c>
      <c r="B1659" s="138">
        <f>'Acct Summary 7-8'!F79</f>
        <v>938561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1319195</v>
      </c>
      <c r="C1672" s="2" t="s">
        <v>594</v>
      </c>
      <c r="D1672" s="2" t="str">
        <f t="shared" si="25"/>
        <v>Error?</v>
      </c>
    </row>
    <row r="1673" spans="1:4" x14ac:dyDescent="0.2">
      <c r="A1673" s="5">
        <v>1612</v>
      </c>
      <c r="B1673" s="138">
        <f>'Acct Summary 7-8'!G79</f>
        <v>155266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233960</v>
      </c>
      <c r="C1686" s="2" t="s">
        <v>594</v>
      </c>
      <c r="D1686" s="2" t="str">
        <f t="shared" si="25"/>
        <v>Error?</v>
      </c>
    </row>
    <row r="1687" spans="1:4" x14ac:dyDescent="0.2">
      <c r="A1687" s="5">
        <v>1626</v>
      </c>
      <c r="B1687" s="138">
        <f>'Acct Summary 7-8'!H79</f>
        <v>47290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41712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10094325</v>
      </c>
      <c r="C1744" s="2" t="s">
        <v>594</v>
      </c>
      <c r="D1744" s="2" t="str">
        <f t="shared" si="26"/>
        <v>Error?</v>
      </c>
    </row>
    <row r="1745" spans="1:5" x14ac:dyDescent="0.2">
      <c r="A1745" s="5">
        <v>1684</v>
      </c>
      <c r="B1745" s="138">
        <f>'Tax Sched 23'!B5</f>
        <v>2898917</v>
      </c>
      <c r="C1745" s="2" t="s">
        <v>594</v>
      </c>
      <c r="D1745" s="2" t="str">
        <f t="shared" si="26"/>
        <v>Error?</v>
      </c>
    </row>
    <row r="1746" spans="1:5" x14ac:dyDescent="0.2">
      <c r="A1746" s="5">
        <v>1685</v>
      </c>
      <c r="B1746" s="138">
        <f>'Tax Sched 23'!B6</f>
        <v>521663</v>
      </c>
      <c r="C1746" s="2" t="s">
        <v>594</v>
      </c>
      <c r="D1746" s="2" t="str">
        <f t="shared" si="26"/>
        <v>Error?</v>
      </c>
    </row>
    <row r="1747" spans="1:5" x14ac:dyDescent="0.2">
      <c r="A1747" s="5">
        <v>1686</v>
      </c>
      <c r="B1747" s="138">
        <f>'Tax Sched 23'!B7</f>
        <v>821940</v>
      </c>
      <c r="C1747" s="2" t="s">
        <v>594</v>
      </c>
      <c r="D1747" s="2" t="str">
        <f t="shared" si="26"/>
        <v>Error?</v>
      </c>
    </row>
    <row r="1748" spans="1:5" x14ac:dyDescent="0.2">
      <c r="A1748" s="5">
        <v>1687</v>
      </c>
      <c r="B1748" s="138">
        <f>'Tax Sched 23'!B8</f>
        <v>217942</v>
      </c>
      <c r="C1748" s="2" t="s">
        <v>594</v>
      </c>
      <c r="D1748" s="2" t="str">
        <f t="shared" si="26"/>
        <v>Error?</v>
      </c>
    </row>
    <row r="1749" spans="1:5" x14ac:dyDescent="0.2">
      <c r="A1749" s="5">
        <v>1688</v>
      </c>
      <c r="B1749" s="138">
        <f>'Tax Sched 23'!B10</f>
        <v>8988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8988</v>
      </c>
      <c r="C1752" s="2" t="s">
        <v>594</v>
      </c>
      <c r="D1752" s="2" t="str">
        <f t="shared" si="26"/>
        <v>Error?</v>
      </c>
    </row>
    <row r="1753" spans="1:5" x14ac:dyDescent="0.2">
      <c r="A1753" s="5">
        <v>1692</v>
      </c>
      <c r="B1753" s="138">
        <f>'Tax Sched 23'!B12</f>
        <v>8988</v>
      </c>
      <c r="C1753" s="2" t="s">
        <v>594</v>
      </c>
      <c r="D1753" s="2" t="str">
        <f t="shared" si="26"/>
        <v>Error?</v>
      </c>
    </row>
    <row r="1754" spans="1:5" x14ac:dyDescent="0.2">
      <c r="A1754" s="5">
        <v>1693</v>
      </c>
      <c r="B1754" s="138">
        <f>'Tax Sched 23'!B14</f>
        <v>8987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14590738</v>
      </c>
      <c r="C1759" s="2" t="s">
        <v>594</v>
      </c>
      <c r="D1759" s="2" t="str">
        <f t="shared" si="26"/>
        <v>Error?</v>
      </c>
    </row>
    <row r="1760" spans="1:5" x14ac:dyDescent="0.2">
      <c r="A1760" s="5">
        <v>1699</v>
      </c>
      <c r="B1760" s="138">
        <f>'Tax Sched 23'!D4</f>
        <v>10094325</v>
      </c>
      <c r="C1760" s="2" t="s">
        <v>594</v>
      </c>
      <c r="D1760" s="2" t="str">
        <f t="shared" si="26"/>
        <v>Error?</v>
      </c>
    </row>
    <row r="1761" spans="1:5" x14ac:dyDescent="0.2">
      <c r="A1761" s="5">
        <v>1700</v>
      </c>
      <c r="B1761" s="138">
        <f>'Tax Sched 23'!D5</f>
        <v>2898917</v>
      </c>
      <c r="C1761" s="2" t="s">
        <v>594</v>
      </c>
      <c r="D1761" s="2" t="str">
        <f t="shared" si="26"/>
        <v>Error?</v>
      </c>
    </row>
    <row r="1762" spans="1:5" s="8" customFormat="1" x14ac:dyDescent="0.2">
      <c r="A1762" s="5">
        <v>1701</v>
      </c>
      <c r="B1762" s="138">
        <f>'Tax Sched 23'!D6</f>
        <v>521663</v>
      </c>
      <c r="C1762" s="2" t="s">
        <v>594</v>
      </c>
      <c r="D1762" s="2" t="str">
        <f t="shared" si="26"/>
        <v>Error?</v>
      </c>
      <c r="E1762" s="9"/>
    </row>
    <row r="1763" spans="1:5" x14ac:dyDescent="0.2">
      <c r="A1763" s="5">
        <v>1702</v>
      </c>
      <c r="B1763" s="138">
        <f>'Tax Sched 23'!D7</f>
        <v>821940</v>
      </c>
      <c r="C1763" s="2" t="s">
        <v>594</v>
      </c>
      <c r="D1763" s="2" t="str">
        <f t="shared" si="26"/>
        <v>Error?</v>
      </c>
    </row>
    <row r="1764" spans="1:5" x14ac:dyDescent="0.2">
      <c r="A1764" s="5">
        <v>1703</v>
      </c>
      <c r="B1764" s="138">
        <f>'Tax Sched 23'!D8</f>
        <v>217942</v>
      </c>
      <c r="C1764" s="2" t="s">
        <v>594</v>
      </c>
      <c r="D1764" s="2" t="str">
        <f t="shared" si="26"/>
        <v>Error?</v>
      </c>
    </row>
    <row r="1765" spans="1:5" x14ac:dyDescent="0.2">
      <c r="A1765" s="5">
        <v>1704</v>
      </c>
      <c r="B1765" s="138">
        <f>'Tax Sched 23'!D10</f>
        <v>8988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8988</v>
      </c>
      <c r="C1768" s="2" t="s">
        <v>594</v>
      </c>
      <c r="D1768" s="2" t="str">
        <f t="shared" si="26"/>
        <v>Error?</v>
      </c>
    </row>
    <row r="1769" spans="1:5" x14ac:dyDescent="0.2">
      <c r="A1769" s="5">
        <v>1708</v>
      </c>
      <c r="B1769" s="138">
        <f>'Tax Sched 23'!D12</f>
        <v>8988</v>
      </c>
      <c r="C1769" s="2" t="s">
        <v>594</v>
      </c>
      <c r="D1769" s="2" t="str">
        <f t="shared" si="26"/>
        <v>Error?</v>
      </c>
    </row>
    <row r="1770" spans="1:5" x14ac:dyDescent="0.2">
      <c r="A1770" s="5">
        <v>1709</v>
      </c>
      <c r="B1770" s="138">
        <f>'Tax Sched 23'!D14</f>
        <v>8987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14590738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10463900</v>
      </c>
      <c r="C1792" s="2" t="s">
        <v>594</v>
      </c>
      <c r="D1792" s="2" t="str">
        <f t="shared" si="27"/>
        <v>Error?</v>
      </c>
    </row>
    <row r="1793" spans="1:4" x14ac:dyDescent="0.2">
      <c r="A1793" s="5">
        <v>1732</v>
      </c>
      <c r="B1793" s="138">
        <f>'Tax Sched 23'!F5</f>
        <v>3005230</v>
      </c>
      <c r="C1793" s="2" t="s">
        <v>594</v>
      </c>
      <c r="D1793" s="2" t="str">
        <f t="shared" si="27"/>
        <v>Error?</v>
      </c>
    </row>
    <row r="1794" spans="1:4" x14ac:dyDescent="0.2">
      <c r="A1794" s="5">
        <v>1733</v>
      </c>
      <c r="B1794" s="138">
        <f>'Tax Sched 23'!F6</f>
        <v>533325</v>
      </c>
      <c r="C1794" s="2" t="s">
        <v>594</v>
      </c>
      <c r="D1794" s="2" t="str">
        <f t="shared" si="27"/>
        <v>Error?</v>
      </c>
    </row>
    <row r="1795" spans="1:4" x14ac:dyDescent="0.2">
      <c r="A1795" s="5">
        <v>1734</v>
      </c>
      <c r="B1795" s="138">
        <f>'Tax Sched 23'!F7</f>
        <v>852603</v>
      </c>
      <c r="C1795" s="2" t="s">
        <v>594</v>
      </c>
      <c r="D1795" s="2" t="str">
        <f t="shared" si="27"/>
        <v>Error?</v>
      </c>
    </row>
    <row r="1796" spans="1:4" x14ac:dyDescent="0.2">
      <c r="A1796" s="5">
        <v>1735</v>
      </c>
      <c r="B1796" s="138">
        <f>'Tax Sched 23'!F8</f>
        <v>226216</v>
      </c>
      <c r="C1796" s="2" t="s">
        <v>594</v>
      </c>
      <c r="D1796" s="2" t="str">
        <f t="shared" si="27"/>
        <v>Error?</v>
      </c>
    </row>
    <row r="1797" spans="1:4" x14ac:dyDescent="0.2">
      <c r="A1797" s="5">
        <v>1736</v>
      </c>
      <c r="B1797" s="138">
        <f>'Tax Sched 23'!F10</f>
        <v>10022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10022</v>
      </c>
      <c r="C1800" s="2" t="s">
        <v>594</v>
      </c>
      <c r="D1800" s="2" t="str">
        <f t="shared" si="27"/>
        <v>Error?</v>
      </c>
    </row>
    <row r="1801" spans="1:4" x14ac:dyDescent="0.2">
      <c r="A1801" s="5">
        <v>1740</v>
      </c>
      <c r="B1801" s="138">
        <f>'Tax Sched 23'!F12</f>
        <v>10022</v>
      </c>
      <c r="C1801" s="2" t="s">
        <v>594</v>
      </c>
      <c r="D1801" s="2" t="str">
        <f t="shared" si="27"/>
        <v>Error?</v>
      </c>
    </row>
    <row r="1802" spans="1:4" x14ac:dyDescent="0.2">
      <c r="A1802" s="5">
        <v>1741</v>
      </c>
      <c r="B1802" s="138">
        <f>'Tax Sched 23'!F14</f>
        <v>10022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15121362</v>
      </c>
      <c r="C1807" s="2" t="s">
        <v>594</v>
      </c>
      <c r="D1807" s="2" t="str">
        <f t="shared" si="27"/>
        <v>Error?</v>
      </c>
    </row>
    <row r="1808" spans="1:4" x14ac:dyDescent="0.2">
      <c r="A1808" s="5">
        <v>1747</v>
      </c>
      <c r="B1808" s="138">
        <f>'Tax Sched 23'!E4</f>
        <v>10463900</v>
      </c>
      <c r="D1808" s="2" t="str">
        <f t="shared" si="27"/>
        <v>Error?</v>
      </c>
    </row>
    <row r="1809" spans="1:4" x14ac:dyDescent="0.2">
      <c r="A1809" s="5">
        <v>1748</v>
      </c>
      <c r="B1809" s="138">
        <f>'Tax Sched 23'!E5</f>
        <v>3005230</v>
      </c>
      <c r="D1809" s="2" t="str">
        <f t="shared" si="27"/>
        <v>Error?</v>
      </c>
    </row>
    <row r="1810" spans="1:4" x14ac:dyDescent="0.2">
      <c r="A1810" s="5">
        <v>1749</v>
      </c>
      <c r="B1810" s="138">
        <f>'Tax Sched 23'!E6</f>
        <v>533325</v>
      </c>
      <c r="D1810" s="2" t="str">
        <f t="shared" si="27"/>
        <v>Error?</v>
      </c>
    </row>
    <row r="1811" spans="1:4" x14ac:dyDescent="0.2">
      <c r="A1811" s="5">
        <v>1750</v>
      </c>
      <c r="B1811" s="138">
        <f>'Tax Sched 23'!E7</f>
        <v>852603</v>
      </c>
      <c r="D1811" s="2" t="str">
        <f t="shared" si="27"/>
        <v>Error?</v>
      </c>
    </row>
    <row r="1812" spans="1:4" x14ac:dyDescent="0.2">
      <c r="A1812" s="5">
        <v>1751</v>
      </c>
      <c r="B1812" s="138">
        <f>'Tax Sched 23'!E8</f>
        <v>226216</v>
      </c>
      <c r="D1812" s="2" t="str">
        <f t="shared" si="27"/>
        <v>Error?</v>
      </c>
    </row>
    <row r="1813" spans="1:4" x14ac:dyDescent="0.2">
      <c r="A1813" s="5">
        <v>1752</v>
      </c>
      <c r="B1813" s="138">
        <f>'Tax Sched 23'!E10</f>
        <v>10022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10022</v>
      </c>
      <c r="D1816" s="2" t="str">
        <f t="shared" si="27"/>
        <v>Error?</v>
      </c>
    </row>
    <row r="1817" spans="1:4" x14ac:dyDescent="0.2">
      <c r="A1817" s="5">
        <v>1756</v>
      </c>
      <c r="B1817" s="138">
        <f>'Tax Sched 23'!E12</f>
        <v>10022</v>
      </c>
      <c r="D1817" s="2" t="str">
        <f t="shared" si="27"/>
        <v>Error?</v>
      </c>
    </row>
    <row r="1818" spans="1:4" x14ac:dyDescent="0.2">
      <c r="A1818" s="5">
        <v>1757</v>
      </c>
      <c r="B1818" s="138">
        <f>'Tax Sched 23'!E14</f>
        <v>10022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15121362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11785000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5381544</v>
      </c>
      <c r="D2008" s="2" t="str">
        <f t="shared" si="30"/>
        <v>Error?</v>
      </c>
    </row>
    <row r="2009" spans="1:4" x14ac:dyDescent="0.2">
      <c r="A2009" s="5">
        <v>1948</v>
      </c>
      <c r="B2009" s="138">
        <f>'Cap Outlay Deprec 26'!C8</f>
        <v>28134502</v>
      </c>
      <c r="D2009" s="2" t="str">
        <f t="shared" si="30"/>
        <v>Error?</v>
      </c>
    </row>
    <row r="2010" spans="1:4" x14ac:dyDescent="0.2">
      <c r="A2010" s="5">
        <v>1949</v>
      </c>
      <c r="B2010" s="138">
        <f>'Cap Outlay Deprec 26'!C10</f>
        <v>2228007</v>
      </c>
      <c r="D2010" s="2" t="str">
        <f t="shared" si="30"/>
        <v>Error?</v>
      </c>
    </row>
    <row r="2011" spans="1:4" x14ac:dyDescent="0.2">
      <c r="A2011" s="5">
        <v>1950</v>
      </c>
      <c r="B2011" s="138">
        <f>'Cap Outlay Deprec 26'!C12</f>
        <v>6469014</v>
      </c>
      <c r="D2011" s="2" t="str">
        <f t="shared" si="30"/>
        <v>Error?</v>
      </c>
    </row>
    <row r="2012" spans="1:4" x14ac:dyDescent="0.2">
      <c r="A2012" s="5">
        <v>1951</v>
      </c>
      <c r="B2012" s="138">
        <f>'Cap Outlay Deprec 26'!C13</f>
        <v>126838</v>
      </c>
      <c r="D2012" s="2" t="str">
        <f t="shared" si="30"/>
        <v>Error?</v>
      </c>
    </row>
    <row r="2013" spans="1:4" x14ac:dyDescent="0.2">
      <c r="A2013" s="5">
        <v>1952</v>
      </c>
      <c r="B2013" s="138">
        <f>'Cap Outlay Deprec 26'!C16</f>
        <v>43788089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796546</v>
      </c>
      <c r="D2015" s="2" t="str">
        <f t="shared" si="30"/>
        <v>Error?</v>
      </c>
    </row>
    <row r="2016" spans="1:4" x14ac:dyDescent="0.2">
      <c r="A2016" s="5">
        <v>1955</v>
      </c>
      <c r="B2016" s="138">
        <f>'Cap Outlay Deprec 26'!D10</f>
        <v>30323</v>
      </c>
      <c r="D2016" s="2" t="str">
        <f t="shared" si="30"/>
        <v>Error?</v>
      </c>
    </row>
    <row r="2017" spans="1:4" x14ac:dyDescent="0.2">
      <c r="A2017" s="5">
        <v>1956</v>
      </c>
      <c r="B2017" s="138">
        <f>'Cap Outlay Deprec 26'!D12</f>
        <v>204420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1374340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136602</v>
      </c>
      <c r="C2025" s="2" t="s">
        <v>594</v>
      </c>
      <c r="D2025" s="2" t="str">
        <f t="shared" si="30"/>
        <v>Error?</v>
      </c>
    </row>
    <row r="2026" spans="1:4" x14ac:dyDescent="0.2">
      <c r="A2026" s="5">
        <v>1965</v>
      </c>
      <c r="B2026" s="138">
        <f>'Cap Outlay Deprec 26'!F5</f>
        <v>5381544</v>
      </c>
      <c r="C2026" s="2" t="s">
        <v>594</v>
      </c>
      <c r="D2026" s="2" t="str">
        <f t="shared" si="30"/>
        <v>Error?</v>
      </c>
    </row>
    <row r="2027" spans="1:4" x14ac:dyDescent="0.2">
      <c r="A2027" s="5">
        <v>1966</v>
      </c>
      <c r="B2027" s="138">
        <f>'Cap Outlay Deprec 26'!F8</f>
        <v>28931048</v>
      </c>
      <c r="C2027" s="2" t="s">
        <v>594</v>
      </c>
      <c r="D2027" s="2" t="str">
        <f t="shared" si="30"/>
        <v>Error?</v>
      </c>
    </row>
    <row r="2028" spans="1:4" x14ac:dyDescent="0.2">
      <c r="A2028" s="5">
        <v>1967</v>
      </c>
      <c r="B2028" s="138">
        <f>'Cap Outlay Deprec 26'!F10</f>
        <v>2258330</v>
      </c>
      <c r="C2028" s="2" t="s">
        <v>594</v>
      </c>
      <c r="D2028" s="2" t="str">
        <f t="shared" si="30"/>
        <v>Error?</v>
      </c>
    </row>
    <row r="2029" spans="1:4" x14ac:dyDescent="0.2">
      <c r="A2029" s="5">
        <v>1968</v>
      </c>
      <c r="B2029" s="138">
        <f>'Cap Outlay Deprec 26'!F12</f>
        <v>6673434</v>
      </c>
      <c r="C2029" s="2" t="s">
        <v>594</v>
      </c>
      <c r="D2029" s="2" t="str">
        <f t="shared" si="30"/>
        <v>Error?</v>
      </c>
    </row>
    <row r="2030" spans="1:4" x14ac:dyDescent="0.2">
      <c r="A2030" s="5">
        <v>1969</v>
      </c>
      <c r="B2030" s="138">
        <f>'Cap Outlay Deprec 26'!F13</f>
        <v>126838</v>
      </c>
      <c r="C2030" s="2" t="s">
        <v>594</v>
      </c>
      <c r="D2030" s="2" t="str">
        <f t="shared" si="30"/>
        <v>Error?</v>
      </c>
    </row>
    <row r="2031" spans="1:4" x14ac:dyDescent="0.2">
      <c r="A2031" s="5">
        <v>1970</v>
      </c>
      <c r="B2031" s="138">
        <f>'Cap Outlay Deprec 26'!F16</f>
        <v>45025827</v>
      </c>
      <c r="C2031" s="2" t="s">
        <v>594</v>
      </c>
      <c r="D2031" s="2" t="str">
        <f t="shared" si="30"/>
        <v>Error?</v>
      </c>
    </row>
    <row r="2032" spans="1:4" x14ac:dyDescent="0.2">
      <c r="A2032" s="10">
        <v>1971</v>
      </c>
      <c r="D2032" s="2" t="str">
        <f t="shared" si="30"/>
        <v>OK</v>
      </c>
    </row>
    <row r="2033" spans="1:4" x14ac:dyDescent="0.2">
      <c r="A2033" s="5">
        <v>1972</v>
      </c>
      <c r="B2033" s="138">
        <f>'Cap Outlay Deprec 26'!H8</f>
        <v>9531504</v>
      </c>
      <c r="D2033" s="2" t="str">
        <f t="shared" si="30"/>
        <v>Error?</v>
      </c>
    </row>
    <row r="2034" spans="1:4" x14ac:dyDescent="0.2">
      <c r="A2034" s="5">
        <v>1973</v>
      </c>
      <c r="B2034" s="138">
        <f>'Cap Outlay Deprec 26'!H10</f>
        <v>1284415</v>
      </c>
      <c r="D2034" s="2" t="str">
        <f t="shared" si="30"/>
        <v>Error?</v>
      </c>
    </row>
    <row r="2035" spans="1:4" x14ac:dyDescent="0.2">
      <c r="A2035" s="5">
        <v>1974</v>
      </c>
      <c r="B2035" s="138">
        <f>'Cap Outlay Deprec 26'!H12</f>
        <v>5500128</v>
      </c>
      <c r="D2035" s="2" t="str">
        <f t="shared" si="30"/>
        <v>Error?</v>
      </c>
    </row>
    <row r="2036" spans="1:4" x14ac:dyDescent="0.2">
      <c r="A2036" s="5">
        <v>1975</v>
      </c>
      <c r="B2036" s="138">
        <f>'Cap Outlay Deprec 26'!H13</f>
        <v>70486</v>
      </c>
      <c r="D2036" s="2" t="str">
        <f t="shared" si="30"/>
        <v>Error?</v>
      </c>
    </row>
    <row r="2037" spans="1:4" x14ac:dyDescent="0.2">
      <c r="A2037" s="5">
        <v>1976</v>
      </c>
      <c r="B2037" s="138">
        <f>'Cap Outlay Deprec 26'!H16</f>
        <v>17199253</v>
      </c>
      <c r="C2037" s="2" t="s">
        <v>594</v>
      </c>
      <c r="D2037" s="2" t="str">
        <f t="shared" si="30"/>
        <v>Error?</v>
      </c>
    </row>
    <row r="2038" spans="1:4" x14ac:dyDescent="0.2">
      <c r="A2038" s="10">
        <v>1977</v>
      </c>
      <c r="D2038" s="2" t="str">
        <f t="shared" si="30"/>
        <v>OK</v>
      </c>
    </row>
    <row r="2039" spans="1:4" x14ac:dyDescent="0.2">
      <c r="A2039" s="5">
        <v>1978</v>
      </c>
      <c r="B2039" s="138">
        <f>'Cap Outlay Deprec 26'!I8</f>
        <v>578622</v>
      </c>
      <c r="D2039" s="2" t="str">
        <f t="shared" si="30"/>
        <v>Error?</v>
      </c>
    </row>
    <row r="2040" spans="1:4" x14ac:dyDescent="0.2">
      <c r="A2040" s="5">
        <v>1979</v>
      </c>
      <c r="B2040" s="138">
        <f>'Cap Outlay Deprec 26'!I10</f>
        <v>141901</v>
      </c>
      <c r="D2040" s="2" t="str">
        <f t="shared" si="30"/>
        <v>Error?</v>
      </c>
    </row>
    <row r="2041" spans="1:4" x14ac:dyDescent="0.2">
      <c r="A2041" s="5">
        <v>1980</v>
      </c>
      <c r="B2041" s="138">
        <f>'Cap Outlay Deprec 26'!I12</f>
        <v>241727</v>
      </c>
      <c r="D2041" s="2" t="str">
        <f t="shared" si="30"/>
        <v>Error?</v>
      </c>
    </row>
    <row r="2042" spans="1:4" x14ac:dyDescent="0.2">
      <c r="A2042" s="5">
        <v>1981</v>
      </c>
      <c r="B2042" s="138">
        <f>'Cap Outlay Deprec 26'!I13</f>
        <v>25367</v>
      </c>
      <c r="D2042" s="2" t="str">
        <f t="shared" si="30"/>
        <v>Error?</v>
      </c>
    </row>
    <row r="2043" spans="1:4" x14ac:dyDescent="0.2">
      <c r="A2043" s="5">
        <v>1982</v>
      </c>
      <c r="B2043" s="138">
        <f>'Cap Outlay Deprec 26'!I16</f>
        <v>1246585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136602</v>
      </c>
      <c r="C2049" s="2" t="s">
        <v>594</v>
      </c>
      <c r="D2049" s="2" t="str">
        <f t="shared" si="31"/>
        <v>Error?</v>
      </c>
    </row>
    <row r="2050" spans="1:4" x14ac:dyDescent="0.2">
      <c r="A2050" s="10">
        <v>1989</v>
      </c>
      <c r="D2050" s="2" t="str">
        <f t="shared" si="31"/>
        <v>OK</v>
      </c>
    </row>
    <row r="2051" spans="1:4" x14ac:dyDescent="0.2">
      <c r="A2051" s="5">
        <v>1990</v>
      </c>
      <c r="B2051" s="138">
        <f>'Cap Outlay Deprec 26'!K8</f>
        <v>10110126</v>
      </c>
      <c r="C2051" s="2" t="s">
        <v>594</v>
      </c>
      <c r="D2051" s="2" t="str">
        <f t="shared" si="31"/>
        <v>Error?</v>
      </c>
    </row>
    <row r="2052" spans="1:4" x14ac:dyDescent="0.2">
      <c r="A2052" s="5">
        <v>1991</v>
      </c>
      <c r="B2052" s="138">
        <f>'Cap Outlay Deprec 26'!K10</f>
        <v>1426316</v>
      </c>
      <c r="C2052" s="2" t="s">
        <v>594</v>
      </c>
      <c r="D2052" s="2" t="str">
        <f t="shared" si="31"/>
        <v>Error?</v>
      </c>
    </row>
    <row r="2053" spans="1:4" x14ac:dyDescent="0.2">
      <c r="A2053" s="5">
        <v>1992</v>
      </c>
      <c r="B2053" s="138">
        <f>'Cap Outlay Deprec 26'!K12</f>
        <v>5741855</v>
      </c>
      <c r="C2053" s="2" t="s">
        <v>594</v>
      </c>
      <c r="D2053" s="2" t="str">
        <f t="shared" si="31"/>
        <v>Error?</v>
      </c>
    </row>
    <row r="2054" spans="1:4" x14ac:dyDescent="0.2">
      <c r="A2054" s="5">
        <v>1993</v>
      </c>
      <c r="B2054" s="138">
        <f>'Cap Outlay Deprec 26'!K13</f>
        <v>95853</v>
      </c>
      <c r="C2054" s="2" t="s">
        <v>594</v>
      </c>
      <c r="D2054" s="2" t="str">
        <f t="shared" si="31"/>
        <v>Error?</v>
      </c>
    </row>
    <row r="2055" spans="1:4" x14ac:dyDescent="0.2">
      <c r="A2055" s="5">
        <v>1994</v>
      </c>
      <c r="B2055" s="138">
        <f>'Cap Outlay Deprec 26'!K16</f>
        <v>18309236</v>
      </c>
      <c r="C2055" s="2" t="s">
        <v>594</v>
      </c>
      <c r="D2055" s="2" t="str">
        <f t="shared" si="31"/>
        <v>Error?</v>
      </c>
    </row>
    <row r="2056" spans="1:4" x14ac:dyDescent="0.2">
      <c r="A2056" s="5">
        <v>1995</v>
      </c>
      <c r="B2056" s="138">
        <f>'Cap Outlay Deprec 26'!L5</f>
        <v>5381544</v>
      </c>
      <c r="C2056" s="2" t="s">
        <v>594</v>
      </c>
      <c r="D2056" s="2" t="str">
        <f t="shared" si="31"/>
        <v>Error?</v>
      </c>
    </row>
    <row r="2057" spans="1:4" x14ac:dyDescent="0.2">
      <c r="A2057" s="5">
        <v>1996</v>
      </c>
      <c r="B2057" s="138">
        <f>'Cap Outlay Deprec 26'!L8</f>
        <v>18820922</v>
      </c>
      <c r="C2057" s="2" t="s">
        <v>594</v>
      </c>
      <c r="D2057" s="2" t="str">
        <f t="shared" si="31"/>
        <v>Error?</v>
      </c>
    </row>
    <row r="2058" spans="1:4" x14ac:dyDescent="0.2">
      <c r="A2058" s="5">
        <v>1997</v>
      </c>
      <c r="B2058" s="138">
        <f>'Cap Outlay Deprec 26'!L10</f>
        <v>832014</v>
      </c>
      <c r="C2058" s="2" t="s">
        <v>594</v>
      </c>
      <c r="D2058" s="2" t="str">
        <f t="shared" si="31"/>
        <v>Error?</v>
      </c>
    </row>
    <row r="2059" spans="1:4" x14ac:dyDescent="0.2">
      <c r="A2059" s="5">
        <v>1998</v>
      </c>
      <c r="B2059" s="138">
        <f>'Cap Outlay Deprec 26'!L12</f>
        <v>931579</v>
      </c>
      <c r="C2059" s="2" t="s">
        <v>594</v>
      </c>
      <c r="D2059" s="2" t="str">
        <f t="shared" si="31"/>
        <v>Error?</v>
      </c>
    </row>
    <row r="2060" spans="1:4" x14ac:dyDescent="0.2">
      <c r="A2060" s="5">
        <v>1999</v>
      </c>
      <c r="B2060" s="138">
        <f>'Cap Outlay Deprec 26'!L13</f>
        <v>30985</v>
      </c>
      <c r="C2060" s="2" t="s">
        <v>594</v>
      </c>
      <c r="D2060" s="2" t="str">
        <f t="shared" si="31"/>
        <v>Error?</v>
      </c>
    </row>
    <row r="2061" spans="1:4" x14ac:dyDescent="0.2">
      <c r="A2061" s="5">
        <v>2000</v>
      </c>
      <c r="B2061" s="138">
        <f>'Cap Outlay Deprec 26'!L16</f>
        <v>26716591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353036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399636</v>
      </c>
      <c r="C2088" s="2" t="s">
        <v>594</v>
      </c>
      <c r="D2088" s="2" t="str">
        <f t="shared" si="31"/>
        <v>Error?</v>
      </c>
    </row>
    <row r="2089" spans="1:4" x14ac:dyDescent="0.2">
      <c r="A2089" s="5">
        <v>2028</v>
      </c>
      <c r="B2089" s="138">
        <f>'Expenditures 15-22'!K92</f>
        <v>32341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23752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11543321</v>
      </c>
      <c r="C2551" s="2" t="s">
        <v>594</v>
      </c>
      <c r="D2551" s="2" t="str">
        <f t="shared" si="38"/>
        <v>Error?</v>
      </c>
    </row>
    <row r="2552" spans="1:4" x14ac:dyDescent="0.2">
      <c r="A2552" s="10">
        <v>2491</v>
      </c>
      <c r="D2552" s="2" t="str">
        <f t="shared" si="38"/>
        <v>OK</v>
      </c>
    </row>
    <row r="2553" spans="1:4" x14ac:dyDescent="0.2">
      <c r="A2553" s="5">
        <v>2492</v>
      </c>
      <c r="B2553" s="138">
        <f>'Acct Summary 7-8'!C6</f>
        <v>6349990</v>
      </c>
      <c r="C2553" s="2" t="s">
        <v>594</v>
      </c>
      <c r="D2553" s="2" t="str">
        <f t="shared" si="38"/>
        <v>Error?</v>
      </c>
    </row>
    <row r="2554" spans="1:4" x14ac:dyDescent="0.2">
      <c r="A2554" s="5">
        <v>2493</v>
      </c>
      <c r="B2554" s="138">
        <f>'Acct Summary 7-8'!C7</f>
        <v>1250231</v>
      </c>
      <c r="C2554" s="2" t="s">
        <v>594</v>
      </c>
      <c r="D2554" s="2" t="str">
        <f t="shared" si="38"/>
        <v>Error?</v>
      </c>
    </row>
    <row r="2555" spans="1:4" x14ac:dyDescent="0.2">
      <c r="A2555" s="5">
        <v>2494</v>
      </c>
      <c r="B2555" s="138">
        <f>'Acct Summary 7-8'!C8</f>
        <v>19143542</v>
      </c>
      <c r="C2555" s="2" t="s">
        <v>594</v>
      </c>
      <c r="D2555" s="2" t="str">
        <f t="shared" si="38"/>
        <v>Error?</v>
      </c>
    </row>
    <row r="2556" spans="1:4" x14ac:dyDescent="0.2">
      <c r="A2556" s="5">
        <v>2495</v>
      </c>
      <c r="B2556" s="138">
        <f>'Acct Summary 7-8'!C12</f>
        <v>12099521</v>
      </c>
      <c r="C2556" s="2" t="s">
        <v>594</v>
      </c>
      <c r="D2556" s="2" t="str">
        <f t="shared" si="38"/>
        <v>Error?</v>
      </c>
    </row>
    <row r="2557" spans="1:4" x14ac:dyDescent="0.2">
      <c r="A2557" s="5">
        <v>2496</v>
      </c>
      <c r="B2557" s="138">
        <f>'Acct Summary 7-8'!C13</f>
        <v>5209074</v>
      </c>
      <c r="C2557" s="2" t="s">
        <v>594</v>
      </c>
      <c r="D2557" s="2" t="str">
        <f t="shared" si="38"/>
        <v>Error?</v>
      </c>
    </row>
    <row r="2558" spans="1:4" x14ac:dyDescent="0.2">
      <c r="A2558" s="5">
        <v>2497</v>
      </c>
      <c r="B2558" s="138">
        <f>'Acct Summary 7-8'!C14</f>
        <v>146289</v>
      </c>
      <c r="C2558" s="2" t="s">
        <v>594</v>
      </c>
      <c r="D2558" s="2" t="str">
        <f t="shared" si="38"/>
        <v>Error?</v>
      </c>
    </row>
    <row r="2559" spans="1:4" x14ac:dyDescent="0.2">
      <c r="A2559" s="5">
        <v>2498</v>
      </c>
      <c r="B2559" s="138">
        <f>'Acct Summary 7-8'!C15</f>
        <v>431977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17886861</v>
      </c>
      <c r="C2561" s="2" t="s">
        <v>594</v>
      </c>
      <c r="D2561" s="2" t="str">
        <f t="shared" si="39"/>
        <v>Error?</v>
      </c>
    </row>
    <row r="2562" spans="1:4" x14ac:dyDescent="0.2">
      <c r="A2562" s="5">
        <v>2501</v>
      </c>
      <c r="B2562" s="138">
        <f>'Acct Summary 7-8'!C20</f>
        <v>1256681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2995316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2995316</v>
      </c>
      <c r="C2568" s="2" t="s">
        <v>594</v>
      </c>
      <c r="D2568" s="2" t="str">
        <f t="shared" si="39"/>
        <v>Error?</v>
      </c>
    </row>
    <row r="2569" spans="1:4" x14ac:dyDescent="0.2">
      <c r="A2569" s="5">
        <v>2508</v>
      </c>
      <c r="B2569" s="138">
        <f>'Acct Summary 7-8'!D13</f>
        <v>2622603</v>
      </c>
      <c r="C2569" s="2" t="s">
        <v>594</v>
      </c>
      <c r="D2569" s="2" t="str">
        <f t="shared" si="39"/>
        <v>Error?</v>
      </c>
    </row>
    <row r="2570" spans="1:4" x14ac:dyDescent="0.2">
      <c r="A2570" s="5">
        <v>2509</v>
      </c>
      <c r="B2570" s="138">
        <f>'Acct Summary 7-8'!D14</f>
        <v>1781</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2624384</v>
      </c>
      <c r="C2573" s="2" t="s">
        <v>594</v>
      </c>
      <c r="D2573" s="2" t="str">
        <f t="shared" si="39"/>
        <v>Error?</v>
      </c>
    </row>
    <row r="2574" spans="1:4" x14ac:dyDescent="0.2">
      <c r="A2574" s="5">
        <v>2513</v>
      </c>
      <c r="B2574" s="138">
        <f>'Acct Summary 7-8'!D20</f>
        <v>370932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838663</v>
      </c>
      <c r="C2591" s="2" t="s">
        <v>594</v>
      </c>
      <c r="D2591" s="2" t="str">
        <f t="shared" si="39"/>
        <v>Error?</v>
      </c>
    </row>
    <row r="2592" spans="1:4" x14ac:dyDescent="0.2">
      <c r="A2592" s="10">
        <v>2531</v>
      </c>
      <c r="D2592" s="2" t="str">
        <f t="shared" si="39"/>
        <v>OK</v>
      </c>
    </row>
    <row r="2593" spans="1:4" x14ac:dyDescent="0.2">
      <c r="A2593" s="5">
        <v>2532</v>
      </c>
      <c r="B2593" s="138">
        <f>'Acct Summary 7-8'!F6</f>
        <v>810771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1649434</v>
      </c>
      <c r="C2595" s="2" t="s">
        <v>594</v>
      </c>
      <c r="D2595" s="2" t="str">
        <f t="shared" si="39"/>
        <v>Error?</v>
      </c>
    </row>
    <row r="2596" spans="1:4" x14ac:dyDescent="0.2">
      <c r="A2596" s="5">
        <v>2535</v>
      </c>
      <c r="B2596" s="138">
        <f>'Acct Summary 7-8'!F13</f>
        <v>1268800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1268800</v>
      </c>
      <c r="C2600" s="2" t="s">
        <v>594</v>
      </c>
      <c r="D2600" s="2" t="str">
        <f t="shared" si="39"/>
        <v>Error?</v>
      </c>
    </row>
    <row r="2601" spans="1:4" x14ac:dyDescent="0.2">
      <c r="A2601" s="5">
        <v>2540</v>
      </c>
      <c r="B2601" s="138">
        <f>'Acct Summary 7-8'!F20</f>
        <v>380634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240603</v>
      </c>
      <c r="C2603" s="2" t="s">
        <v>594</v>
      </c>
      <c r="D2603" s="2" t="str">
        <f t="shared" si="39"/>
        <v>Error?</v>
      </c>
    </row>
    <row r="2604" spans="1:4" x14ac:dyDescent="0.2">
      <c r="A2604" s="5">
        <v>2543</v>
      </c>
      <c r="B2604" s="138">
        <f>'Acct Summary 7-8'!G6</f>
        <v>80000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320603</v>
      </c>
      <c r="C2606" s="2" t="s">
        <v>594</v>
      </c>
      <c r="D2606" s="2" t="str">
        <f t="shared" si="39"/>
        <v>Error?</v>
      </c>
    </row>
    <row r="2607" spans="1:4" x14ac:dyDescent="0.2">
      <c r="A2607" s="5">
        <v>2546</v>
      </c>
      <c r="B2607" s="138">
        <f>'Acct Summary 7-8'!G12</f>
        <v>46662</v>
      </c>
      <c r="C2607" s="2" t="s">
        <v>594</v>
      </c>
      <c r="D2607" s="2" t="str">
        <f t="shared" si="39"/>
        <v>Error?</v>
      </c>
    </row>
    <row r="2608" spans="1:4" x14ac:dyDescent="0.2">
      <c r="A2608" s="5">
        <v>2547</v>
      </c>
      <c r="B2608" s="138">
        <f>'Acct Summary 7-8'!G13</f>
        <v>194511</v>
      </c>
      <c r="C2608" s="2" t="s">
        <v>594</v>
      </c>
      <c r="D2608" s="2" t="str">
        <f t="shared" si="39"/>
        <v>Error?</v>
      </c>
    </row>
    <row r="2609" spans="1:4" x14ac:dyDescent="0.2">
      <c r="A2609" s="5">
        <v>2548</v>
      </c>
      <c r="B2609" s="138">
        <f>'Acct Summary 7-8'!G14</f>
        <v>736</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241909</v>
      </c>
      <c r="C2612" s="2" t="s">
        <v>594</v>
      </c>
      <c r="D2612" s="2" t="str">
        <f t="shared" si="39"/>
        <v>Error?</v>
      </c>
    </row>
    <row r="2613" spans="1:4" x14ac:dyDescent="0.2">
      <c r="A2613" s="5">
        <v>2552</v>
      </c>
      <c r="B2613" s="138">
        <f>'Acct Summary 7-8'!G20</f>
        <v>78694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614613</v>
      </c>
      <c r="C2630" s="2" t="s">
        <v>594</v>
      </c>
      <c r="D2630" s="2" t="str">
        <f t="shared" si="40"/>
        <v>Error?</v>
      </c>
    </row>
    <row r="2631" spans="1:4" x14ac:dyDescent="0.2">
      <c r="A2631" s="5">
        <v>2570</v>
      </c>
      <c r="B2631" s="138">
        <f>'Acct Summary 7-8'!E6</f>
        <v>200000</v>
      </c>
      <c r="C2631" s="2" t="s">
        <v>594</v>
      </c>
      <c r="D2631" s="2" t="str">
        <f t="shared" si="40"/>
        <v>Error?</v>
      </c>
    </row>
    <row r="2632" spans="1:4" x14ac:dyDescent="0.2">
      <c r="A2632" s="5">
        <v>2571</v>
      </c>
      <c r="B2632" s="138">
        <f>'Acct Summary 7-8'!E8</f>
        <v>814613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928755</v>
      </c>
      <c r="C2634" s="2" t="s">
        <v>594</v>
      </c>
      <c r="D2634" s="2" t="str">
        <f t="shared" si="40"/>
        <v>Error?</v>
      </c>
    </row>
    <row r="2635" spans="1:4" x14ac:dyDescent="0.2">
      <c r="A2635" s="5">
        <v>2574</v>
      </c>
      <c r="B2635" s="138">
        <f>'Acct Summary 7-8'!E17</f>
        <v>928755</v>
      </c>
      <c r="C2635" s="2" t="s">
        <v>594</v>
      </c>
      <c r="D2635" s="2" t="str">
        <f t="shared" si="40"/>
        <v>Error?</v>
      </c>
    </row>
    <row r="2636" spans="1:4" x14ac:dyDescent="0.2">
      <c r="A2636" s="5">
        <v>2575</v>
      </c>
      <c r="B2636" s="138">
        <f>'Acct Summary 7-8'!E20</f>
        <v>-114142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581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581</v>
      </c>
      <c r="C2658" s="2" t="s">
        <v>594</v>
      </c>
      <c r="D2658" s="2" t="str">
        <f t="shared" si="40"/>
        <v>Error?</v>
      </c>
    </row>
    <row r="2659" spans="1:4" x14ac:dyDescent="0.2">
      <c r="A2659" s="5">
        <v>2598</v>
      </c>
      <c r="B2659" s="138">
        <f>'Acct Summary 7-8'!H13</f>
        <v>6159</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6159</v>
      </c>
      <c r="C2661" s="2" t="s">
        <v>594</v>
      </c>
      <c r="D2661" s="2" t="str">
        <f t="shared" si="40"/>
        <v>Error?</v>
      </c>
    </row>
    <row r="2662" spans="1:4" x14ac:dyDescent="0.2">
      <c r="A2662" s="5">
        <v>2601</v>
      </c>
      <c r="B2662" s="138">
        <f>'Acct Summary 7-8'!H20</f>
        <v>-5578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46600</v>
      </c>
      <c r="C2789" s="2" t="s">
        <v>594</v>
      </c>
      <c r="D2789" s="2" t="str">
        <f t="shared" si="42"/>
        <v>Error?</v>
      </c>
    </row>
    <row r="2790" spans="1:4" x14ac:dyDescent="0.2">
      <c r="A2790" s="5">
        <v>2729</v>
      </c>
      <c r="B2790" s="138">
        <f>'Expenditures 15-22'!E102</f>
        <v>46600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1765</v>
      </c>
      <c r="D2797" s="2" t="str">
        <f t="shared" si="42"/>
        <v>Error?</v>
      </c>
    </row>
    <row r="2798" spans="1:4" x14ac:dyDescent="0.2">
      <c r="A2798" s="5">
        <v>2737</v>
      </c>
      <c r="B2798" s="138">
        <f>'Expenditures 15-22'!D130</f>
        <v>16</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1781</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2737775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2738084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88342</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513932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2738084</v>
      </c>
      <c r="D2912" s="2" t="str">
        <f t="shared" si="44"/>
        <v>Error?</v>
      </c>
    </row>
    <row r="2913" spans="1:4" x14ac:dyDescent="0.2">
      <c r="A2913" s="5">
        <v>2852</v>
      </c>
      <c r="B2913" s="138">
        <f>'Assets-Liab 5-6'!I41</f>
        <v>2738084</v>
      </c>
      <c r="C2913" s="2" t="s">
        <v>594</v>
      </c>
      <c r="D2913" s="2" t="str">
        <f t="shared" si="44"/>
        <v>Error?</v>
      </c>
    </row>
    <row r="2914" spans="1:4" x14ac:dyDescent="0.2">
      <c r="A2914" s="5">
        <v>2853</v>
      </c>
      <c r="B2914" s="138">
        <f>'Assets-Liab 5-6'!L33</f>
        <v>513932</v>
      </c>
      <c r="D2914" s="2" t="str">
        <f t="shared" si="44"/>
        <v>Error?</v>
      </c>
    </row>
    <row r="2915" spans="1:4" x14ac:dyDescent="0.2">
      <c r="A2915" s="10">
        <v>2854</v>
      </c>
      <c r="D2915" s="2" t="str">
        <f t="shared" si="44"/>
        <v>OK</v>
      </c>
    </row>
    <row r="2916" spans="1:4" x14ac:dyDescent="0.2">
      <c r="A2916" s="5">
        <v>2855</v>
      </c>
      <c r="B2916" s="138">
        <f>'Assets-Liab 5-6'!L34</f>
        <v>513932</v>
      </c>
      <c r="C2916" s="2" t="s">
        <v>594</v>
      </c>
      <c r="D2916" s="2" t="str">
        <f t="shared" si="44"/>
        <v>Error?</v>
      </c>
    </row>
    <row r="2917" spans="1:4" x14ac:dyDescent="0.2">
      <c r="A2917" s="5">
        <v>2856</v>
      </c>
      <c r="B2917" s="138">
        <f>'Assets-Liab 5-6'!L41</f>
        <v>513932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46600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352884</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152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352884</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46600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33324</v>
      </c>
      <c r="D3055" s="2" t="str">
        <f t="shared" si="46"/>
        <v>Error?</v>
      </c>
    </row>
    <row r="3056" spans="1:4" x14ac:dyDescent="0.2">
      <c r="A3056" s="5">
        <v>2995</v>
      </c>
      <c r="B3056" s="138">
        <f>'Expenditures 15-22'!D10</f>
        <v>13174</v>
      </c>
      <c r="D3056" s="2" t="str">
        <f t="shared" si="46"/>
        <v>Error?</v>
      </c>
    </row>
    <row r="3057" spans="1:4" x14ac:dyDescent="0.2">
      <c r="A3057" s="5">
        <v>2996</v>
      </c>
      <c r="B3057" s="138">
        <f>'Expenditures 15-22'!E10</f>
        <v>16501</v>
      </c>
      <c r="D3057" s="2" t="str">
        <f t="shared" si="46"/>
        <v>Error?</v>
      </c>
    </row>
    <row r="3058" spans="1:4" x14ac:dyDescent="0.2">
      <c r="A3058" s="5">
        <v>2997</v>
      </c>
      <c r="B3058" s="138">
        <f>'Expenditures 15-22'!F10</f>
        <v>2894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65893</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15150</v>
      </c>
      <c r="C3225" s="2" t="s">
        <v>594</v>
      </c>
      <c r="D3225" s="2" t="str">
        <f t="shared" si="49"/>
        <v>Error?</v>
      </c>
    </row>
    <row r="3226" spans="1:4" x14ac:dyDescent="0.2">
      <c r="A3226" s="5">
        <v>3165</v>
      </c>
      <c r="B3226" s="138">
        <f>'Acct Summary 7-8'!I8</f>
        <v>15150</v>
      </c>
      <c r="C3226" s="2" t="s">
        <v>594</v>
      </c>
      <c r="D3226" s="2" t="str">
        <f t="shared" si="49"/>
        <v>Error?</v>
      </c>
    </row>
    <row r="3227" spans="1:4" x14ac:dyDescent="0.2">
      <c r="A3227" s="5">
        <v>3166</v>
      </c>
      <c r="B3227" s="138">
        <f>'Acct Summary 7-8'!I20</f>
        <v>15150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1256681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370932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380634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78694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-114142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-5578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15150</v>
      </c>
      <c r="C3320" s="2" t="s">
        <v>594</v>
      </c>
      <c r="D3320" s="2" t="str">
        <f t="shared" si="50"/>
        <v>Error?</v>
      </c>
    </row>
    <row r="3321" spans="1:4" x14ac:dyDescent="0.2">
      <c r="A3321" s="5">
        <v>3260</v>
      </c>
      <c r="B3321" s="138">
        <f>'Acct Summary 7-8'!I79</f>
        <v>2722934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2738084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2093158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464836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1167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41072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32483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798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2633514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6879</v>
      </c>
      <c r="D3387" s="2" t="str">
        <f t="shared" si="51"/>
        <v>Error?</v>
      </c>
    </row>
    <row r="3388" spans="1:4" x14ac:dyDescent="0.2">
      <c r="A3388" s="5">
        <v>3327</v>
      </c>
      <c r="B3388" s="138">
        <f>'Expenditures 15-22'!D217</f>
        <v>31250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6879</v>
      </c>
      <c r="C3390" s="2" t="s">
        <v>594</v>
      </c>
      <c r="D3390" s="2" t="str">
        <f t="shared" si="51"/>
        <v>Error?</v>
      </c>
    </row>
    <row r="3391" spans="1:4" x14ac:dyDescent="0.2">
      <c r="A3391" s="5">
        <v>3330</v>
      </c>
      <c r="B3391" s="138">
        <f>'Expenditures 15-22'!K217</f>
        <v>31250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285736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7178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22284</v>
      </c>
      <c r="D3417" s="2" t="str">
        <f t="shared" si="52"/>
        <v>Error?</v>
      </c>
    </row>
    <row r="3418" spans="1:4" x14ac:dyDescent="0.2">
      <c r="A3418" s="10">
        <v>3357</v>
      </c>
      <c r="D3418" s="2" t="str">
        <f t="shared" si="52"/>
        <v>OK</v>
      </c>
    </row>
    <row r="3419" spans="1:4" x14ac:dyDescent="0.2">
      <c r="A3419" s="5">
        <v>3358</v>
      </c>
      <c r="B3419" s="138">
        <f>'Assets-Liab 5-6'!F4</f>
        <v>109288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73799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2468</v>
      </c>
      <c r="D3425" s="2" t="str">
        <f t="shared" si="52"/>
        <v>Error?</v>
      </c>
    </row>
    <row r="3426" spans="1:4" x14ac:dyDescent="0.2">
      <c r="A3426" s="10">
        <v>3365</v>
      </c>
      <c r="D3426" s="2" t="str">
        <f t="shared" si="52"/>
        <v>OK</v>
      </c>
    </row>
    <row r="3427" spans="1:4" x14ac:dyDescent="0.2">
      <c r="A3427" s="5">
        <v>3366</v>
      </c>
      <c r="B3427" s="138">
        <f>'Assets-Liab 5-6'!I4</f>
        <v>309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425590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1453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79953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81406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81406</v>
      </c>
      <c r="D3567" s="2" t="str">
        <f t="shared" si="54"/>
        <v>Error?</v>
      </c>
    </row>
    <row r="3568" spans="1:4" x14ac:dyDescent="0.2">
      <c r="A3568" s="5">
        <v>3507</v>
      </c>
      <c r="B3568" s="138">
        <f>'Assets-Liab 5-6'!K41</f>
        <v>81406</v>
      </c>
      <c r="C3568" s="2" t="s">
        <v>594</v>
      </c>
      <c r="D3568" s="2" t="str">
        <f t="shared" si="54"/>
        <v>Error?</v>
      </c>
    </row>
    <row r="3569" spans="1:4" x14ac:dyDescent="0.2">
      <c r="A3569" s="5">
        <v>3508</v>
      </c>
      <c r="B3569" s="138">
        <f>'Acct Summary 7-8'!K4</f>
        <v>10067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10067</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10067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10067</v>
      </c>
      <c r="C3588" s="2" t="s">
        <v>594</v>
      </c>
      <c r="D3588" s="2" t="str">
        <f t="shared" si="55"/>
        <v>Error?</v>
      </c>
    </row>
    <row r="3589" spans="1:4" x14ac:dyDescent="0.2">
      <c r="A3589" s="5">
        <v>3528</v>
      </c>
      <c r="B3589" s="138">
        <f>'Acct Summary 7-8'!K79</f>
        <v>71339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81406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10067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7088808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26232350</v>
      </c>
      <c r="C4122" s="2" t="s">
        <v>594</v>
      </c>
      <c r="D4122" s="2" t="str">
        <f t="shared" si="63"/>
        <v>Error?</v>
      </c>
    </row>
    <row r="4123" spans="1:4" x14ac:dyDescent="0.2">
      <c r="A4123" s="5">
        <v>4062</v>
      </c>
      <c r="B4123" s="138">
        <f>'Acct Summary 7-8'!D10</f>
        <v>2995316</v>
      </c>
      <c r="C4123" s="2" t="s">
        <v>594</v>
      </c>
      <c r="D4123" s="2" t="str">
        <f t="shared" si="63"/>
        <v>Error?</v>
      </c>
    </row>
    <row r="4124" spans="1:4" x14ac:dyDescent="0.2">
      <c r="A4124" s="5">
        <v>4063</v>
      </c>
      <c r="B4124" s="138">
        <f>'Acct Summary 7-8'!E10</f>
        <v>814613</v>
      </c>
      <c r="C4124" s="2" t="s">
        <v>594</v>
      </c>
      <c r="D4124" s="2" t="str">
        <f t="shared" si="63"/>
        <v>Error?</v>
      </c>
    </row>
    <row r="4125" spans="1:4" x14ac:dyDescent="0.2">
      <c r="A4125" s="5">
        <v>4064</v>
      </c>
      <c r="B4125" s="138">
        <f>'Acct Summary 7-8'!F10</f>
        <v>1649434</v>
      </c>
      <c r="C4125" s="2" t="s">
        <v>594</v>
      </c>
      <c r="D4125" s="2" t="str">
        <f t="shared" si="63"/>
        <v>Error?</v>
      </c>
    </row>
    <row r="4126" spans="1:4" x14ac:dyDescent="0.2">
      <c r="A4126" s="5">
        <v>4065</v>
      </c>
      <c r="B4126" s="138">
        <f>'Acct Summary 7-8'!G10</f>
        <v>320603</v>
      </c>
      <c r="C4126" s="2" t="s">
        <v>594</v>
      </c>
      <c r="D4126" s="2" t="str">
        <f t="shared" si="63"/>
        <v>Error?</v>
      </c>
    </row>
    <row r="4127" spans="1:4" x14ac:dyDescent="0.2">
      <c r="A4127" s="5">
        <v>4066</v>
      </c>
      <c r="B4127" s="138">
        <f>'Acct Summary 7-8'!H10</f>
        <v>581</v>
      </c>
      <c r="C4127" s="2" t="s">
        <v>594</v>
      </c>
      <c r="D4127" s="2" t="str">
        <f t="shared" si="63"/>
        <v>Error?</v>
      </c>
    </row>
    <row r="4128" spans="1:4" x14ac:dyDescent="0.2">
      <c r="A4128" s="5">
        <v>4067</v>
      </c>
      <c r="B4128" s="138">
        <f>'Acct Summary 7-8'!I10</f>
        <v>15150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10067</v>
      </c>
      <c r="C4130" s="2" t="s">
        <v>594</v>
      </c>
      <c r="D4130" s="2" t="str">
        <f t="shared" si="63"/>
        <v>Error?</v>
      </c>
    </row>
    <row r="4131" spans="1:4" x14ac:dyDescent="0.2">
      <c r="A4131" s="5">
        <v>4070</v>
      </c>
      <c r="B4131" s="138">
        <f>'Acct Summary 7-8'!C18</f>
        <v>7088808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24975669</v>
      </c>
      <c r="C4136" s="2" t="s">
        <v>594</v>
      </c>
      <c r="D4136" s="2" t="str">
        <f t="shared" si="63"/>
        <v>Error?</v>
      </c>
    </row>
    <row r="4137" spans="1:4" x14ac:dyDescent="0.2">
      <c r="A4137" s="5">
        <v>4076</v>
      </c>
      <c r="B4137" s="138">
        <f>'Acct Summary 7-8'!D19</f>
        <v>2624384</v>
      </c>
      <c r="C4137" s="2" t="s">
        <v>594</v>
      </c>
      <c r="D4137" s="2" t="str">
        <f t="shared" si="63"/>
        <v>Error?</v>
      </c>
    </row>
    <row r="4138" spans="1:4" x14ac:dyDescent="0.2">
      <c r="A4138" s="5">
        <v>4077</v>
      </c>
      <c r="B4138" s="138">
        <f>'Acct Summary 7-8'!E19</f>
        <v>928755</v>
      </c>
      <c r="C4138" s="2" t="s">
        <v>594</v>
      </c>
      <c r="D4138" s="2" t="str">
        <f t="shared" si="63"/>
        <v>Error?</v>
      </c>
    </row>
    <row r="4139" spans="1:4" x14ac:dyDescent="0.2">
      <c r="A4139" s="5">
        <v>4078</v>
      </c>
      <c r="B4139" s="138">
        <f>'Acct Summary 7-8'!F19</f>
        <v>1268800</v>
      </c>
      <c r="C4139" s="2" t="s">
        <v>594</v>
      </c>
      <c r="D4139" s="2" t="str">
        <f t="shared" si="63"/>
        <v>Error?</v>
      </c>
    </row>
    <row r="4140" spans="1:4" x14ac:dyDescent="0.2">
      <c r="A4140" s="5">
        <v>4079</v>
      </c>
      <c r="B4140" s="138">
        <f>'Acct Summary 7-8'!G19</f>
        <v>241909</v>
      </c>
      <c r="C4140" s="2" t="s">
        <v>594</v>
      </c>
      <c r="D4140" s="2" t="str">
        <f t="shared" si="63"/>
        <v>Error?</v>
      </c>
    </row>
    <row r="4141" spans="1:4" x14ac:dyDescent="0.2">
      <c r="A4141" s="5">
        <v>4080</v>
      </c>
      <c r="B4141" s="138">
        <f>'Acct Summary 7-8'!H19</f>
        <v>6159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11390000</v>
      </c>
      <c r="C4171" s="2" t="s">
        <v>594</v>
      </c>
      <c r="D4171" s="2" t="str">
        <f t="shared" si="64"/>
        <v>Error?</v>
      </c>
    </row>
    <row r="4172" spans="1:4" x14ac:dyDescent="0.2">
      <c r="A4172" s="5">
        <v>4111</v>
      </c>
      <c r="B4172" s="138">
        <f>'Short-Term Long-Term Debt 24'!J49</f>
        <v>11317156</v>
      </c>
      <c r="C4172" s="2" t="s">
        <v>594</v>
      </c>
      <c r="D4172" s="2" t="str">
        <f t="shared" si="64"/>
        <v>Error?</v>
      </c>
    </row>
    <row r="4173" spans="1:4" x14ac:dyDescent="0.2">
      <c r="A4173" s="5">
        <v>4112</v>
      </c>
      <c r="B4173" s="138">
        <f>'Short-Term Long-Term Debt 24'!H49</f>
        <v>395000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1461.7</v>
      </c>
      <c r="C4265" s="2" t="s">
        <v>594</v>
      </c>
      <c r="D4265" s="2" t="str">
        <f t="shared" si="65"/>
        <v>Error?</v>
      </c>
      <c r="E4265" s="128"/>
    </row>
    <row r="4266" spans="1:5" x14ac:dyDescent="0.2">
      <c r="A4266" s="12">
        <v>4205</v>
      </c>
      <c r="B4266" s="138">
        <f>('FP Info 3'!F10)*100000</f>
        <v>419.8</v>
      </c>
      <c r="C4266" s="2" t="s">
        <v>594</v>
      </c>
      <c r="D4266" s="2" t="str">
        <f t="shared" si="65"/>
        <v>Error?</v>
      </c>
      <c r="E4266" s="128"/>
    </row>
    <row r="4267" spans="1:5" x14ac:dyDescent="0.2">
      <c r="A4267" s="12">
        <v>4206</v>
      </c>
      <c r="B4267" s="138">
        <f>('FP Info 3'!H10)*100000</f>
        <v>119.1</v>
      </c>
      <c r="C4267" s="2" t="s">
        <v>594</v>
      </c>
      <c r="D4267" s="2" t="str">
        <f t="shared" si="65"/>
        <v>Error?</v>
      </c>
      <c r="E4267" s="128"/>
    </row>
    <row r="4268" spans="1:5" x14ac:dyDescent="0.2">
      <c r="A4268" s="12">
        <v>4207</v>
      </c>
      <c r="B4268" s="138">
        <f>('FP Info 3'!J10)*100000</f>
        <v>2001</v>
      </c>
      <c r="C4268" s="2" t="s">
        <v>594</v>
      </c>
      <c r="D4268" s="2" t="str">
        <f t="shared" si="65"/>
        <v>Error?</v>
      </c>
    </row>
    <row r="4269" spans="1:5" x14ac:dyDescent="0.2">
      <c r="A4269" s="12">
        <v>4208</v>
      </c>
      <c r="B4269" s="138">
        <f>'FP Info 3'!J16</f>
        <v>14655702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27843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317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17414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1324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63267</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715871934</v>
      </c>
      <c r="D4995" s="2" t="str">
        <f t="shared" si="77"/>
        <v>Error?</v>
      </c>
    </row>
    <row r="4996" spans="1:4" x14ac:dyDescent="0.2">
      <c r="A4996" s="12">
        <v>4935</v>
      </c>
      <c r="B4996" s="138">
        <f>'FP Info 3'!H31</f>
        <v>49395163.446000002</v>
      </c>
      <c r="D4996" s="2" t="str">
        <f t="shared" si="77"/>
        <v>Error?</v>
      </c>
    </row>
    <row r="4997" spans="1:4" x14ac:dyDescent="0.2">
      <c r="A4997" s="12">
        <v>4936</v>
      </c>
      <c r="B4997" s="138">
        <f>'FP Info 3'!H37</f>
        <v>11390000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10094325</v>
      </c>
      <c r="D5061" s="2" t="str">
        <f t="shared" si="78"/>
        <v>Error?</v>
      </c>
    </row>
    <row r="5062" spans="1:4" x14ac:dyDescent="0.2">
      <c r="A5062" s="10">
        <v>5001</v>
      </c>
      <c r="D5062" s="2" t="str">
        <f t="shared" si="78"/>
        <v>OK</v>
      </c>
    </row>
    <row r="5063" spans="1:4" x14ac:dyDescent="0.2">
      <c r="A5063" s="5">
        <v>5002</v>
      </c>
      <c r="B5063" s="138">
        <f>'Revenues 9-14'!C7</f>
        <v>8987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10103312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534167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534167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108830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108830</v>
      </c>
      <c r="C5090" s="2" t="s">
        <v>594</v>
      </c>
      <c r="D5090" s="2" t="str">
        <f t="shared" si="78"/>
        <v>Error?</v>
      </c>
    </row>
    <row r="5091" spans="1:4" x14ac:dyDescent="0.2">
      <c r="A5091" s="5">
        <v>5030</v>
      </c>
      <c r="B5091" s="138">
        <f>'Revenues 9-14'!C70</f>
        <v>11009</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7476</v>
      </c>
      <c r="D5094" s="2" t="str">
        <f t="shared" si="78"/>
        <v>Error?</v>
      </c>
    </row>
    <row r="5095" spans="1:4" x14ac:dyDescent="0.2">
      <c r="A5095" s="5">
        <v>5034</v>
      </c>
      <c r="B5095" s="138">
        <f>'Revenues 9-14'!C74</f>
        <v>873</v>
      </c>
      <c r="D5095" s="2" t="str">
        <f t="shared" si="78"/>
        <v>Error?</v>
      </c>
    </row>
    <row r="5096" spans="1:4" x14ac:dyDescent="0.2">
      <c r="A5096" s="5">
        <v>5035</v>
      </c>
      <c r="B5096" s="138">
        <f>'Revenues 9-14'!C75</f>
        <v>294536</v>
      </c>
      <c r="C5096" s="2" t="s">
        <v>594</v>
      </c>
      <c r="D5096" s="2" t="str">
        <f t="shared" si="78"/>
        <v>Error?</v>
      </c>
    </row>
    <row r="5097" spans="1:4" x14ac:dyDescent="0.2">
      <c r="A5097" s="5">
        <v>5036</v>
      </c>
      <c r="B5097" s="138">
        <f>'Revenues 9-14'!C77</f>
        <v>32681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48151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80832</v>
      </c>
      <c r="C5102" s="2" t="s">
        <v>594</v>
      </c>
      <c r="D5102" s="2" t="str">
        <f t="shared" si="78"/>
        <v>Error?</v>
      </c>
    </row>
    <row r="5103" spans="1:4" x14ac:dyDescent="0.2">
      <c r="A5103" s="5">
        <v>5042</v>
      </c>
      <c r="B5103" s="138">
        <f>'Revenues 9-14'!C84</f>
        <v>284868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284868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5564</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73669</v>
      </c>
      <c r="D5119" s="2" t="str">
        <f t="shared" ref="D5119:D5182" si="79">IF(ISBLANK(B5119),"OK",IF(A5119-B5119=0,"OK","Error?"))</f>
        <v>Error?</v>
      </c>
    </row>
    <row r="5120" spans="1:4" x14ac:dyDescent="0.2">
      <c r="A5120" s="5">
        <v>5059</v>
      </c>
      <c r="B5120" s="138">
        <f>'Revenues 9-14'!C108</f>
        <v>136776</v>
      </c>
      <c r="C5120" s="2" t="s">
        <v>594</v>
      </c>
      <c r="D5120" s="2" t="str">
        <f t="shared" si="79"/>
        <v>Error?</v>
      </c>
    </row>
    <row r="5121" spans="1:4" x14ac:dyDescent="0.2">
      <c r="A5121" s="5">
        <v>5060</v>
      </c>
      <c r="B5121" s="138">
        <f>'Revenues 9-14'!C109</f>
        <v>11543321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5524657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5524657</v>
      </c>
      <c r="C5132" s="2" t="s">
        <v>594</v>
      </c>
      <c r="D5132" s="2" t="str">
        <f t="shared" si="79"/>
        <v>Error?</v>
      </c>
    </row>
    <row r="5133" spans="1:4" x14ac:dyDescent="0.2">
      <c r="A5133" s="5">
        <v>5072</v>
      </c>
      <c r="B5133" s="138">
        <f>'Revenues 9-14'!C124</f>
        <v>409083</v>
      </c>
      <c r="D5133" s="2" t="str">
        <f t="shared" si="79"/>
        <v>Error?</v>
      </c>
    </row>
    <row r="5134" spans="1:4" x14ac:dyDescent="0.2">
      <c r="A5134" s="5">
        <v>5073</v>
      </c>
      <c r="B5134" s="138">
        <f>'Revenues 9-14'!C125</f>
        <v>132340</v>
      </c>
      <c r="D5134" s="2" t="str">
        <f t="shared" si="79"/>
        <v>Error?</v>
      </c>
    </row>
    <row r="5135" spans="1:4" x14ac:dyDescent="0.2">
      <c r="A5135" s="5">
        <v>5074</v>
      </c>
      <c r="B5135" s="138">
        <f>'Revenues 9-14'!C126</f>
        <v>163378</v>
      </c>
      <c r="D5135" s="2" t="str">
        <f t="shared" si="79"/>
        <v>Error?</v>
      </c>
    </row>
    <row r="5136" spans="1:4" x14ac:dyDescent="0.2">
      <c r="A5136" s="10">
        <v>5075</v>
      </c>
      <c r="D5136" s="2" t="str">
        <f t="shared" si="79"/>
        <v>OK</v>
      </c>
    </row>
    <row r="5137" spans="1:4" x14ac:dyDescent="0.2">
      <c r="A5137" s="5">
        <v>5076</v>
      </c>
      <c r="B5137" s="138">
        <f>'Revenues 9-14'!C127</f>
        <v>12709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6263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723773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4828</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4828</v>
      </c>
      <c r="C5165" s="2" t="s">
        <v>594</v>
      </c>
      <c r="D5165" s="2" t="str">
        <f t="shared" si="79"/>
        <v>Error?</v>
      </c>
    </row>
    <row r="5166" spans="1:4" x14ac:dyDescent="0.2">
      <c r="A5166" s="10">
        <v>5105</v>
      </c>
      <c r="D5166" s="2" t="str">
        <f t="shared" si="79"/>
        <v>OK</v>
      </c>
    </row>
    <row r="5167" spans="1:4" x14ac:dyDescent="0.2">
      <c r="A5167" s="5">
        <v>5106</v>
      </c>
      <c r="B5167" s="138">
        <f>'Revenues 9-14'!C145</f>
        <v>5000</v>
      </c>
      <c r="D5167" s="2" t="str">
        <f t="shared" si="79"/>
        <v>Error?</v>
      </c>
    </row>
    <row r="5168" spans="1:4" x14ac:dyDescent="0.2">
      <c r="A5168" s="5">
        <v>5107</v>
      </c>
      <c r="B5168" s="138">
        <f>'Revenues 9-14'!C147</f>
        <v>90408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825333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6349990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326755</v>
      </c>
      <c r="D5239" s="2" t="str">
        <f t="shared" si="80"/>
        <v>Error?</v>
      </c>
    </row>
    <row r="5240" spans="1:4" x14ac:dyDescent="0.2">
      <c r="A5240" s="5">
        <v>5179</v>
      </c>
      <c r="B5240" s="138" t="str">
        <f>'Revenues 9-14'!C195</f>
        <v xml:space="preserve"> </v>
      </c>
      <c r="D5240" s="2" t="e">
        <f t="shared" si="80"/>
        <v>#VALUE!</v>
      </c>
    </row>
    <row r="5241" spans="1:4" x14ac:dyDescent="0.2">
      <c r="A5241" s="5">
        <v>5180</v>
      </c>
      <c r="B5241" s="138">
        <f>'Revenues 9-14'!C196</f>
        <v>45695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372450</v>
      </c>
      <c r="C5246" s="2" t="s">
        <v>594</v>
      </c>
      <c r="D5246" s="2" t="str">
        <f t="shared" si="80"/>
        <v>Error?</v>
      </c>
    </row>
    <row r="5247" spans="1:4" x14ac:dyDescent="0.2">
      <c r="A5247" s="5">
        <v>5186</v>
      </c>
      <c r="B5247" s="138">
        <f>'Revenues 9-14'!C203</f>
        <v>224275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224275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544665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544665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1250231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1250231</v>
      </c>
      <c r="C5326" s="2" t="s">
        <v>594</v>
      </c>
      <c r="D5326" s="2" t="str">
        <f t="shared" si="82"/>
        <v>Error?</v>
      </c>
    </row>
    <row r="5327" spans="1:4" x14ac:dyDescent="0.2">
      <c r="A5327" s="5">
        <v>5266</v>
      </c>
      <c r="B5327" s="138">
        <f>'Revenues 9-14'!C275</f>
        <v>19143542</v>
      </c>
      <c r="C5327" s="2" t="s">
        <v>594</v>
      </c>
      <c r="D5327" s="2" t="str">
        <f t="shared" si="82"/>
        <v>Error?</v>
      </c>
    </row>
    <row r="5328" spans="1:4" x14ac:dyDescent="0.2">
      <c r="A5328" s="5">
        <v>5267</v>
      </c>
      <c r="B5328" s="138">
        <f>'Revenues 9-14'!D5</f>
        <v>2898917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2898917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54428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54428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34904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435</v>
      </c>
      <c r="D5354" s="2" t="str">
        <f t="shared" si="82"/>
        <v>Error?</v>
      </c>
    </row>
    <row r="5355" spans="1:4" x14ac:dyDescent="0.2">
      <c r="A5355" s="5">
        <v>5294</v>
      </c>
      <c r="B5355" s="138">
        <f>'Revenues 9-14'!D108</f>
        <v>41971</v>
      </c>
      <c r="C5355" s="2" t="s">
        <v>594</v>
      </c>
      <c r="D5355" s="2" t="str">
        <f t="shared" si="82"/>
        <v>Error?</v>
      </c>
    </row>
    <row r="5356" spans="1:4" x14ac:dyDescent="0.2">
      <c r="A5356" s="5">
        <v>5295</v>
      </c>
      <c r="B5356" s="138">
        <f>'Revenues 9-14'!D109</f>
        <v>2995316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2995316</v>
      </c>
      <c r="C5508" s="2" t="s">
        <v>594</v>
      </c>
      <c r="D5508" s="2" t="str">
        <f t="shared" si="85"/>
        <v>Error?</v>
      </c>
    </row>
    <row r="5509" spans="1:4" x14ac:dyDescent="0.2">
      <c r="A5509" s="5">
        <v>5448</v>
      </c>
      <c r="B5509" s="138">
        <f>'Revenues 9-14'!E5</f>
        <v>521663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521663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2291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2291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90659</v>
      </c>
      <c r="D5525" s="2" t="str">
        <f t="shared" si="85"/>
        <v>Error?</v>
      </c>
    </row>
    <row r="5526" spans="1:4" x14ac:dyDescent="0.2">
      <c r="A5526" s="5">
        <v>5465</v>
      </c>
      <c r="B5526" s="138">
        <f>'Revenues 9-14'!E108</f>
        <v>90659</v>
      </c>
      <c r="C5526" s="2" t="s">
        <v>594</v>
      </c>
      <c r="D5526" s="2" t="str">
        <f t="shared" si="85"/>
        <v>Error?</v>
      </c>
    </row>
    <row r="5527" spans="1:4" x14ac:dyDescent="0.2">
      <c r="A5527" s="5">
        <v>5466</v>
      </c>
      <c r="B5527" s="138">
        <f>'Revenues 9-14'!E109</f>
        <v>614613</v>
      </c>
      <c r="C5527" s="2" t="s">
        <v>594</v>
      </c>
      <c r="D5527" s="2" t="str">
        <f t="shared" si="85"/>
        <v>Error?</v>
      </c>
    </row>
    <row r="5528" spans="1:4" x14ac:dyDescent="0.2">
      <c r="A5528" s="5">
        <v>5467</v>
      </c>
      <c r="B5528" s="138">
        <f>'Revenues 9-14'!E117</f>
        <v>200000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200000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200000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814613</v>
      </c>
      <c r="C5552" s="2" t="s">
        <v>594</v>
      </c>
      <c r="D5552" s="2" t="str">
        <f t="shared" si="85"/>
        <v>Error?</v>
      </c>
    </row>
    <row r="5553" spans="1:4" x14ac:dyDescent="0.2">
      <c r="A5553" s="5">
        <v>5492</v>
      </c>
      <c r="B5553" s="138">
        <f>'Revenues 9-14'!F5</f>
        <v>821940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821940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15248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15248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1475</v>
      </c>
      <c r="D5586" s="2" t="str">
        <f t="shared" si="86"/>
        <v>Error?</v>
      </c>
    </row>
    <row r="5587" spans="1:4" x14ac:dyDescent="0.2">
      <c r="A5587" s="5">
        <v>5526</v>
      </c>
      <c r="B5587" s="138">
        <f>'Revenues 9-14'!F108</f>
        <v>1475</v>
      </c>
      <c r="C5587" s="2" t="s">
        <v>594</v>
      </c>
      <c r="D5587" s="2" t="str">
        <f t="shared" si="86"/>
        <v>Error?</v>
      </c>
    </row>
    <row r="5588" spans="1:4" x14ac:dyDescent="0.2">
      <c r="A5588" s="5">
        <v>5527</v>
      </c>
      <c r="B5588" s="138">
        <f>'Revenues 9-14'!F109</f>
        <v>838663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300000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300000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58241</v>
      </c>
      <c r="D5615" s="2" t="str">
        <f t="shared" si="86"/>
        <v>Error?</v>
      </c>
    </row>
    <row r="5616" spans="1:4" x14ac:dyDescent="0.2">
      <c r="A5616" s="10">
        <v>5555</v>
      </c>
      <c r="D5616" s="2" t="str">
        <f t="shared" si="86"/>
        <v>OK</v>
      </c>
    </row>
    <row r="5617" spans="1:4" x14ac:dyDescent="0.2">
      <c r="A5617" s="5">
        <v>5556</v>
      </c>
      <c r="B5617" s="138">
        <f>'Revenues 9-14'!F152</f>
        <v>452530</v>
      </c>
      <c r="D5617" s="2" t="str">
        <f t="shared" si="86"/>
        <v>Error?</v>
      </c>
    </row>
    <row r="5618" spans="1:4" x14ac:dyDescent="0.2">
      <c r="A5618" s="5">
        <v>5557</v>
      </c>
      <c r="B5618" s="138">
        <f>'Revenues 9-14'!F154</f>
        <v>510771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510771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810771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1649434</v>
      </c>
      <c r="C5720" s="2" t="s">
        <v>594</v>
      </c>
      <c r="D5720" s="2" t="str">
        <f t="shared" si="88"/>
        <v>Error?</v>
      </c>
    </row>
    <row r="5721" spans="1:4" x14ac:dyDescent="0.2">
      <c r="A5721" s="5">
        <v>5660</v>
      </c>
      <c r="B5721" s="138">
        <f>'Revenues 9-14'!G5</f>
        <v>217942</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217942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20293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20293</v>
      </c>
      <c r="C5730" s="2" t="s">
        <v>594</v>
      </c>
      <c r="D5730" s="2" t="str">
        <f t="shared" si="88"/>
        <v>Error?</v>
      </c>
    </row>
    <row r="5731" spans="1:4" x14ac:dyDescent="0.2">
      <c r="A5731" s="5">
        <v>5670</v>
      </c>
      <c r="B5731" s="138">
        <f>'Revenues 9-14'!G65</f>
        <v>2368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2368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80000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80000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80000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320603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581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581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581</v>
      </c>
      <c r="C5915" s="2" t="s">
        <v>594</v>
      </c>
      <c r="D5915" s="2" t="str">
        <f t="shared" si="91"/>
        <v>Error?</v>
      </c>
    </row>
    <row r="5916" spans="1:4" x14ac:dyDescent="0.2">
      <c r="A5916" s="5">
        <v>5855</v>
      </c>
      <c r="B5916" s="138">
        <f>'Revenues 9-14'!I5</f>
        <v>8988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8988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6162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6162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15150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8988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8988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1079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1079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10067</v>
      </c>
      <c r="C6023" s="2" t="s">
        <v>594</v>
      </c>
      <c r="D6023" s="2" t="str">
        <f t="shared" si="93"/>
        <v>Error?</v>
      </c>
    </row>
    <row r="6024" spans="1:5" x14ac:dyDescent="0.2">
      <c r="A6024" s="5">
        <v>5963</v>
      </c>
      <c r="B6024" s="138">
        <f>'Revenues 9-14'!G109</f>
        <v>240603</v>
      </c>
      <c r="C6024" s="2" t="s">
        <v>594</v>
      </c>
      <c r="D6024" s="2" t="str">
        <f t="shared" si="93"/>
        <v>Error?</v>
      </c>
    </row>
    <row r="6025" spans="1:5" x14ac:dyDescent="0.2">
      <c r="A6025" s="5">
        <v>5964</v>
      </c>
      <c r="B6025" s="138">
        <f>'Revenues 9-14'!H109</f>
        <v>581</v>
      </c>
      <c r="C6025" s="2" t="s">
        <v>594</v>
      </c>
      <c r="D6025" s="2" t="str">
        <f t="shared" si="93"/>
        <v>Error?</v>
      </c>
    </row>
    <row r="6026" spans="1:5" x14ac:dyDescent="0.2">
      <c r="A6026" s="5">
        <v>5965</v>
      </c>
      <c r="B6026" s="138">
        <f>'Revenues 9-14'!I109</f>
        <v>15150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10067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275178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60798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1817.23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42998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42998</v>
      </c>
      <c r="D6215" s="2" t="str">
        <f t="shared" si="96"/>
        <v>Error?</v>
      </c>
      <c r="E6215" s="2" t="s">
        <v>199</v>
      </c>
    </row>
    <row r="6216" spans="1:5" x14ac:dyDescent="0.2">
      <c r="A6216">
        <v>6155</v>
      </c>
      <c r="B6216" s="138">
        <f>'Assets-Liab 5-6'!J41</f>
        <v>42998</v>
      </c>
      <c r="D6216" s="2" t="str">
        <f t="shared" si="96"/>
        <v>Error?</v>
      </c>
      <c r="E6216" s="2" t="s">
        <v>199</v>
      </c>
    </row>
    <row r="6217" spans="1:5" x14ac:dyDescent="0.2">
      <c r="A6217">
        <v>6156</v>
      </c>
      <c r="B6217" s="138">
        <f>'Assets-Liab 5-6'!J4</f>
        <v>27</v>
      </c>
      <c r="D6217" s="2" t="str">
        <f t="shared" si="96"/>
        <v>Error?</v>
      </c>
      <c r="E6217" s="2" t="s">
        <v>199</v>
      </c>
    </row>
    <row r="6218" spans="1:5" x14ac:dyDescent="0.2">
      <c r="A6218">
        <v>6157</v>
      </c>
      <c r="B6218" s="138">
        <f>'Assets-Liab 5-6'!J5</f>
        <v>42971</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9543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9543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9543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9543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9543</v>
      </c>
      <c r="D6263" s="2" t="str">
        <f t="shared" si="96"/>
        <v>Error?</v>
      </c>
      <c r="E6263" s="2" t="s">
        <v>199</v>
      </c>
    </row>
    <row r="6264" spans="1:5" x14ac:dyDescent="0.2">
      <c r="A6264">
        <v>6203</v>
      </c>
      <c r="B6264" s="138">
        <f>'Acct Summary 7-8'!J79</f>
        <v>33455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42998</v>
      </c>
      <c r="D6266" s="2" t="str">
        <f t="shared" si="96"/>
        <v>Error?</v>
      </c>
      <c r="E6266" s="2" t="s">
        <v>199</v>
      </c>
    </row>
    <row r="6267" spans="1:5" x14ac:dyDescent="0.2">
      <c r="A6267">
        <v>6206</v>
      </c>
      <c r="B6267" s="138">
        <f>'Acct Summary 7-8'!C82</f>
        <v>1256681</v>
      </c>
      <c r="D6267" s="2" t="str">
        <f t="shared" si="96"/>
        <v>Error?</v>
      </c>
      <c r="E6267" s="2" t="s">
        <v>199</v>
      </c>
    </row>
    <row r="6268" spans="1:5" x14ac:dyDescent="0.2">
      <c r="A6268">
        <v>6207</v>
      </c>
      <c r="B6268" s="138">
        <f>'Acct Summary 7-8'!D82</f>
        <v>370932</v>
      </c>
      <c r="D6268" s="2" t="str">
        <f t="shared" si="96"/>
        <v>Error?</v>
      </c>
      <c r="E6268" s="2" t="s">
        <v>199</v>
      </c>
    </row>
    <row r="6269" spans="1:5" x14ac:dyDescent="0.2">
      <c r="A6269">
        <v>6208</v>
      </c>
      <c r="B6269" s="138">
        <f>'Acct Summary 7-8'!E82</f>
        <v>-114142</v>
      </c>
      <c r="D6269" s="2" t="str">
        <f t="shared" si="96"/>
        <v>Error?</v>
      </c>
      <c r="E6269" s="2" t="s">
        <v>199</v>
      </c>
    </row>
    <row r="6270" spans="1:5" x14ac:dyDescent="0.2">
      <c r="A6270">
        <v>6209</v>
      </c>
      <c r="B6270" s="138">
        <f>'Acct Summary 7-8'!F82</f>
        <v>380634</v>
      </c>
      <c r="D6270" s="2" t="str">
        <f t="shared" si="96"/>
        <v>Error?</v>
      </c>
      <c r="E6270" s="2" t="s">
        <v>199</v>
      </c>
    </row>
    <row r="6271" spans="1:5" x14ac:dyDescent="0.2">
      <c r="A6271">
        <v>6210</v>
      </c>
      <c r="B6271" s="138">
        <f>'Acct Summary 7-8'!G82</f>
        <v>78694</v>
      </c>
      <c r="D6271" s="2" t="str">
        <f t="shared" ref="D6271:D6334" si="97">IF(ISBLANK(B6271),"OK",IF(A6271-B6271=0,"OK","Error?"))</f>
        <v>Error?</v>
      </c>
      <c r="E6271" s="2" t="s">
        <v>199</v>
      </c>
    </row>
    <row r="6272" spans="1:5" x14ac:dyDescent="0.2">
      <c r="A6272">
        <v>6211</v>
      </c>
      <c r="B6272" s="138">
        <f>'Acct Summary 7-8'!H82</f>
        <v>-5578</v>
      </c>
      <c r="D6272" s="2" t="str">
        <f t="shared" si="97"/>
        <v>Error?</v>
      </c>
      <c r="E6272" s="2" t="s">
        <v>199</v>
      </c>
    </row>
    <row r="6273" spans="1:5" x14ac:dyDescent="0.2">
      <c r="A6273">
        <v>6212</v>
      </c>
      <c r="B6273" s="138">
        <f>'Acct Summary 7-8'!I82</f>
        <v>15150</v>
      </c>
      <c r="D6273" s="2" t="str">
        <f t="shared" si="97"/>
        <v>Error?</v>
      </c>
      <c r="E6273" s="2" t="s">
        <v>199</v>
      </c>
    </row>
    <row r="6274" spans="1:5" x14ac:dyDescent="0.2">
      <c r="A6274">
        <v>6213</v>
      </c>
      <c r="B6274" s="138">
        <f>'Acct Summary 7-8'!J82</f>
        <v>9543</v>
      </c>
      <c r="D6274" s="2" t="str">
        <f t="shared" si="97"/>
        <v>Error?</v>
      </c>
      <c r="E6274" s="2" t="s">
        <v>199</v>
      </c>
    </row>
    <row r="6275" spans="1:5" x14ac:dyDescent="0.2">
      <c r="A6275">
        <v>6214</v>
      </c>
      <c r="B6275" s="138">
        <f>'Acct Summary 7-8'!K82</f>
        <v>10067</v>
      </c>
      <c r="D6275" s="2" t="str">
        <f t="shared" si="97"/>
        <v>Error?</v>
      </c>
      <c r="E6275" s="2" t="s">
        <v>199</v>
      </c>
    </row>
    <row r="6276" spans="1:5" x14ac:dyDescent="0.2">
      <c r="A6276">
        <v>6215</v>
      </c>
      <c r="B6276" s="138">
        <f>'Acct Summary 7-8'!C83</f>
        <v>0.18265430794234858</v>
      </c>
      <c r="D6276" s="2" t="str">
        <f t="shared" si="97"/>
        <v>Error?</v>
      </c>
      <c r="E6276" s="2" t="s">
        <v>199</v>
      </c>
    </row>
    <row r="6277" spans="1:5" x14ac:dyDescent="0.2">
      <c r="A6277">
        <v>6216</v>
      </c>
      <c r="B6277" s="138">
        <f>'Acct Summary 7-8'!D83</f>
        <v>9.9758035691954183E-2</v>
      </c>
      <c r="D6277" s="2" t="str">
        <f t="shared" si="97"/>
        <v>Error?</v>
      </c>
      <c r="E6277" s="2" t="s">
        <v>199</v>
      </c>
    </row>
    <row r="6278" spans="1:5" x14ac:dyDescent="0.2">
      <c r="A6278">
        <v>6217</v>
      </c>
      <c r="B6278" s="138">
        <f>'Acct Summary 7-8'!E83</f>
        <v>-1.5669375652078414</v>
      </c>
      <c r="D6278" s="2" t="str">
        <f t="shared" si="97"/>
        <v>Error?</v>
      </c>
      <c r="E6278" s="2" t="s">
        <v>199</v>
      </c>
    </row>
    <row r="6279" spans="1:5" x14ac:dyDescent="0.2">
      <c r="A6279">
        <v>6218</v>
      </c>
      <c r="B6279" s="138">
        <f>'Acct Summary 7-8'!F83</f>
        <v>0.2885350535743389</v>
      </c>
      <c r="D6279" s="2" t="str">
        <f t="shared" si="97"/>
        <v>Error?</v>
      </c>
      <c r="E6279" s="2" t="s">
        <v>199</v>
      </c>
    </row>
    <row r="6280" spans="1:5" x14ac:dyDescent="0.2">
      <c r="A6280">
        <v>6219</v>
      </c>
      <c r="B6280" s="138">
        <f>'Acct Summary 7-8'!G83</f>
        <v>0.33635664216105315</v>
      </c>
      <c r="D6280" s="2" t="str">
        <f t="shared" si="97"/>
        <v>Error?</v>
      </c>
      <c r="E6280" s="2" t="s">
        <v>199</v>
      </c>
    </row>
    <row r="6281" spans="1:5" x14ac:dyDescent="0.2">
      <c r="A6281">
        <v>6220</v>
      </c>
      <c r="B6281" s="138">
        <f>'Acct Summary 7-8'!H83</f>
        <v>-0.13372650556194859</v>
      </c>
      <c r="D6281" s="2" t="str">
        <f t="shared" si="97"/>
        <v>Error?</v>
      </c>
      <c r="E6281" s="2" t="s">
        <v>199</v>
      </c>
    </row>
    <row r="6282" spans="1:5" x14ac:dyDescent="0.2">
      <c r="A6282">
        <v>6221</v>
      </c>
      <c r="B6282" s="138">
        <f>'Acct Summary 7-8'!I83</f>
        <v>5.5330661878890495E-3</v>
      </c>
      <c r="D6282" s="2" t="str">
        <f t="shared" si="97"/>
        <v>Error?</v>
      </c>
      <c r="E6282" s="2" t="s">
        <v>199</v>
      </c>
    </row>
    <row r="6283" spans="1:5" x14ac:dyDescent="0.2">
      <c r="A6283">
        <v>6222</v>
      </c>
      <c r="B6283" s="138">
        <f>'Acct Summary 7-8'!J83</f>
        <v>0.22194055537466859</v>
      </c>
      <c r="D6283" s="2" t="str">
        <f t="shared" si="97"/>
        <v>Error?</v>
      </c>
      <c r="E6283" s="2" t="s">
        <v>199</v>
      </c>
    </row>
    <row r="6284" spans="1:5" x14ac:dyDescent="0.2">
      <c r="A6284">
        <v>6223</v>
      </c>
      <c r="B6284" s="138">
        <f>'Acct Summary 7-8'!K83</f>
        <v>0.12366410338304303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8988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8988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555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555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6632</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57543</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9543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174665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744349</v>
      </c>
      <c r="D6880" s="2" t="str">
        <f t="shared" si="106"/>
        <v>Error?</v>
      </c>
    </row>
    <row r="6881" spans="1:4" x14ac:dyDescent="0.2">
      <c r="A6881">
        <v>6820</v>
      </c>
      <c r="B6881" s="138">
        <f>'Expenditures 15-22'!K22</f>
        <v>744349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773</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505</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1278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301</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182448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182448</v>
      </c>
      <c r="D6940" s="2" t="str">
        <f t="shared" si="107"/>
        <v>Error?</v>
      </c>
    </row>
    <row r="6941" spans="1:4" x14ac:dyDescent="0.2">
      <c r="A6941">
        <v>6880</v>
      </c>
      <c r="B6941" s="138">
        <f>'Expenditures 15-22'!L52</f>
        <v>245000</v>
      </c>
      <c r="D6941" s="2" t="str">
        <f t="shared" si="107"/>
        <v>Error?</v>
      </c>
    </row>
    <row r="6942" spans="1:4" x14ac:dyDescent="0.2">
      <c r="A6942">
        <v>6881</v>
      </c>
      <c r="B6942" s="138">
        <f>'Expenditures 15-22'!I53</f>
        <v>301</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332</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332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1911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32341</v>
      </c>
      <c r="D6991" s="2" t="str">
        <f t="shared" si="108"/>
        <v>Error?</v>
      </c>
    </row>
    <row r="6992" spans="1:4" x14ac:dyDescent="0.2">
      <c r="A6992">
        <v>6931</v>
      </c>
      <c r="B6992" s="138">
        <f>'Expenditures 15-22'!K90</f>
        <v>32341</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32341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1911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9543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9543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155840</v>
      </c>
      <c r="D7263" s="2" t="str">
        <f t="shared" si="112"/>
        <v>Error?</v>
      </c>
    </row>
    <row r="7264" spans="1:4" x14ac:dyDescent="0.2">
      <c r="A7264">
        <f t="shared" si="113"/>
        <v>7203</v>
      </c>
      <c r="B7264" s="138">
        <f>'Expenditures 15-22'!D17</f>
        <v>13785</v>
      </c>
      <c r="D7264" s="2" t="str">
        <f t="shared" si="112"/>
        <v>Error?</v>
      </c>
    </row>
    <row r="7265" spans="1:5" x14ac:dyDescent="0.2">
      <c r="A7265">
        <f t="shared" si="113"/>
        <v>7204</v>
      </c>
      <c r="B7265" s="138">
        <f>'Expenditures 15-22'!E17</f>
        <v>2448</v>
      </c>
      <c r="D7265" s="2" t="str">
        <f t="shared" si="112"/>
        <v>Error?</v>
      </c>
    </row>
    <row r="7266" spans="1:5" x14ac:dyDescent="0.2">
      <c r="A7266">
        <f t="shared" si="113"/>
        <v>7205</v>
      </c>
      <c r="B7266" s="138">
        <f>'Expenditures 15-22'!F17</f>
        <v>2592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463943</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463943</v>
      </c>
      <c r="D7609" s="2" t="str">
        <f t="shared" si="122"/>
        <v>Error?</v>
      </c>
      <c r="E7609" s="2" t="s">
        <v>19</v>
      </c>
    </row>
    <row r="7610" spans="1:5" x14ac:dyDescent="0.2">
      <c r="A7610">
        <f t="shared" si="123"/>
        <v>7549</v>
      </c>
      <c r="B7610" s="138">
        <f>'Cap Outlay Deprec 26'!H9</f>
        <v>157833</v>
      </c>
      <c r="D7610" s="2" t="str">
        <f t="shared" si="122"/>
        <v>Error?</v>
      </c>
      <c r="E7610" s="2" t="s">
        <v>19</v>
      </c>
    </row>
    <row r="7611" spans="1:5" x14ac:dyDescent="0.2">
      <c r="A7611">
        <f t="shared" si="123"/>
        <v>7550</v>
      </c>
      <c r="B7611" s="138">
        <f>'Cap Outlay Deprec 26'!I9</f>
        <v>37116</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194949</v>
      </c>
      <c r="D7613" s="2" t="str">
        <f t="shared" si="122"/>
        <v>Error?</v>
      </c>
      <c r="E7613" s="2" t="s">
        <v>19</v>
      </c>
    </row>
    <row r="7614" spans="1:5" x14ac:dyDescent="0.2">
      <c r="A7614">
        <f t="shared" si="123"/>
        <v>7553</v>
      </c>
      <c r="B7614" s="138">
        <f>'Cap Outlay Deprec 26'!L9</f>
        <v>268994</v>
      </c>
      <c r="D7614" s="2" t="str">
        <f t="shared" si="122"/>
        <v>Error?</v>
      </c>
      <c r="E7614" s="2" t="s">
        <v>19</v>
      </c>
    </row>
    <row r="7615" spans="1:5" x14ac:dyDescent="0.2">
      <c r="A7615">
        <f t="shared" si="123"/>
        <v>7554</v>
      </c>
      <c r="B7615" s="138">
        <f>'Cap Outlay Deprec 26'!C14</f>
        <v>984241</v>
      </c>
      <c r="D7615" s="2" t="str">
        <f t="shared" ref="D7615:D7678" si="124">IF(ISBLANK(B7615),"OK",IF(A7615-B7615=0,"OK","Error?"))</f>
        <v>Error?</v>
      </c>
      <c r="E7615" s="2" t="s">
        <v>19</v>
      </c>
    </row>
    <row r="7616" spans="1:5" x14ac:dyDescent="0.2">
      <c r="A7616">
        <f t="shared" si="123"/>
        <v>7555</v>
      </c>
      <c r="B7616" s="138">
        <f>'Cap Outlay Deprec 26'!D14</f>
        <v>343051</v>
      </c>
      <c r="D7616" s="2" t="str">
        <f t="shared" si="124"/>
        <v>Error?</v>
      </c>
      <c r="E7616" s="2" t="s">
        <v>19</v>
      </c>
    </row>
    <row r="7617" spans="1:5" x14ac:dyDescent="0.2">
      <c r="A7617">
        <f t="shared" si="123"/>
        <v>7556</v>
      </c>
      <c r="B7617" s="138">
        <f>'Cap Outlay Deprec 26'!E14</f>
        <v>136602</v>
      </c>
      <c r="D7617" s="2" t="str">
        <f t="shared" si="124"/>
        <v>Error?</v>
      </c>
      <c r="E7617" s="2" t="s">
        <v>19</v>
      </c>
    </row>
    <row r="7618" spans="1:5" x14ac:dyDescent="0.2">
      <c r="A7618">
        <f t="shared" si="123"/>
        <v>7557</v>
      </c>
      <c r="B7618" s="138">
        <f>'Cap Outlay Deprec 26'!F14</f>
        <v>1190690</v>
      </c>
      <c r="D7618" s="2" t="str">
        <f t="shared" si="124"/>
        <v>Error?</v>
      </c>
      <c r="E7618" s="2" t="s">
        <v>19</v>
      </c>
    </row>
    <row r="7619" spans="1:5" x14ac:dyDescent="0.2">
      <c r="A7619">
        <f t="shared" si="123"/>
        <v>7558</v>
      </c>
      <c r="B7619" s="138">
        <f>'Cap Outlay Deprec 26'!H14</f>
        <v>654887</v>
      </c>
      <c r="D7619" s="2" t="str">
        <f t="shared" si="124"/>
        <v>Error?</v>
      </c>
      <c r="E7619" s="2" t="s">
        <v>19</v>
      </c>
    </row>
    <row r="7620" spans="1:5" x14ac:dyDescent="0.2">
      <c r="A7620">
        <f t="shared" si="123"/>
        <v>7559</v>
      </c>
      <c r="B7620" s="138">
        <f>'Cap Outlay Deprec 26'!I14</f>
        <v>221852</v>
      </c>
      <c r="D7620" s="2" t="str">
        <f t="shared" si="124"/>
        <v>Error?</v>
      </c>
      <c r="E7620" s="2" t="s">
        <v>19</v>
      </c>
    </row>
    <row r="7621" spans="1:5" x14ac:dyDescent="0.2">
      <c r="A7621">
        <f t="shared" si="123"/>
        <v>7560</v>
      </c>
      <c r="B7621" s="138">
        <f>'Cap Outlay Deprec 26'!J14</f>
        <v>136602</v>
      </c>
      <c r="D7621" s="2" t="str">
        <f t="shared" si="124"/>
        <v>Error?</v>
      </c>
      <c r="E7621" s="2" t="s">
        <v>19</v>
      </c>
    </row>
    <row r="7622" spans="1:5" x14ac:dyDescent="0.2">
      <c r="A7622">
        <f t="shared" si="123"/>
        <v>7561</v>
      </c>
      <c r="B7622" s="138">
        <f>'Cap Outlay Deprec 26'!K14</f>
        <v>740137</v>
      </c>
      <c r="D7622" s="2" t="str">
        <f t="shared" si="124"/>
        <v>Error?</v>
      </c>
      <c r="E7622" s="2" t="s">
        <v>19</v>
      </c>
    </row>
    <row r="7623" spans="1:5" x14ac:dyDescent="0.2">
      <c r="A7623">
        <f t="shared" si="123"/>
        <v>7562</v>
      </c>
      <c r="B7623" s="138">
        <f>'Cap Outlay Deprec 26'!L14</f>
        <v>450553</v>
      </c>
      <c r="D7623" s="2" t="str">
        <f t="shared" si="124"/>
        <v>Error?</v>
      </c>
      <c r="E7623" s="2" t="s">
        <v>19</v>
      </c>
    </row>
    <row r="7624" spans="1:5" x14ac:dyDescent="0.2">
      <c r="A7624">
        <f t="shared" si="123"/>
        <v>7563</v>
      </c>
      <c r="B7624" s="138">
        <f>'Cap Outlay Deprec 26'!F17</f>
        <v>1911</v>
      </c>
      <c r="D7624" s="2" t="str">
        <f t="shared" si="124"/>
        <v>Error?</v>
      </c>
      <c r="E7624" s="2" t="s">
        <v>19</v>
      </c>
    </row>
    <row r="7625" spans="1:5" x14ac:dyDescent="0.2">
      <c r="A7625">
        <f t="shared" si="123"/>
        <v>7564</v>
      </c>
      <c r="B7625" s="138">
        <f>'Cap Outlay Deprec 26'!I17</f>
        <v>191.1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1246776.1000000001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225622</v>
      </c>
      <c r="D7797" s="2" t="str">
        <f t="shared" si="127"/>
        <v>Error?</v>
      </c>
      <c r="E7797" s="4" t="s">
        <v>2017</v>
      </c>
    </row>
    <row r="7798" spans="1:5" x14ac:dyDescent="0.2">
      <c r="A7798">
        <v>7737</v>
      </c>
      <c r="B7798" s="138">
        <f>'Contracts Paid in CY 29'!F141</f>
        <v>100000</v>
      </c>
      <c r="D7798" s="2" t="str">
        <f t="shared" si="127"/>
        <v>Error?</v>
      </c>
      <c r="E7798" s="4" t="s">
        <v>2017</v>
      </c>
    </row>
    <row r="7799" spans="1:5" x14ac:dyDescent="0.2">
      <c r="A7799">
        <v>7738</v>
      </c>
      <c r="B7799" s="138">
        <f>'Contracts Paid in CY 29'!G141</f>
        <v>125622</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7"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Bradley Bourbonnais CHSD 307</v>
      </c>
      <c r="B7" s="2404"/>
      <c r="C7" s="2404"/>
      <c r="D7" s="2441"/>
      <c r="E7" s="2442">
        <f>COVER!A13</f>
        <v>32046307016</v>
      </c>
      <c r="F7" s="2443"/>
      <c r="G7" s="2410" t="str">
        <f>COVER!T23</f>
        <v>065-018319</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Russell Leigh &amp; Associates</v>
      </c>
      <c r="H9" s="2417"/>
      <c r="I9" s="2417"/>
      <c r="J9" s="2417"/>
      <c r="K9" s="2417"/>
      <c r="L9" s="2418"/>
    </row>
    <row r="10" spans="1:29" ht="13.5" customHeight="1" x14ac:dyDescent="0.2">
      <c r="A10" s="2400" t="str">
        <f>COVER!A38</f>
        <v>Dr Scott Wakeley</v>
      </c>
      <c r="B10" s="2401"/>
      <c r="C10" s="2401"/>
      <c r="D10" s="2401"/>
      <c r="E10" s="2401"/>
      <c r="F10" s="2402"/>
      <c r="G10" s="2416" t="str">
        <f>COVER!T17</f>
        <v>228 East Main</v>
      </c>
      <c r="H10" s="2429"/>
      <c r="I10" s="2429"/>
      <c r="J10" s="2429"/>
      <c r="K10" s="2429"/>
      <c r="L10" s="2430"/>
    </row>
    <row r="11" spans="1:29" ht="13.5" customHeight="1" x14ac:dyDescent="0.2">
      <c r="A11" s="1185" t="s">
        <v>1599</v>
      </c>
      <c r="B11" s="1186"/>
      <c r="C11" s="1187"/>
      <c r="D11" s="1192"/>
      <c r="E11" s="1187"/>
      <c r="F11" s="1191"/>
      <c r="G11" s="2416" t="str">
        <f>COVER!T19</f>
        <v>Hoopeston</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admin@russleigh.com</v>
      </c>
      <c r="J13" s="2438"/>
      <c r="K13" s="2438"/>
      <c r="L13" s="2439"/>
    </row>
    <row r="14" spans="1:29" ht="13.5" customHeight="1" x14ac:dyDescent="0.2">
      <c r="A14" s="2416" t="str">
        <f>COVER!A19</f>
        <v>700 North Street</v>
      </c>
      <c r="B14" s="2429"/>
      <c r="C14" s="2429"/>
      <c r="D14" s="2429"/>
      <c r="E14" s="2429"/>
      <c r="F14" s="2430"/>
      <c r="G14" s="1196" t="s">
        <v>1247</v>
      </c>
      <c r="H14" s="1194"/>
      <c r="I14" s="1194"/>
      <c r="J14" s="1194"/>
      <c r="K14" s="1194"/>
      <c r="L14" s="1195"/>
    </row>
    <row r="15" spans="1:29" ht="13.5" customHeight="1" x14ac:dyDescent="0.2">
      <c r="A15" s="2416" t="str">
        <f>COVER!A21</f>
        <v>Bradley</v>
      </c>
      <c r="B15" s="2429"/>
      <c r="C15" s="2429"/>
      <c r="D15" s="2429"/>
      <c r="E15" s="2429"/>
      <c r="F15" s="2430"/>
      <c r="G15" s="2426" t="str">
        <f>COVER!T15</f>
        <v>Russ Leigh</v>
      </c>
      <c r="H15" s="2427"/>
      <c r="I15" s="2427"/>
      <c r="J15" s="2427"/>
      <c r="K15" s="2427"/>
      <c r="L15" s="2428"/>
    </row>
    <row r="16" spans="1:29" ht="12.2" customHeight="1" x14ac:dyDescent="0.2">
      <c r="A16" s="2406">
        <f>COVER!A25</f>
        <v>60915</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217-283-9336</v>
      </c>
      <c r="H18" s="2404"/>
      <c r="I18" s="2404"/>
      <c r="J18" s="2404"/>
      <c r="K18" s="2403" t="str">
        <f>COVER!X21</f>
        <v>217-283-9736</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25"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Bradley Bourbonnais CHSD 307</v>
      </c>
      <c r="B1" s="2440"/>
      <c r="C1" s="2440"/>
      <c r="D1" s="2440"/>
    </row>
    <row r="2" spans="1:11" s="1215" customFormat="1" ht="12.75" x14ac:dyDescent="0.2">
      <c r="A2" s="2445">
        <f>'Single Audit Cover'!E7</f>
        <v>32046307016</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Bradley Bourbonnais CHSD 307</v>
      </c>
      <c r="B1" s="2448"/>
      <c r="C1" s="2448"/>
      <c r="D1" s="2448"/>
      <c r="E1" s="2448"/>
    </row>
    <row r="2" spans="1:5" x14ac:dyDescent="0.2">
      <c r="A2" s="2449">
        <f>'Single Audit Cover'!E7</f>
        <v>32046307016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1250231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60798</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-317</v>
      </c>
    </row>
    <row r="19" spans="1:4" ht="13.5" thickBot="1" x14ac:dyDescent="0.25">
      <c r="A19" s="1265" t="s">
        <v>1297</v>
      </c>
      <c r="D19" s="1266">
        <f>SUM(D10:D17)</f>
        <v>1310712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1310712</v>
      </c>
    </row>
    <row r="33" spans="1:4" x14ac:dyDescent="0.2">
      <c r="D33" s="1269"/>
    </row>
    <row r="34" spans="1:4" x14ac:dyDescent="0.2">
      <c r="A34" s="317" t="s">
        <v>1294</v>
      </c>
    </row>
    <row r="35" spans="1:4" x14ac:dyDescent="0.2">
      <c r="A35" s="317" t="s">
        <v>1293</v>
      </c>
      <c r="B35" s="1258" t="s">
        <v>1292</v>
      </c>
      <c r="D35" s="1270">
        <v>1310712</v>
      </c>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1310712</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5" zoomScale="120" zoomScaleNormal="120" workbookViewId="0">
      <selection activeCell="C37" sqref="C3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Bradley Bourbonnais CHSD 307</v>
      </c>
      <c r="B1" s="2453"/>
      <c r="C1" s="2453"/>
      <c r="D1" s="2453"/>
      <c r="E1" s="2453"/>
      <c r="F1" s="2453"/>
    </row>
    <row r="2" spans="1:7" ht="13.5" customHeight="1" x14ac:dyDescent="0.2">
      <c r="A2" s="2454">
        <f>'Single Audit Cover'!E7</f>
        <v>32046307016</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2096</v>
      </c>
      <c r="B7" s="2452"/>
      <c r="C7" s="2452"/>
      <c r="D7" s="2452"/>
      <c r="E7" s="2452"/>
      <c r="F7" s="2452"/>
      <c r="G7" s="317" t="s">
        <v>1231</v>
      </c>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t="s">
        <v>2074</v>
      </c>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2" t="s">
        <v>2097</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t="s">
        <v>2098</v>
      </c>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2099</v>
      </c>
      <c r="B32" s="2461"/>
      <c r="C32" s="2461"/>
      <c r="D32" s="2461"/>
      <c r="E32" s="2461"/>
      <c r="F32" s="2461"/>
    </row>
    <row r="33" spans="1:6" ht="13.5" customHeight="1" x14ac:dyDescent="0.2">
      <c r="A33" s="328" t="s">
        <v>1509</v>
      </c>
      <c r="B33" s="328"/>
      <c r="C33" s="1288">
        <v>31572</v>
      </c>
      <c r="D33" s="1928"/>
      <c r="E33" s="1286"/>
    </row>
    <row r="34" spans="1:6" ht="13.5" customHeight="1" x14ac:dyDescent="0.2">
      <c r="A34" s="328" t="s">
        <v>1946</v>
      </c>
      <c r="B34" s="328"/>
      <c r="C34" s="1289">
        <v>29226</v>
      </c>
      <c r="D34" s="1928" t="s">
        <v>1671</v>
      </c>
      <c r="E34" s="2462">
        <f>+C33+C34</f>
        <v>60798</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t="s">
        <v>1231</v>
      </c>
      <c r="D37" s="1928"/>
      <c r="E37" s="1286"/>
    </row>
    <row r="38" spans="1:6" ht="14.25" customHeight="1" x14ac:dyDescent="0.2">
      <c r="A38" s="328"/>
      <c r="B38" s="328" t="s">
        <v>1510</v>
      </c>
      <c r="C38" s="1292" t="s">
        <v>2100</v>
      </c>
      <c r="D38" s="1928"/>
      <c r="E38" s="1286"/>
    </row>
    <row r="39" spans="1:6" ht="14.25" customHeight="1" x14ac:dyDescent="0.2">
      <c r="A39" s="328"/>
      <c r="B39" s="328" t="s">
        <v>1511</v>
      </c>
      <c r="C39" s="1292" t="s">
        <v>2100</v>
      </c>
      <c r="D39" s="1928"/>
      <c r="E39" s="1286"/>
    </row>
    <row r="40" spans="1:6" ht="14.25" customHeight="1" x14ac:dyDescent="0.2">
      <c r="A40" s="328"/>
      <c r="B40" s="328" t="s">
        <v>1512</v>
      </c>
      <c r="C40" s="1292" t="s">
        <v>2100</v>
      </c>
      <c r="D40" s="1928"/>
      <c r="E40" s="1286"/>
    </row>
    <row r="41" spans="1:6" ht="14.25" customHeight="1" x14ac:dyDescent="0.2">
      <c r="A41" s="328"/>
      <c r="B41" s="328" t="s">
        <v>1513</v>
      </c>
      <c r="C41" s="1292" t="s">
        <v>2100</v>
      </c>
      <c r="D41" s="1928"/>
      <c r="E41" s="1286"/>
    </row>
    <row r="42" spans="1:6" ht="14.25" customHeight="1" x14ac:dyDescent="0.2">
      <c r="A42" s="328" t="s">
        <v>1514</v>
      </c>
      <c r="B42" s="328"/>
      <c r="C42" s="1926" t="s">
        <v>2100</v>
      </c>
      <c r="D42" s="1928"/>
      <c r="E42" s="1286"/>
    </row>
    <row r="43" spans="1:6" ht="14.25" customHeight="1" x14ac:dyDescent="0.2">
      <c r="A43" s="328" t="s">
        <v>1515</v>
      </c>
      <c r="B43" s="328"/>
      <c r="C43" s="1293" t="s">
        <v>2100</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31" zoomScaleNormal="100" workbookViewId="0">
      <selection activeCell="F27" sqref="F2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Bradley Bourbonnais CHSD 307</v>
      </c>
      <c r="C1" s="2465"/>
      <c r="D1" s="2465"/>
      <c r="E1" s="2465"/>
      <c r="F1" s="2465"/>
      <c r="G1" s="2465"/>
      <c r="H1" s="2465"/>
      <c r="I1" s="2465"/>
      <c r="J1" s="2465"/>
      <c r="K1" s="2465"/>
      <c r="L1" s="2465"/>
      <c r="M1" s="2465"/>
    </row>
    <row r="2" spans="2:14" ht="15" x14ac:dyDescent="0.2">
      <c r="B2" s="2454">
        <f>'Single Audit Cover'!E7</f>
        <v>32046307016</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2102</v>
      </c>
      <c r="C11" s="1338"/>
      <c r="D11" s="1339"/>
      <c r="E11" s="1340"/>
      <c r="F11" s="1340"/>
      <c r="G11" s="1340"/>
      <c r="H11" s="1340"/>
      <c r="I11" s="1340"/>
      <c r="J11" s="1340"/>
      <c r="K11" s="1340"/>
      <c r="L11" s="1340">
        <f>+G11+I11+K11</f>
        <v>0</v>
      </c>
      <c r="M11" s="1340"/>
    </row>
    <row r="12" spans="2:14" ht="20.100000000000001" customHeight="1" x14ac:dyDescent="0.2">
      <c r="B12" s="1337" t="s">
        <v>2103</v>
      </c>
      <c r="C12" s="1341"/>
      <c r="D12" s="1342"/>
      <c r="E12" s="1343"/>
      <c r="F12" s="1343"/>
      <c r="G12" s="1343"/>
      <c r="H12" s="1343"/>
      <c r="I12" s="1343"/>
      <c r="J12" s="1343"/>
      <c r="K12" s="1343"/>
      <c r="L12" s="1340">
        <f t="shared" ref="L12:L18" si="0">+G12+I12+K12</f>
        <v>0</v>
      </c>
      <c r="M12" s="1343"/>
    </row>
    <row r="13" spans="2:14" ht="20.100000000000001" customHeight="1" x14ac:dyDescent="0.2">
      <c r="B13" s="1337" t="s">
        <v>2104</v>
      </c>
      <c r="C13" s="1341">
        <v>10.555</v>
      </c>
      <c r="D13" s="1342">
        <v>4210</v>
      </c>
      <c r="E13" s="1343">
        <v>266594</v>
      </c>
      <c r="F13" s="1343">
        <v>66346</v>
      </c>
      <c r="G13" s="1343">
        <v>266594</v>
      </c>
      <c r="H13" s="1343"/>
      <c r="I13" s="1343">
        <v>66346</v>
      </c>
      <c r="J13" s="1343"/>
      <c r="K13" s="1343"/>
      <c r="L13" s="1340">
        <f t="shared" si="0"/>
        <v>332940</v>
      </c>
      <c r="M13" s="1343"/>
    </row>
    <row r="14" spans="2:14" ht="20.100000000000001" customHeight="1" x14ac:dyDescent="0.2">
      <c r="B14" s="1337" t="s">
        <v>2105</v>
      </c>
      <c r="C14" s="1341">
        <v>10.555</v>
      </c>
      <c r="D14" s="1342">
        <v>4210</v>
      </c>
      <c r="E14" s="1343"/>
      <c r="F14" s="1343">
        <v>260409</v>
      </c>
      <c r="G14" s="1343"/>
      <c r="H14" s="1343"/>
      <c r="I14" s="1343">
        <v>260409</v>
      </c>
      <c r="J14" s="1343"/>
      <c r="K14" s="1343"/>
      <c r="L14" s="1340">
        <f t="shared" si="0"/>
        <v>260409</v>
      </c>
      <c r="M14" s="1343"/>
    </row>
    <row r="15" spans="2:14" ht="20.100000000000001" customHeight="1" x14ac:dyDescent="0.2">
      <c r="B15" s="1337" t="s">
        <v>2106</v>
      </c>
      <c r="C15" s="1341">
        <v>10.553000000000001</v>
      </c>
      <c r="D15" s="1342">
        <v>4220</v>
      </c>
      <c r="E15" s="1343">
        <v>40381</v>
      </c>
      <c r="F15" s="1343">
        <v>7599</v>
      </c>
      <c r="G15" s="1343">
        <v>40381</v>
      </c>
      <c r="H15" s="1343"/>
      <c r="I15" s="1343">
        <v>7599</v>
      </c>
      <c r="J15" s="1343"/>
      <c r="K15" s="1343"/>
      <c r="L15" s="1340">
        <f t="shared" si="0"/>
        <v>47980</v>
      </c>
      <c r="M15" s="1343"/>
    </row>
    <row r="16" spans="2:14" ht="20.100000000000001" customHeight="1" x14ac:dyDescent="0.2">
      <c r="B16" s="1337" t="s">
        <v>2107</v>
      </c>
      <c r="C16" s="1341">
        <v>10.553000000000001</v>
      </c>
      <c r="D16" s="1342">
        <v>4220</v>
      </c>
      <c r="E16" s="1343"/>
      <c r="F16" s="1343">
        <v>38096</v>
      </c>
      <c r="G16" s="1343"/>
      <c r="H16" s="1343"/>
      <c r="I16" s="1343">
        <v>38096</v>
      </c>
      <c r="J16" s="1343"/>
      <c r="K16" s="1343"/>
      <c r="L16" s="1340">
        <f t="shared" si="0"/>
        <v>38096</v>
      </c>
      <c r="M16" s="1343"/>
    </row>
    <row r="17" spans="2:14" ht="20.100000000000001" customHeight="1" x14ac:dyDescent="0.2">
      <c r="B17" s="1337" t="s">
        <v>2136</v>
      </c>
      <c r="C17" s="1341">
        <v>10.555</v>
      </c>
      <c r="D17" s="1342">
        <v>4250</v>
      </c>
      <c r="E17" s="1343"/>
      <c r="F17" s="1343">
        <v>31572</v>
      </c>
      <c r="G17" s="1343"/>
      <c r="H17" s="1343"/>
      <c r="I17" s="1343">
        <v>31572</v>
      </c>
      <c r="J17" s="1343"/>
      <c r="K17" s="1343"/>
      <c r="L17" s="1340">
        <f t="shared" si="0"/>
        <v>31572</v>
      </c>
      <c r="M17" s="1343"/>
    </row>
    <row r="18" spans="2:14" ht="20.100000000000001" customHeight="1" x14ac:dyDescent="0.2">
      <c r="B18" s="1337" t="s">
        <v>2108</v>
      </c>
      <c r="C18" s="1341">
        <v>10.555</v>
      </c>
      <c r="D18" s="1342">
        <v>4250</v>
      </c>
      <c r="E18" s="1343"/>
      <c r="F18" s="1343">
        <v>29226</v>
      </c>
      <c r="G18" s="1343"/>
      <c r="H18" s="1343"/>
      <c r="I18" s="1343">
        <v>29226</v>
      </c>
      <c r="J18" s="1343"/>
      <c r="K18" s="1343"/>
      <c r="L18" s="1340">
        <f t="shared" si="0"/>
        <v>29226</v>
      </c>
      <c r="M18" s="1343"/>
    </row>
    <row r="19" spans="2:14" ht="20.100000000000001" customHeight="1" x14ac:dyDescent="0.2">
      <c r="B19" s="1337" t="s">
        <v>2116</v>
      </c>
      <c r="C19" s="1341"/>
      <c r="D19" s="1342"/>
      <c r="E19" s="1343">
        <v>306975</v>
      </c>
      <c r="F19" s="1343">
        <v>433248</v>
      </c>
      <c r="G19" s="1343">
        <v>306975</v>
      </c>
      <c r="H19" s="1343"/>
      <c r="I19" s="1343">
        <v>433248</v>
      </c>
      <c r="J19" s="1343"/>
      <c r="K19" s="1343"/>
      <c r="L19" s="1340">
        <f t="shared" ref="L19:L26" si="1">+G19+I19+K19</f>
        <v>740223</v>
      </c>
      <c r="M19" s="1343"/>
    </row>
    <row r="20" spans="2:14" ht="20.100000000000001" customHeight="1" x14ac:dyDescent="0.2">
      <c r="B20" s="1337"/>
      <c r="C20" s="1341"/>
      <c r="D20" s="1342"/>
      <c r="E20" s="1343"/>
      <c r="F20" s="1343"/>
      <c r="G20" s="1343"/>
      <c r="H20" s="1343"/>
      <c r="I20" s="1343"/>
      <c r="J20" s="1343"/>
      <c r="K20" s="1343"/>
      <c r="L20" s="1340">
        <f t="shared" si="1"/>
        <v>0</v>
      </c>
      <c r="M20" s="1343"/>
    </row>
    <row r="21" spans="2:14" ht="20.100000000000001" customHeight="1" x14ac:dyDescent="0.2">
      <c r="B21" s="1337" t="s">
        <v>2109</v>
      </c>
      <c r="C21" s="1341"/>
      <c r="D21" s="1342"/>
      <c r="E21" s="1343"/>
      <c r="F21" s="1343"/>
      <c r="G21" s="1343"/>
      <c r="H21" s="1343"/>
      <c r="I21" s="1343"/>
      <c r="J21" s="1343"/>
      <c r="K21" s="1343"/>
      <c r="L21" s="1340">
        <f t="shared" si="1"/>
        <v>0</v>
      </c>
      <c r="M21" s="1343"/>
    </row>
    <row r="22" spans="2:14" ht="20.100000000000001" customHeight="1" x14ac:dyDescent="0.2">
      <c r="B22" s="1337" t="s">
        <v>2110</v>
      </c>
      <c r="C22" s="1341"/>
      <c r="D22" s="1342"/>
      <c r="E22" s="1343"/>
      <c r="F22" s="1343"/>
      <c r="G22" s="1343"/>
      <c r="H22" s="1343"/>
      <c r="I22" s="1343"/>
      <c r="J22" s="1343"/>
      <c r="K22" s="1343"/>
      <c r="L22" s="1340">
        <f t="shared" si="1"/>
        <v>0</v>
      </c>
      <c r="M22" s="1343"/>
    </row>
    <row r="23" spans="2:14" ht="20.100000000000001" customHeight="1" x14ac:dyDescent="0.2">
      <c r="B23" s="1337" t="s">
        <v>2111</v>
      </c>
      <c r="C23" s="1341" t="s">
        <v>2134</v>
      </c>
      <c r="D23" s="1342">
        <v>4300</v>
      </c>
      <c r="E23" s="1343">
        <v>167418</v>
      </c>
      <c r="F23" s="1343">
        <v>88196</v>
      </c>
      <c r="G23" s="1343">
        <v>217702</v>
      </c>
      <c r="H23" s="1343"/>
      <c r="I23" s="1343">
        <v>37912</v>
      </c>
      <c r="J23" s="1343"/>
      <c r="K23" s="1343"/>
      <c r="L23" s="1340">
        <f t="shared" si="1"/>
        <v>255614</v>
      </c>
      <c r="M23" s="1343">
        <v>291102</v>
      </c>
    </row>
    <row r="24" spans="2:14" ht="20.100000000000001" customHeight="1" x14ac:dyDescent="0.2">
      <c r="B24" s="1337" t="s">
        <v>2112</v>
      </c>
      <c r="C24" s="1341" t="s">
        <v>2134</v>
      </c>
      <c r="D24" s="1342">
        <v>4300</v>
      </c>
      <c r="E24" s="1343"/>
      <c r="F24" s="1343">
        <v>136079</v>
      </c>
      <c r="G24" s="1343"/>
      <c r="H24" s="1343"/>
      <c r="I24" s="1343">
        <v>220563</v>
      </c>
      <c r="J24" s="1343"/>
      <c r="K24" s="1343"/>
      <c r="L24" s="1340">
        <f t="shared" si="1"/>
        <v>220563</v>
      </c>
      <c r="M24" s="1343">
        <v>329714</v>
      </c>
    </row>
    <row r="25" spans="2:14" ht="20.100000000000001" customHeight="1" x14ac:dyDescent="0.2">
      <c r="B25" s="1337" t="s">
        <v>2113</v>
      </c>
      <c r="C25" s="1341" t="s">
        <v>2133</v>
      </c>
      <c r="D25" s="1342">
        <v>4620</v>
      </c>
      <c r="E25" s="1343">
        <v>226701</v>
      </c>
      <c r="F25" s="1343">
        <v>114768</v>
      </c>
      <c r="G25" s="1343">
        <v>341469</v>
      </c>
      <c r="H25" s="1343"/>
      <c r="I25" s="1343"/>
      <c r="J25" s="1343"/>
      <c r="K25" s="1343"/>
      <c r="L25" s="1340">
        <f t="shared" si="1"/>
        <v>341469</v>
      </c>
      <c r="M25" s="1343">
        <v>505317</v>
      </c>
    </row>
    <row r="26" spans="2:14" ht="20.100000000000001" customHeight="1" x14ac:dyDescent="0.2">
      <c r="B26" s="1337" t="s">
        <v>2114</v>
      </c>
      <c r="C26" s="1341" t="s">
        <v>2133</v>
      </c>
      <c r="D26" s="1342">
        <v>4620</v>
      </c>
      <c r="E26" s="1343"/>
      <c r="F26" s="1343">
        <v>429897</v>
      </c>
      <c r="G26" s="1343"/>
      <c r="H26" s="1343"/>
      <c r="I26" s="1343">
        <v>508769</v>
      </c>
      <c r="J26" s="1343"/>
      <c r="K26" s="1343"/>
      <c r="L26" s="1340">
        <f t="shared" si="1"/>
        <v>508769</v>
      </c>
      <c r="M26" s="1343">
        <v>603409</v>
      </c>
    </row>
    <row r="27" spans="2:14" ht="20.100000000000001" customHeight="1" x14ac:dyDescent="0.2">
      <c r="B27" s="1337" t="s">
        <v>1231</v>
      </c>
      <c r="C27" s="1341" t="s">
        <v>1231</v>
      </c>
      <c r="D27" s="1342" t="s">
        <v>1231</v>
      </c>
      <c r="E27" s="1343"/>
      <c r="F27" s="1343" t="s">
        <v>1231</v>
      </c>
      <c r="G27" s="1343"/>
      <c r="H27" s="1343"/>
      <c r="I27" s="1343" t="s">
        <v>1231</v>
      </c>
      <c r="J27" s="1343"/>
      <c r="K27" s="1343"/>
      <c r="L27" s="1340" t="s">
        <v>1231</v>
      </c>
      <c r="M27" s="1343" t="s">
        <v>1231</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2075</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t="s">
        <v>2081</v>
      </c>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F25" sqref="F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Bradley Bourbonnais CHSD 307</v>
      </c>
      <c r="C1" s="2465"/>
      <c r="D1" s="2465"/>
      <c r="E1" s="2465"/>
      <c r="F1" s="2465"/>
      <c r="G1" s="2465"/>
      <c r="H1" s="2465"/>
      <c r="I1" s="2465"/>
      <c r="J1" s="2465"/>
      <c r="K1" s="2465"/>
      <c r="L1" s="2465"/>
      <c r="M1" s="2465"/>
    </row>
    <row r="2" spans="2:14" ht="15" x14ac:dyDescent="0.2">
      <c r="B2" s="2454">
        <f>'Single Audit Cover'!E7</f>
        <v>32046307016</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2119</v>
      </c>
      <c r="C11" s="1338" t="s">
        <v>2135</v>
      </c>
      <c r="D11" s="1339">
        <v>4932</v>
      </c>
      <c r="E11" s="1340">
        <v>22514</v>
      </c>
      <c r="F11" s="1340">
        <v>10482</v>
      </c>
      <c r="G11" s="1340">
        <v>28135</v>
      </c>
      <c r="H11" s="1340"/>
      <c r="I11" s="1340">
        <v>4861</v>
      </c>
      <c r="J11" s="1340"/>
      <c r="K11" s="1340"/>
      <c r="L11" s="1340">
        <f>+G11+I11+K11</f>
        <v>32996</v>
      </c>
      <c r="M11" s="1340">
        <v>42468</v>
      </c>
    </row>
    <row r="12" spans="2:14" ht="20.100000000000001" customHeight="1" x14ac:dyDescent="0.2">
      <c r="B12" s="1337" t="s">
        <v>2120</v>
      </c>
      <c r="C12" s="1341" t="s">
        <v>2135</v>
      </c>
      <c r="D12" s="1342">
        <v>4932</v>
      </c>
      <c r="E12" s="1343"/>
      <c r="F12" s="1343">
        <v>6932</v>
      </c>
      <c r="G12" s="1343"/>
      <c r="H12" s="1343"/>
      <c r="I12" s="1343">
        <v>25686</v>
      </c>
      <c r="J12" s="1343"/>
      <c r="K12" s="1343"/>
      <c r="L12" s="1340">
        <f t="shared" ref="L12:L13" si="0">+G12+I12+K12</f>
        <v>25686</v>
      </c>
      <c r="M12" s="1343">
        <v>77297</v>
      </c>
    </row>
    <row r="13" spans="2:14" ht="20.100000000000001" customHeight="1" x14ac:dyDescent="0.2">
      <c r="B13" s="1337" t="s">
        <v>2121</v>
      </c>
      <c r="C13" s="1341">
        <v>84.424000000000007</v>
      </c>
      <c r="D13" s="1342">
        <v>4400</v>
      </c>
      <c r="E13" s="1343"/>
      <c r="F13" s="1343">
        <v>0</v>
      </c>
      <c r="G13" s="1343"/>
      <c r="H13" s="1343"/>
      <c r="I13" s="1343">
        <v>5969</v>
      </c>
      <c r="J13" s="1343"/>
      <c r="K13" s="1343"/>
      <c r="L13" s="1340">
        <f t="shared" si="0"/>
        <v>5969</v>
      </c>
      <c r="M13" s="1343">
        <v>10000</v>
      </c>
    </row>
    <row r="14" spans="2:14" ht="20.100000000000001" customHeight="1" x14ac:dyDescent="0.2">
      <c r="B14" s="1337" t="s">
        <v>2115</v>
      </c>
      <c r="C14" s="1341"/>
      <c r="D14" s="1342"/>
      <c r="E14" s="1343">
        <v>416633</v>
      </c>
      <c r="F14" s="1343">
        <v>786354</v>
      </c>
      <c r="G14" s="1343">
        <v>587306</v>
      </c>
      <c r="H14" s="1343"/>
      <c r="I14" s="1343">
        <v>803760</v>
      </c>
      <c r="J14" s="1343"/>
      <c r="K14" s="1343"/>
      <c r="L14" s="1340">
        <f t="shared" ref="L14" si="1">+G14+I14+K14</f>
        <v>1391066</v>
      </c>
      <c r="M14" s="1343"/>
    </row>
    <row r="15" spans="2:14" ht="20.100000000000001" customHeight="1" x14ac:dyDescent="0.2">
      <c r="B15" s="1337"/>
      <c r="C15" s="1341"/>
      <c r="D15" s="1342"/>
      <c r="E15" s="1343"/>
      <c r="F15" s="1343"/>
      <c r="G15" s="1343"/>
      <c r="H15" s="1343"/>
      <c r="I15" s="1343"/>
      <c r="J15" s="1343"/>
      <c r="K15" s="1343"/>
      <c r="L15" s="1340"/>
      <c r="M15" s="1343"/>
    </row>
    <row r="16" spans="2:14" ht="20.100000000000001" customHeight="1" x14ac:dyDescent="0.2">
      <c r="B16" s="1337" t="s">
        <v>2117</v>
      </c>
      <c r="C16" s="1341"/>
      <c r="D16" s="1342"/>
      <c r="E16" s="1343"/>
      <c r="F16" s="1343"/>
      <c r="G16" s="1343"/>
      <c r="H16" s="1343"/>
      <c r="I16" s="1343"/>
      <c r="J16" s="1343"/>
      <c r="K16" s="1343"/>
      <c r="L16" s="1340">
        <f t="shared" ref="L16:L19" si="2">+G16+I16+K16</f>
        <v>0</v>
      </c>
      <c r="M16" s="1343"/>
    </row>
    <row r="17" spans="2:14" ht="20.100000000000001" customHeight="1" x14ac:dyDescent="0.2">
      <c r="B17" s="1337" t="s">
        <v>2118</v>
      </c>
      <c r="C17" s="1341"/>
      <c r="D17" s="1342"/>
      <c r="E17" s="1343"/>
      <c r="F17" s="1343"/>
      <c r="G17" s="1343"/>
      <c r="H17" s="1343"/>
      <c r="I17" s="1343"/>
      <c r="J17" s="1343"/>
      <c r="K17" s="1343"/>
      <c r="L17" s="1340">
        <f t="shared" si="2"/>
        <v>0</v>
      </c>
      <c r="M17" s="1343"/>
    </row>
    <row r="18" spans="2:14" ht="20.100000000000001" customHeight="1" x14ac:dyDescent="0.2">
      <c r="B18" s="1337" t="s">
        <v>2122</v>
      </c>
      <c r="C18" s="1341">
        <v>84.126000000000005</v>
      </c>
      <c r="D18" s="1342" t="s">
        <v>2124</v>
      </c>
      <c r="E18" s="1343">
        <v>38491</v>
      </c>
      <c r="F18" s="1343">
        <v>6194</v>
      </c>
      <c r="G18" s="1343">
        <v>44685</v>
      </c>
      <c r="H18" s="1343"/>
      <c r="I18" s="1343"/>
      <c r="J18" s="1343"/>
      <c r="K18" s="1343"/>
      <c r="L18" s="1340">
        <f t="shared" si="2"/>
        <v>44685</v>
      </c>
      <c r="M18" s="1343">
        <v>66364</v>
      </c>
    </row>
    <row r="19" spans="2:14" ht="20.100000000000001" customHeight="1" x14ac:dyDescent="0.2">
      <c r="B19" s="1337" t="s">
        <v>2123</v>
      </c>
      <c r="C19" s="1341">
        <v>84.126000000000005</v>
      </c>
      <c r="D19" s="1342" t="s">
        <v>2125</v>
      </c>
      <c r="E19" s="1343"/>
      <c r="F19" s="1343">
        <v>57073</v>
      </c>
      <c r="G19" s="1343"/>
      <c r="H19" s="1343"/>
      <c r="I19" s="1343">
        <v>57073</v>
      </c>
      <c r="J19" s="1343"/>
      <c r="K19" s="1343"/>
      <c r="L19" s="1340">
        <f t="shared" si="2"/>
        <v>57073</v>
      </c>
      <c r="M19" s="1343">
        <v>66364</v>
      </c>
    </row>
    <row r="20" spans="2:14" ht="20.100000000000001" customHeight="1" x14ac:dyDescent="0.2">
      <c r="B20" s="1337" t="s">
        <v>2127</v>
      </c>
      <c r="C20" s="1341"/>
      <c r="D20" s="1342"/>
      <c r="E20" s="1343">
        <v>38491</v>
      </c>
      <c r="F20" s="1343">
        <v>63267</v>
      </c>
      <c r="G20" s="1343">
        <v>44685</v>
      </c>
      <c r="H20" s="1343"/>
      <c r="I20" s="1343">
        <v>57073</v>
      </c>
      <c r="J20" s="1343"/>
      <c r="K20" s="1343"/>
      <c r="L20" s="1340">
        <f t="shared" ref="L20" si="3">+G20+I20+K20</f>
        <v>101758</v>
      </c>
      <c r="M20" s="1343"/>
    </row>
    <row r="21" spans="2:14" ht="20.100000000000001" customHeight="1" x14ac:dyDescent="0.2">
      <c r="B21" s="1337" t="s">
        <v>2126</v>
      </c>
      <c r="C21" s="1341"/>
      <c r="D21" s="1342"/>
      <c r="E21" s="1343" t="s">
        <v>1231</v>
      </c>
      <c r="F21" s="1343" t="s">
        <v>1231</v>
      </c>
      <c r="G21" s="1343" t="s">
        <v>1231</v>
      </c>
      <c r="H21" s="1343"/>
      <c r="I21" s="1343" t="s">
        <v>1231</v>
      </c>
      <c r="J21" s="1343"/>
      <c r="K21" s="1343"/>
      <c r="L21" s="1340" t="s">
        <v>1231</v>
      </c>
      <c r="M21" s="1343"/>
    </row>
    <row r="22" spans="2:14" ht="20.100000000000001" customHeight="1" x14ac:dyDescent="0.2">
      <c r="B22" s="1337" t="s">
        <v>2128</v>
      </c>
      <c r="C22" s="1341"/>
      <c r="D22" s="1342"/>
      <c r="E22" s="1343"/>
      <c r="F22" s="1343"/>
      <c r="G22" s="1343"/>
      <c r="H22" s="1343"/>
      <c r="I22" s="1343"/>
      <c r="J22" s="1343"/>
      <c r="K22" s="1343"/>
      <c r="L22" s="1340">
        <f t="shared" ref="L22:L27" si="4">+G22+I22+K22</f>
        <v>0</v>
      </c>
      <c r="M22" s="1343"/>
    </row>
    <row r="23" spans="2:14" ht="20.100000000000001" customHeight="1" x14ac:dyDescent="0.2">
      <c r="B23" s="1337" t="s">
        <v>2129</v>
      </c>
      <c r="C23" s="1341"/>
      <c r="D23" s="1342"/>
      <c r="E23" s="1343"/>
      <c r="F23" s="1343"/>
      <c r="G23" s="1343"/>
      <c r="H23" s="1343"/>
      <c r="I23" s="1343"/>
      <c r="J23" s="1343"/>
      <c r="K23" s="1343"/>
      <c r="L23" s="1340">
        <f t="shared" si="4"/>
        <v>0</v>
      </c>
      <c r="M23" s="1343"/>
    </row>
    <row r="24" spans="2:14" ht="20.100000000000001" customHeight="1" x14ac:dyDescent="0.2">
      <c r="B24" s="1337" t="s">
        <v>2130</v>
      </c>
      <c r="C24" s="1341">
        <v>93.778000000000006</v>
      </c>
      <c r="D24" s="1342">
        <v>4992</v>
      </c>
      <c r="E24" s="1343"/>
      <c r="F24" s="1343">
        <v>27843</v>
      </c>
      <c r="G24" s="1343"/>
      <c r="H24" s="1343"/>
      <c r="I24" s="1343">
        <v>27843</v>
      </c>
      <c r="J24" s="1343"/>
      <c r="K24" s="1343"/>
      <c r="L24" s="1340">
        <f t="shared" si="4"/>
        <v>27843</v>
      </c>
      <c r="M24" s="1343"/>
    </row>
    <row r="25" spans="2:14" ht="20.100000000000001" customHeight="1" x14ac:dyDescent="0.2">
      <c r="B25" s="1337" t="s">
        <v>2131</v>
      </c>
      <c r="C25" s="1341" t="s">
        <v>1231</v>
      </c>
      <c r="D25" s="1342" t="s">
        <v>1231</v>
      </c>
      <c r="E25" s="1343"/>
      <c r="F25" s="1343">
        <v>27843</v>
      </c>
      <c r="G25" s="1343"/>
      <c r="H25" s="1343"/>
      <c r="I25" s="1343">
        <v>27843</v>
      </c>
      <c r="J25" s="1343"/>
      <c r="K25" s="1343"/>
      <c r="L25" s="1340">
        <f t="shared" si="4"/>
        <v>27843</v>
      </c>
      <c r="M25" s="1343"/>
    </row>
    <row r="26" spans="2:14" ht="20.100000000000001" customHeight="1" x14ac:dyDescent="0.2">
      <c r="B26" s="1337"/>
      <c r="C26" s="1341" t="s">
        <v>1231</v>
      </c>
      <c r="D26" s="1342" t="s">
        <v>1231</v>
      </c>
      <c r="E26" s="1343"/>
      <c r="F26" s="1343" t="s">
        <v>1231</v>
      </c>
      <c r="G26" s="1343"/>
      <c r="H26" s="1343"/>
      <c r="I26" s="1343" t="s">
        <v>1231</v>
      </c>
      <c r="J26" s="1343"/>
      <c r="K26" s="1343"/>
      <c r="L26" s="1340" t="s">
        <v>1231</v>
      </c>
      <c r="M26" s="1343"/>
    </row>
    <row r="27" spans="2:14" ht="20.100000000000001" customHeight="1" x14ac:dyDescent="0.2">
      <c r="B27" s="1337" t="s">
        <v>2132</v>
      </c>
      <c r="C27" s="1341"/>
      <c r="D27" s="1342"/>
      <c r="E27" s="1343">
        <v>762099</v>
      </c>
      <c r="F27" s="1343">
        <v>1310712</v>
      </c>
      <c r="G27" s="1343">
        <v>938966</v>
      </c>
      <c r="H27" s="1343"/>
      <c r="I27" s="1343">
        <v>1321924</v>
      </c>
      <c r="J27" s="1343"/>
      <c r="K27" s="1343"/>
      <c r="L27" s="1340">
        <f t="shared" si="4"/>
        <v>2260890</v>
      </c>
      <c r="M27" s="1343" t="s">
        <v>1231</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F11" sqref="F1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Bradley Bourbonnais CHSD 307</v>
      </c>
      <c r="C1" s="2473"/>
      <c r="D1" s="2473"/>
      <c r="E1" s="2473"/>
      <c r="F1" s="2473"/>
      <c r="G1" s="2473"/>
      <c r="H1" s="2473"/>
      <c r="I1" s="2473"/>
      <c r="J1" s="1422"/>
    </row>
    <row r="2" spans="2:10" s="317" customFormat="1" ht="12.75" customHeight="1" x14ac:dyDescent="0.2">
      <c r="B2" s="2474">
        <f>'Single Audit Cover'!E7</f>
        <v>32046307016</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t="s">
        <v>2138</v>
      </c>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1231</v>
      </c>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0" t="s">
        <v>1851</v>
      </c>
      <c r="D37" s="2481"/>
      <c r="E37" s="2481"/>
      <c r="F37" s="2482"/>
      <c r="G37" s="2480" t="s">
        <v>1674</v>
      </c>
      <c r="H37" s="2481"/>
      <c r="I37" s="2482"/>
    </row>
    <row r="38" spans="2:9" ht="16.5" customHeight="1" x14ac:dyDescent="0.2">
      <c r="B38" s="1444">
        <v>10.555</v>
      </c>
      <c r="C38" s="2468" t="s">
        <v>1118</v>
      </c>
      <c r="D38" s="2469"/>
      <c r="E38" s="2469"/>
      <c r="F38" s="2470"/>
      <c r="G38" s="2483">
        <v>326755</v>
      </c>
      <c r="H38" s="2484"/>
      <c r="I38" s="2485"/>
    </row>
    <row r="39" spans="2:9" ht="16.5" customHeight="1" x14ac:dyDescent="0.2">
      <c r="B39" s="1444" t="s">
        <v>2133</v>
      </c>
      <c r="C39" s="2468" t="s">
        <v>2137</v>
      </c>
      <c r="D39" s="2469"/>
      <c r="E39" s="2469"/>
      <c r="F39" s="2470"/>
      <c r="G39" s="2471">
        <v>508769</v>
      </c>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835524</v>
      </c>
      <c r="H43" s="2489"/>
      <c r="I43" s="2489"/>
    </row>
    <row r="44" spans="2:9" ht="12.75" customHeight="1" x14ac:dyDescent="0.2"/>
    <row r="45" spans="2:9" ht="12.75" customHeight="1" x14ac:dyDescent="0.2">
      <c r="B45" s="1435" t="s">
        <v>1949</v>
      </c>
      <c r="D45" s="2490">
        <v>1321924</v>
      </c>
      <c r="E45" s="2491"/>
    </row>
    <row r="46" spans="2:9" ht="5.25" customHeight="1" x14ac:dyDescent="0.2">
      <c r="B46" s="1445"/>
      <c r="D46" s="1446"/>
      <c r="E46" s="1447"/>
    </row>
    <row r="47" spans="2:9" ht="12.75" customHeight="1" x14ac:dyDescent="0.2">
      <c r="B47" s="1300" t="s">
        <v>1676</v>
      </c>
      <c r="C47" s="1300"/>
      <c r="D47" s="1448">
        <f>+G43/D45</f>
        <v>0.6320514643807057</v>
      </c>
      <c r="E47" s="1449"/>
      <c r="F47" s="1450"/>
      <c r="I47" s="1451"/>
    </row>
    <row r="48" spans="2:9" ht="9.9499999999999993" customHeight="1" x14ac:dyDescent="0.2"/>
    <row r="49" spans="1:9" x14ac:dyDescent="0.2">
      <c r="B49" s="1368" t="s">
        <v>1335</v>
      </c>
      <c r="C49" s="1282"/>
      <c r="D49" s="1282"/>
      <c r="E49" s="2492">
        <v>750000</v>
      </c>
      <c r="F49" s="2492"/>
      <c r="G49" s="2492"/>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1" sqref="B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Bradley Bourbonnais CHSD 307</v>
      </c>
      <c r="C1" s="2472"/>
      <c r="D1" s="2472"/>
      <c r="E1" s="2472"/>
      <c r="F1" s="2472"/>
      <c r="G1" s="2472"/>
      <c r="H1" s="2472"/>
      <c r="I1" s="2472"/>
      <c r="J1" s="2472"/>
      <c r="K1" s="2472"/>
      <c r="L1" s="1374"/>
      <c r="M1" s="1374"/>
    </row>
    <row r="2" spans="1:13" ht="12" customHeight="1" x14ac:dyDescent="0.2">
      <c r="B2" s="2474">
        <f>'Single Audit Cover'!E7</f>
        <v>32046307016</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Bradley Bourbonnais CHSD 307</v>
      </c>
      <c r="C1" s="2499"/>
      <c r="D1" s="2499"/>
      <c r="E1" s="2499"/>
      <c r="F1" s="2499"/>
      <c r="G1" s="2499"/>
      <c r="H1" s="2499"/>
      <c r="I1" s="2499"/>
      <c r="J1" s="2499"/>
      <c r="K1" s="2499"/>
      <c r="L1" s="1465"/>
    </row>
    <row r="2" spans="1:12" ht="12.75" customHeight="1" x14ac:dyDescent="0.2">
      <c r="B2" s="2500">
        <f>'Single Audit Cover'!E7</f>
        <v>32046307016</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2" sqref="C1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Bradley Bourbonnais CHSD 307</v>
      </c>
      <c r="C1" s="2472"/>
      <c r="D1" s="2472"/>
      <c r="E1" s="1491"/>
    </row>
    <row r="2" spans="2:5" s="1282" customFormat="1" ht="12.75" customHeight="1" x14ac:dyDescent="0.2">
      <c r="B2" s="2474">
        <f>'Single Audit Cover'!E7</f>
        <v>32046307016</v>
      </c>
      <c r="C2" s="2474"/>
      <c r="D2" s="2474"/>
      <c r="E2" s="1492"/>
    </row>
    <row r="3" spans="2:5" ht="12.75" customHeight="1" x14ac:dyDescent="0.2">
      <c r="B3" s="2495" t="s">
        <v>1866</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2139</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715871934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1.4617E-2</v>
      </c>
      <c r="E10" s="356" t="s">
        <v>1062</v>
      </c>
      <c r="F10" s="355">
        <v>4.1980000000000003E-3</v>
      </c>
      <c r="G10" s="356" t="s">
        <v>1062</v>
      </c>
      <c r="H10" s="355">
        <v>1.191E-3</v>
      </c>
      <c r="I10" s="356" t="s">
        <v>1063</v>
      </c>
      <c r="J10" s="1754">
        <f>ROUND(D10+F10+H10,5)</f>
        <v>2.001E-2</v>
      </c>
      <c r="K10" s="222"/>
      <c r="L10" s="355">
        <v>1.4E-5</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23803442</v>
      </c>
      <c r="E16" s="356"/>
      <c r="F16" s="1755">
        <f>SUM('Acct Summary 7-8'!C17,'Acct Summary 7-8'!D17,'Acct Summary 7-8'!F17)</f>
        <v>21780045</v>
      </c>
      <c r="G16" s="356"/>
      <c r="H16" s="1755">
        <f>SUM(D16-F16)</f>
        <v>2023397</v>
      </c>
      <c r="I16" s="222"/>
      <c r="J16" s="1755">
        <f>SUM('Acct Summary 7-8'!C81,'Acct Summary 7-8'!D81,'Acct Summary 7-8'!F81,'Acct Summary 7-8'!I81)</f>
        <v>14655702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57">
        <f>IF(B31="X",(J7*0.069),IF(B32="X",(J7*0.138),"Enter x in a.or b."))</f>
        <v>49395163.446000002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11390000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Bradley Bourbonnais CHSD 307</v>
      </c>
      <c r="E7" s="391"/>
      <c r="G7" s="252"/>
      <c r="H7" s="387"/>
      <c r="I7" s="387"/>
      <c r="J7" s="387"/>
      <c r="K7" s="387"/>
      <c r="L7" s="329"/>
      <c r="M7" s="329"/>
      <c r="N7" s="329"/>
      <c r="O7" s="329"/>
      <c r="P7" s="329"/>
    </row>
    <row r="8" spans="1:18" ht="12.75" x14ac:dyDescent="0.2">
      <c r="A8" s="329"/>
      <c r="B8" s="329"/>
      <c r="C8" s="389" t="s">
        <v>1187</v>
      </c>
      <c r="D8" s="392">
        <f>COVER!A13</f>
        <v>32046307016</v>
      </c>
      <c r="E8" s="393"/>
      <c r="G8" s="329"/>
      <c r="H8" s="329"/>
      <c r="I8" s="329"/>
      <c r="J8" s="329"/>
      <c r="K8" s="329"/>
      <c r="L8" s="329"/>
      <c r="M8" s="329"/>
      <c r="N8" s="329"/>
      <c r="O8" s="329"/>
      <c r="P8" s="329"/>
    </row>
    <row r="9" spans="1:18" ht="12.75" x14ac:dyDescent="0.2">
      <c r="A9" s="329"/>
      <c r="B9" s="329"/>
      <c r="C9" s="389" t="s">
        <v>737</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14655702</v>
      </c>
      <c r="I12" s="404"/>
      <c r="J12" s="404"/>
      <c r="K12" s="405">
        <f>TRUNC((H12/H13*100000),5)/100000</f>
        <v>0.61569675509999999</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23803442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21780045</v>
      </c>
      <c r="I17" s="404"/>
      <c r="J17" s="416"/>
      <c r="K17" s="405">
        <f>TRUNC((H17/H18*100000),5)/100000</f>
        <v>0.91499561279999997</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23803442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14655702</v>
      </c>
      <c r="I24" s="422"/>
      <c r="J24" s="422"/>
      <c r="K24" s="423">
        <f>TRUNC(((H24/H25*100000)/100000),2)</f>
        <v>242.24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60500.125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12175907.78944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11390000</v>
      </c>
      <c r="I32" s="420"/>
      <c r="J32" s="420"/>
      <c r="K32" s="423">
        <f>TRUNC(100-((((H32/H33*100))*100)/100),2)</f>
        <v>76.94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49395163.446000002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3" activePane="bottomLeft" state="frozen"/>
      <selection activeCell="A47" sqref="A47"/>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285736</v>
      </c>
      <c r="D4" s="466">
        <v>7178</v>
      </c>
      <c r="E4" s="466">
        <v>22284</v>
      </c>
      <c r="F4" s="466">
        <v>109288</v>
      </c>
      <c r="G4" s="466">
        <v>73799</v>
      </c>
      <c r="H4" s="466">
        <v>2468</v>
      </c>
      <c r="I4" s="466">
        <v>309</v>
      </c>
      <c r="J4" s="467">
        <v>27</v>
      </c>
      <c r="K4" s="466">
        <v>1453</v>
      </c>
      <c r="L4" s="466">
        <v>425590</v>
      </c>
      <c r="M4" s="468"/>
      <c r="N4" s="469"/>
    </row>
    <row r="5" spans="1:14" x14ac:dyDescent="0.2">
      <c r="A5" s="463" t="s">
        <v>1049</v>
      </c>
      <c r="B5" s="470">
        <v>120</v>
      </c>
      <c r="C5" s="465">
        <v>6594370</v>
      </c>
      <c r="D5" s="466">
        <v>3711139</v>
      </c>
      <c r="E5" s="466">
        <v>50560</v>
      </c>
      <c r="F5" s="466">
        <v>1209907</v>
      </c>
      <c r="G5" s="466">
        <v>160161</v>
      </c>
      <c r="H5" s="466">
        <v>39244</v>
      </c>
      <c r="I5" s="466">
        <v>2737775</v>
      </c>
      <c r="J5" s="467">
        <v>42971</v>
      </c>
      <c r="K5" s="471">
        <v>79953</v>
      </c>
      <c r="L5" s="472">
        <v>88342</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6880106</v>
      </c>
      <c r="D13" s="1759">
        <f t="shared" ref="D13:L13" si="0">SUM(D4:D12)</f>
        <v>3718317</v>
      </c>
      <c r="E13" s="1759">
        <f t="shared" si="0"/>
        <v>72844</v>
      </c>
      <c r="F13" s="1759">
        <f t="shared" si="0"/>
        <v>1319195</v>
      </c>
      <c r="G13" s="1759">
        <f t="shared" si="0"/>
        <v>233960</v>
      </c>
      <c r="H13" s="1759">
        <f t="shared" si="0"/>
        <v>41712</v>
      </c>
      <c r="I13" s="1759">
        <f t="shared" si="0"/>
        <v>2738084</v>
      </c>
      <c r="J13" s="1759">
        <f t="shared" si="0"/>
        <v>42998</v>
      </c>
      <c r="K13" s="1759">
        <f t="shared" si="0"/>
        <v>81406</v>
      </c>
      <c r="L13" s="1759">
        <f t="shared" si="0"/>
        <v>513932</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5381544</v>
      </c>
      <c r="N16" s="484"/>
    </row>
    <row r="17" spans="1:14" s="485" customFormat="1" ht="12.75" customHeight="1" x14ac:dyDescent="0.2">
      <c r="A17" s="482" t="s">
        <v>1470</v>
      </c>
      <c r="B17" s="483">
        <v>230</v>
      </c>
      <c r="C17" s="477"/>
      <c r="D17" s="477"/>
      <c r="E17" s="477"/>
      <c r="F17" s="477"/>
      <c r="G17" s="477"/>
      <c r="H17" s="477"/>
      <c r="I17" s="477"/>
      <c r="J17" s="477"/>
      <c r="K17" s="477"/>
      <c r="L17" s="477"/>
      <c r="M17" s="467">
        <v>29394991</v>
      </c>
      <c r="N17" s="484"/>
    </row>
    <row r="18" spans="1:14" s="485" customFormat="1" ht="12.75" customHeight="1" x14ac:dyDescent="0.2">
      <c r="A18" s="482" t="s">
        <v>1471</v>
      </c>
      <c r="B18" s="483">
        <v>240</v>
      </c>
      <c r="C18" s="477"/>
      <c r="D18" s="477"/>
      <c r="E18" s="477"/>
      <c r="F18" s="477"/>
      <c r="G18" s="477"/>
      <c r="H18" s="477"/>
      <c r="I18" s="477"/>
      <c r="J18" s="477"/>
      <c r="K18" s="477"/>
      <c r="L18" s="477"/>
      <c r="M18" s="467">
        <v>2258330</v>
      </c>
      <c r="N18" s="484"/>
    </row>
    <row r="19" spans="1:14" s="485" customFormat="1" ht="12.75" customHeight="1" x14ac:dyDescent="0.2">
      <c r="A19" s="482" t="s">
        <v>1472</v>
      </c>
      <c r="B19" s="483">
        <v>250</v>
      </c>
      <c r="C19" s="477"/>
      <c r="D19" s="477"/>
      <c r="E19" s="477"/>
      <c r="F19" s="477"/>
      <c r="G19" s="477"/>
      <c r="H19" s="477"/>
      <c r="I19" s="477"/>
      <c r="J19" s="477"/>
      <c r="K19" s="477"/>
      <c r="L19" s="477"/>
      <c r="M19" s="467">
        <v>7990962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72844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11317156</v>
      </c>
    </row>
    <row r="23" spans="1:14" ht="13.5" customHeight="1" thickBot="1" x14ac:dyDescent="0.25">
      <c r="A23" s="1758" t="s">
        <v>664</v>
      </c>
      <c r="B23" s="1763"/>
      <c r="C23" s="468"/>
      <c r="D23" s="468"/>
      <c r="E23" s="468"/>
      <c r="F23" s="468"/>
      <c r="G23" s="468"/>
      <c r="H23" s="468"/>
      <c r="I23" s="468"/>
      <c r="J23" s="468"/>
      <c r="K23" s="468"/>
      <c r="L23" s="468"/>
      <c r="M23" s="1710">
        <f>SUM(M15:M22)</f>
        <v>45025827</v>
      </c>
      <c r="N23" s="1710">
        <f>SUM(N21:N22)</f>
        <v>11390000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513932</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513932</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11390000</v>
      </c>
    </row>
    <row r="37" spans="1:14" ht="13.5" thickBot="1" x14ac:dyDescent="0.25">
      <c r="A37" s="1758" t="s">
        <v>674</v>
      </c>
      <c r="B37" s="1763"/>
      <c r="C37" s="477"/>
      <c r="D37" s="477"/>
      <c r="E37" s="477"/>
      <c r="F37" s="477"/>
      <c r="G37" s="477"/>
      <c r="H37" s="477"/>
      <c r="I37" s="477"/>
      <c r="J37" s="477"/>
      <c r="K37" s="477"/>
      <c r="L37" s="480"/>
      <c r="M37" s="468"/>
      <c r="N37" s="1710">
        <f>SUM(N36:N36)</f>
        <v>11390000</v>
      </c>
    </row>
    <row r="38" spans="1:14" s="329" customFormat="1" ht="13.5" customHeight="1" thickTop="1" x14ac:dyDescent="0.2">
      <c r="A38" s="496" t="s">
        <v>440</v>
      </c>
      <c r="B38" s="483">
        <v>714</v>
      </c>
      <c r="C38" s="466"/>
      <c r="D38" s="466"/>
      <c r="E38" s="466"/>
      <c r="F38" s="466"/>
      <c r="G38" s="466">
        <v>23752</v>
      </c>
      <c r="H38" s="466"/>
      <c r="I38" s="466"/>
      <c r="J38" s="467"/>
      <c r="K38" s="466"/>
      <c r="L38" s="481"/>
      <c r="M38" s="497"/>
      <c r="N38" s="497"/>
    </row>
    <row r="39" spans="1:14" s="329" customFormat="1" ht="13.5" customHeight="1" x14ac:dyDescent="0.2">
      <c r="A39" s="496" t="s">
        <v>360</v>
      </c>
      <c r="B39" s="483">
        <v>730</v>
      </c>
      <c r="C39" s="466">
        <v>6880106</v>
      </c>
      <c r="D39" s="466">
        <v>3718317</v>
      </c>
      <c r="E39" s="466">
        <v>72844</v>
      </c>
      <c r="F39" s="466">
        <v>1319195</v>
      </c>
      <c r="G39" s="466">
        <v>210208</v>
      </c>
      <c r="H39" s="466">
        <v>41712</v>
      </c>
      <c r="I39" s="466">
        <v>2738084</v>
      </c>
      <c r="J39" s="467">
        <v>42998</v>
      </c>
      <c r="K39" s="466">
        <v>81406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45025827</v>
      </c>
      <c r="N40" s="497"/>
    </row>
    <row r="41" spans="1:14" ht="13.5" customHeight="1" thickBot="1" x14ac:dyDescent="0.25">
      <c r="A41" s="1758" t="s">
        <v>676</v>
      </c>
      <c r="B41" s="1728"/>
      <c r="C41" s="1710">
        <f>(SUM(C34,C37,C38,C39))</f>
        <v>6880106</v>
      </c>
      <c r="D41" s="1710">
        <f t="shared" ref="D41:L41" si="2">SUM(D34,D37,D38:D39)</f>
        <v>3718317</v>
      </c>
      <c r="E41" s="1710">
        <f t="shared" si="2"/>
        <v>72844</v>
      </c>
      <c r="F41" s="1710">
        <f t="shared" si="2"/>
        <v>1319195</v>
      </c>
      <c r="G41" s="1710">
        <f t="shared" si="2"/>
        <v>233960</v>
      </c>
      <c r="H41" s="1710">
        <f t="shared" si="2"/>
        <v>41712</v>
      </c>
      <c r="I41" s="1710">
        <f t="shared" si="2"/>
        <v>2738084</v>
      </c>
      <c r="J41" s="1710">
        <f t="shared" si="2"/>
        <v>42998</v>
      </c>
      <c r="K41" s="1710">
        <f t="shared" si="2"/>
        <v>81406</v>
      </c>
      <c r="L41" s="1710">
        <f t="shared" si="2"/>
        <v>513932</v>
      </c>
      <c r="M41" s="1710">
        <f>SUM(M40)</f>
        <v>45025827</v>
      </c>
      <c r="N41" s="1710">
        <f>SUM(N37)</f>
        <v>11390000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9" activePane="bottomLeft" state="frozenSplit"/>
      <selection activeCell="A47" sqref="A47"/>
      <selection pane="bottomLeft" activeCell="A90" sqref="A9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11543321</v>
      </c>
      <c r="D4" s="1764">
        <f>'Revenues 9-14'!D109</f>
        <v>2995316</v>
      </c>
      <c r="E4" s="1764">
        <f>'Revenues 9-14'!E109</f>
        <v>614613</v>
      </c>
      <c r="F4" s="1764">
        <f>'Revenues 9-14'!F109</f>
        <v>838663</v>
      </c>
      <c r="G4" s="1764">
        <f>'Revenues 9-14'!G109</f>
        <v>240603</v>
      </c>
      <c r="H4" s="1764">
        <f>'Revenues 9-14'!H109</f>
        <v>581</v>
      </c>
      <c r="I4" s="1764">
        <f>'Revenues 9-14'!I109</f>
        <v>15150</v>
      </c>
      <c r="J4" s="1764">
        <f>'Revenues 9-14'!J109</f>
        <v>9543</v>
      </c>
      <c r="K4" s="1764">
        <f>'Revenues 9-14'!K109</f>
        <v>10067</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6349990</v>
      </c>
      <c r="D6" s="1765">
        <f>'Revenues 9-14'!D173</f>
        <v>0</v>
      </c>
      <c r="E6" s="1765">
        <f>'Revenues 9-14'!E173</f>
        <v>200000</v>
      </c>
      <c r="F6" s="1765">
        <f>'Revenues 9-14'!F173</f>
        <v>810771</v>
      </c>
      <c r="G6" s="1765">
        <f>'Revenues 9-14'!G173</f>
        <v>80000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1250231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19143542</v>
      </c>
      <c r="D8" s="1710">
        <f t="shared" ref="D8:K8" si="0">SUM(D4:D7)</f>
        <v>2995316</v>
      </c>
      <c r="E8" s="1710">
        <f t="shared" si="0"/>
        <v>814613</v>
      </c>
      <c r="F8" s="1710">
        <f t="shared" si="0"/>
        <v>1649434</v>
      </c>
      <c r="G8" s="1710">
        <f t="shared" si="0"/>
        <v>320603</v>
      </c>
      <c r="H8" s="1710">
        <f t="shared" si="0"/>
        <v>581</v>
      </c>
      <c r="I8" s="1710">
        <f t="shared" si="0"/>
        <v>15150</v>
      </c>
      <c r="J8" s="1710">
        <f t="shared" si="0"/>
        <v>9543</v>
      </c>
      <c r="K8" s="1710">
        <f t="shared" si="0"/>
        <v>10067</v>
      </c>
      <c r="L8" s="347"/>
    </row>
    <row r="9" spans="1:13" ht="15.75" thickTop="1" x14ac:dyDescent="0.2">
      <c r="A9" s="514" t="s">
        <v>1752</v>
      </c>
      <c r="B9" s="515">
        <v>3998</v>
      </c>
      <c r="C9" s="481">
        <v>7088808</v>
      </c>
      <c r="D9" s="516"/>
      <c r="E9" s="481"/>
      <c r="F9" s="481"/>
      <c r="G9" s="517"/>
      <c r="H9" s="481"/>
      <c r="I9" s="509" t="s">
        <v>1231</v>
      </c>
      <c r="J9" s="478"/>
      <c r="K9" s="481"/>
      <c r="L9" s="347"/>
    </row>
    <row r="10" spans="1:13" s="519" customFormat="1" ht="13.5" thickBot="1" x14ac:dyDescent="0.25">
      <c r="A10" s="1758" t="s">
        <v>1235</v>
      </c>
      <c r="B10" s="1731"/>
      <c r="C10" s="1710">
        <f>SUM(C8:C9)</f>
        <v>26232350</v>
      </c>
      <c r="D10" s="1710">
        <f t="shared" ref="D10:K10" si="1">SUM(D8:D9)</f>
        <v>2995316</v>
      </c>
      <c r="E10" s="1710">
        <f t="shared" si="1"/>
        <v>814613</v>
      </c>
      <c r="F10" s="1710">
        <f t="shared" si="1"/>
        <v>1649434</v>
      </c>
      <c r="G10" s="1710">
        <f t="shared" si="1"/>
        <v>320603</v>
      </c>
      <c r="H10" s="1710">
        <f t="shared" si="1"/>
        <v>581</v>
      </c>
      <c r="I10" s="1710">
        <f t="shared" si="1"/>
        <v>15150</v>
      </c>
      <c r="J10" s="1710">
        <f t="shared" si="1"/>
        <v>9543</v>
      </c>
      <c r="K10" s="1710">
        <f t="shared" si="1"/>
        <v>10067</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12099521</v>
      </c>
      <c r="D12" s="520" t="s">
        <v>1231</v>
      </c>
      <c r="E12" s="468" t="s">
        <v>1231</v>
      </c>
      <c r="F12" s="468" t="s">
        <v>1231</v>
      </c>
      <c r="G12" s="1764">
        <f>'Expenditures 15-22'!K229</f>
        <v>46662</v>
      </c>
      <c r="H12" s="521"/>
      <c r="I12" s="468" t="s">
        <v>1231</v>
      </c>
      <c r="J12" s="468" t="s">
        <v>1231</v>
      </c>
      <c r="K12" s="521" t="s">
        <v>1231</v>
      </c>
      <c r="L12" s="347"/>
    </row>
    <row r="13" spans="1:13" ht="15.75" customHeight="1" x14ac:dyDescent="0.2">
      <c r="A13" s="1598" t="s">
        <v>477</v>
      </c>
      <c r="B13" s="1600">
        <v>2000</v>
      </c>
      <c r="C13" s="1765">
        <f>'Expenditures 15-22'!K74</f>
        <v>5209074</v>
      </c>
      <c r="D13" s="1765">
        <f>'Expenditures 15-22'!K129</f>
        <v>2622603</v>
      </c>
      <c r="E13" s="469" t="s">
        <v>1231</v>
      </c>
      <c r="F13" s="1765">
        <f>'Expenditures 15-22'!K184</f>
        <v>1268800</v>
      </c>
      <c r="G13" s="1765">
        <f>'Expenditures 15-22'!K279</f>
        <v>194511</v>
      </c>
      <c r="H13" s="1765">
        <f>'Expenditures 15-22'!K303</f>
        <v>6159</v>
      </c>
      <c r="I13" s="468" t="s">
        <v>1231</v>
      </c>
      <c r="J13" s="1765">
        <f>'Expenditures 15-22'!K330</f>
        <v>0</v>
      </c>
      <c r="K13" s="1769">
        <f>'Expenditures 15-22'!K352</f>
        <v>0</v>
      </c>
      <c r="L13" s="347"/>
    </row>
    <row r="14" spans="1:13" ht="15.75" customHeight="1" x14ac:dyDescent="0.2">
      <c r="A14" s="1598" t="s">
        <v>469</v>
      </c>
      <c r="B14" s="1600">
        <v>3000</v>
      </c>
      <c r="C14" s="1765">
        <f>'Expenditures 15-22'!K75</f>
        <v>146289</v>
      </c>
      <c r="D14" s="1765">
        <f>'Expenditures 15-22'!K130</f>
        <v>1781</v>
      </c>
      <c r="E14" s="520" t="s">
        <v>1231</v>
      </c>
      <c r="F14" s="1765">
        <f>'Expenditures 15-22'!K185</f>
        <v>0</v>
      </c>
      <c r="G14" s="1765">
        <f>'Expenditures 15-22'!K280</f>
        <v>736</v>
      </c>
      <c r="H14" s="512"/>
      <c r="I14" s="468" t="s">
        <v>1231</v>
      </c>
      <c r="J14" s="468" t="s">
        <v>1231</v>
      </c>
      <c r="K14" s="512" t="s">
        <v>1231</v>
      </c>
      <c r="L14" s="347"/>
    </row>
    <row r="15" spans="1:13" ht="15.75" customHeight="1" x14ac:dyDescent="0.2">
      <c r="A15" s="1598" t="s">
        <v>109</v>
      </c>
      <c r="B15" s="1600">
        <v>4000</v>
      </c>
      <c r="C15" s="1765">
        <f>'Expenditures 15-22'!K102</f>
        <v>431977</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928755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17886861</v>
      </c>
      <c r="D17" s="1710">
        <f t="shared" si="2"/>
        <v>2624384</v>
      </c>
      <c r="E17" s="1710">
        <f t="shared" si="2"/>
        <v>928755</v>
      </c>
      <c r="F17" s="1710">
        <f t="shared" si="2"/>
        <v>1268800</v>
      </c>
      <c r="G17" s="1710">
        <f t="shared" si="2"/>
        <v>241909</v>
      </c>
      <c r="H17" s="1710">
        <f t="shared" si="2"/>
        <v>6159</v>
      </c>
      <c r="I17" s="468"/>
      <c r="J17" s="1710">
        <f>SUM(J12:J16)</f>
        <v>0</v>
      </c>
      <c r="K17" s="1710">
        <f>SUM(K12:K16)</f>
        <v>0</v>
      </c>
      <c r="L17" s="347"/>
    </row>
    <row r="18" spans="1:12" ht="15" customHeight="1" thickTop="1" x14ac:dyDescent="0.2">
      <c r="A18" s="1766" t="s">
        <v>1753</v>
      </c>
      <c r="B18" s="1767">
        <v>4180</v>
      </c>
      <c r="C18" s="1764">
        <f t="shared" ref="C18:H18" si="3">C9</f>
        <v>7088808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24975669</v>
      </c>
      <c r="D19" s="1710">
        <f t="shared" si="4"/>
        <v>2624384</v>
      </c>
      <c r="E19" s="1710">
        <f t="shared" si="4"/>
        <v>928755</v>
      </c>
      <c r="F19" s="1710">
        <f t="shared" si="4"/>
        <v>1268800</v>
      </c>
      <c r="G19" s="1710">
        <f t="shared" si="4"/>
        <v>241909</v>
      </c>
      <c r="H19" s="1710">
        <f t="shared" si="4"/>
        <v>6159</v>
      </c>
      <c r="I19" s="468"/>
      <c r="J19" s="1710">
        <f>SUM(J17:J18)</f>
        <v>0</v>
      </c>
      <c r="K19" s="1710">
        <f>SUM(K17:K18)</f>
        <v>0</v>
      </c>
      <c r="L19" s="347"/>
    </row>
    <row r="20" spans="1:12" ht="16.5" thickTop="1" thickBot="1" x14ac:dyDescent="0.25">
      <c r="A20" s="2145" t="s">
        <v>1754</v>
      </c>
      <c r="B20" s="2146"/>
      <c r="C20" s="1768">
        <f>C8-C17</f>
        <v>1256681</v>
      </c>
      <c r="D20" s="1768">
        <f t="shared" ref="D20:K20" si="5">D8-D17</f>
        <v>370932</v>
      </c>
      <c r="E20" s="1768">
        <f t="shared" si="5"/>
        <v>-114142</v>
      </c>
      <c r="F20" s="1768">
        <f t="shared" si="5"/>
        <v>380634</v>
      </c>
      <c r="G20" s="1768">
        <f t="shared" si="5"/>
        <v>78694</v>
      </c>
      <c r="H20" s="1768">
        <f t="shared" si="5"/>
        <v>-5578</v>
      </c>
      <c r="I20" s="1768">
        <f t="shared" si="5"/>
        <v>15150</v>
      </c>
      <c r="J20" s="1768">
        <f t="shared" si="5"/>
        <v>9543</v>
      </c>
      <c r="K20" s="1768">
        <f t="shared" si="5"/>
        <v>10067</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7" t="s">
        <v>1239</v>
      </c>
      <c r="B77" s="2138"/>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1" t="s">
        <v>618</v>
      </c>
      <c r="B78" s="2142"/>
      <c r="C78" s="1724">
        <f t="shared" ref="C78:K78" si="9">C20+C77</f>
        <v>1256681</v>
      </c>
      <c r="D78" s="1724">
        <f t="shared" si="9"/>
        <v>370932</v>
      </c>
      <c r="E78" s="1724">
        <f t="shared" si="9"/>
        <v>-114142</v>
      </c>
      <c r="F78" s="1724">
        <f t="shared" si="9"/>
        <v>380634</v>
      </c>
      <c r="G78" s="1724">
        <f t="shared" si="9"/>
        <v>78694</v>
      </c>
      <c r="H78" s="1724">
        <f t="shared" si="9"/>
        <v>-5578</v>
      </c>
      <c r="I78" s="1724">
        <f t="shared" si="9"/>
        <v>15150</v>
      </c>
      <c r="J78" s="1724">
        <f t="shared" si="9"/>
        <v>9543</v>
      </c>
      <c r="K78" s="1724">
        <f t="shared" si="9"/>
        <v>10067</v>
      </c>
      <c r="L78" s="533"/>
    </row>
    <row r="79" spans="1:12" ht="13.5" thickTop="1" x14ac:dyDescent="0.2">
      <c r="A79" s="1516" t="s">
        <v>2070</v>
      </c>
      <c r="B79" s="534"/>
      <c r="C79" s="478">
        <v>5623425</v>
      </c>
      <c r="D79" s="535">
        <v>3347385</v>
      </c>
      <c r="E79" s="535">
        <v>186986</v>
      </c>
      <c r="F79" s="535">
        <v>938561</v>
      </c>
      <c r="G79" s="535">
        <v>155266</v>
      </c>
      <c r="H79" s="535">
        <v>47290</v>
      </c>
      <c r="I79" s="535">
        <v>2722934</v>
      </c>
      <c r="J79" s="535">
        <v>33455</v>
      </c>
      <c r="K79" s="535">
        <v>71339</v>
      </c>
      <c r="L79" s="347"/>
    </row>
    <row r="80" spans="1:12" x14ac:dyDescent="0.2">
      <c r="A80" s="2147" t="s">
        <v>1895</v>
      </c>
      <c r="B80" s="2148"/>
      <c r="C80" s="467"/>
      <c r="D80" s="467"/>
      <c r="E80" s="467"/>
      <c r="F80" s="467"/>
      <c r="G80" s="467"/>
      <c r="H80" s="467"/>
      <c r="I80" s="467"/>
      <c r="J80" s="467"/>
      <c r="K80" s="467"/>
      <c r="L80" s="347"/>
    </row>
    <row r="81" spans="1:12" ht="13.5" thickBot="1" x14ac:dyDescent="0.25">
      <c r="A81" s="2139" t="s">
        <v>2071</v>
      </c>
      <c r="B81" s="2140"/>
      <c r="C81" s="1710">
        <f>(SUM(C78:C80))</f>
        <v>6880106</v>
      </c>
      <c r="D81" s="1710">
        <f>SUM(D78:D80)</f>
        <v>3718317</v>
      </c>
      <c r="E81" s="1710">
        <f t="shared" ref="E81:K81" si="10">SUM(E78:E80)</f>
        <v>72844</v>
      </c>
      <c r="F81" s="1710">
        <f t="shared" si="10"/>
        <v>1319195</v>
      </c>
      <c r="G81" s="1710">
        <f t="shared" si="10"/>
        <v>233960</v>
      </c>
      <c r="H81" s="1710">
        <f t="shared" si="10"/>
        <v>41712</v>
      </c>
      <c r="I81" s="1710">
        <f t="shared" si="10"/>
        <v>2738084</v>
      </c>
      <c r="J81" s="1710">
        <f t="shared" si="10"/>
        <v>42998</v>
      </c>
      <c r="K81" s="1710">
        <f t="shared" si="10"/>
        <v>81406</v>
      </c>
      <c r="L81" s="347"/>
    </row>
    <row r="82" spans="1:12" ht="0.75" customHeight="1" thickTop="1" thickBot="1" x14ac:dyDescent="0.25">
      <c r="A82" s="536" t="s">
        <v>361</v>
      </c>
      <c r="B82" s="537"/>
      <c r="C82" s="538">
        <f>(C81-C79)</f>
        <v>1256681</v>
      </c>
      <c r="D82" s="538">
        <f t="shared" ref="D82:K82" si="11">(D81-D79)</f>
        <v>370932</v>
      </c>
      <c r="E82" s="538">
        <f t="shared" si="11"/>
        <v>-114142</v>
      </c>
      <c r="F82" s="538">
        <f t="shared" si="11"/>
        <v>380634</v>
      </c>
      <c r="G82" s="538">
        <f t="shared" si="11"/>
        <v>78694</v>
      </c>
      <c r="H82" s="538">
        <f t="shared" si="11"/>
        <v>-5578</v>
      </c>
      <c r="I82" s="538">
        <f t="shared" si="11"/>
        <v>15150</v>
      </c>
      <c r="J82" s="538">
        <f t="shared" si="11"/>
        <v>9543</v>
      </c>
      <c r="K82" s="538">
        <f t="shared" si="11"/>
        <v>10067</v>
      </c>
    </row>
    <row r="83" spans="1:12" ht="14.25" hidden="1" thickTop="1" thickBot="1" x14ac:dyDescent="0.25">
      <c r="A83" s="539" t="s">
        <v>362</v>
      </c>
      <c r="B83" s="464"/>
      <c r="C83" s="540">
        <f>C82/C81</f>
        <v>0.18265430794234858</v>
      </c>
      <c r="D83" s="540">
        <f t="shared" ref="D83:K83" si="12">D82/D81</f>
        <v>9.9758035691954183E-2</v>
      </c>
      <c r="E83" s="540">
        <f t="shared" si="12"/>
        <v>-1.5669375652078414</v>
      </c>
      <c r="F83" s="540">
        <f t="shared" si="12"/>
        <v>0.2885350535743389</v>
      </c>
      <c r="G83" s="540">
        <f t="shared" si="12"/>
        <v>0.33635664216105315</v>
      </c>
      <c r="H83" s="540">
        <f t="shared" si="12"/>
        <v>-0.13372650556194859</v>
      </c>
      <c r="I83" s="540">
        <f t="shared" si="12"/>
        <v>5.5330661878890495E-3</v>
      </c>
      <c r="J83" s="540">
        <f t="shared" si="12"/>
        <v>0.22194055537466859</v>
      </c>
      <c r="K83" s="540">
        <f t="shared" si="12"/>
        <v>0.12366410338304303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1902</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10094325</v>
      </c>
      <c r="D5" s="481">
        <v>2898917</v>
      </c>
      <c r="E5" s="466">
        <v>521663</v>
      </c>
      <c r="F5" s="548">
        <v>821940</v>
      </c>
      <c r="G5" s="466">
        <v>217942</v>
      </c>
      <c r="H5" s="466"/>
      <c r="I5" s="466">
        <v>8988</v>
      </c>
      <c r="J5" s="467">
        <v>8988</v>
      </c>
      <c r="K5" s="466">
        <v>8988</v>
      </c>
    </row>
    <row r="6" spans="1:12" ht="15" x14ac:dyDescent="0.2">
      <c r="A6" s="463" t="s">
        <v>1761</v>
      </c>
      <c r="B6" s="470">
        <v>1130</v>
      </c>
      <c r="C6" s="466"/>
      <c r="D6" s="466"/>
      <c r="E6" s="475"/>
      <c r="F6" s="475"/>
      <c r="G6" s="468"/>
      <c r="H6" s="468"/>
      <c r="I6" s="468"/>
      <c r="J6" s="468"/>
      <c r="K6" s="468"/>
    </row>
    <row r="7" spans="1:12" x14ac:dyDescent="0.2">
      <c r="A7" s="463" t="s">
        <v>112</v>
      </c>
      <c r="B7" s="549">
        <v>1140</v>
      </c>
      <c r="C7" s="466">
        <v>8987</v>
      </c>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10103312</v>
      </c>
      <c r="D12" s="1729">
        <f t="shared" si="0"/>
        <v>2898917</v>
      </c>
      <c r="E12" s="1729">
        <f t="shared" si="0"/>
        <v>521663</v>
      </c>
      <c r="F12" s="1729">
        <f t="shared" si="0"/>
        <v>821940</v>
      </c>
      <c r="G12" s="1729">
        <f t="shared" si="0"/>
        <v>217942</v>
      </c>
      <c r="H12" s="1729">
        <f t="shared" si="0"/>
        <v>0</v>
      </c>
      <c r="I12" s="1729">
        <f t="shared" si="0"/>
        <v>8988</v>
      </c>
      <c r="J12" s="1729">
        <f t="shared" si="0"/>
        <v>8988</v>
      </c>
      <c r="K12" s="1710">
        <f t="shared" si="0"/>
        <v>8988</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534167</v>
      </c>
      <c r="D16" s="466"/>
      <c r="E16" s="466"/>
      <c r="F16" s="466"/>
      <c r="G16" s="466">
        <v>20293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534167</v>
      </c>
      <c r="D18" s="1732">
        <f t="shared" ref="D18:K18" si="1">SUM(D14:D17)</f>
        <v>0</v>
      </c>
      <c r="E18" s="1732">
        <f t="shared" si="1"/>
        <v>0</v>
      </c>
      <c r="F18" s="1732">
        <f t="shared" si="1"/>
        <v>0</v>
      </c>
      <c r="G18" s="1732">
        <f t="shared" si="1"/>
        <v>20293</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108830</v>
      </c>
      <c r="D65" s="466">
        <v>54428</v>
      </c>
      <c r="E65" s="466">
        <v>2291</v>
      </c>
      <c r="F65" s="467">
        <v>15248</v>
      </c>
      <c r="G65" s="466">
        <v>2368</v>
      </c>
      <c r="H65" s="466">
        <v>581</v>
      </c>
      <c r="I65" s="466">
        <v>6162</v>
      </c>
      <c r="J65" s="467">
        <v>555</v>
      </c>
      <c r="K65" s="466">
        <v>1079</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108830</v>
      </c>
      <c r="D67" s="1710">
        <f t="shared" ref="D67:K67" si="2">SUM(D65:D66)</f>
        <v>54428</v>
      </c>
      <c r="E67" s="1710">
        <f t="shared" si="2"/>
        <v>2291</v>
      </c>
      <c r="F67" s="1710">
        <f t="shared" si="2"/>
        <v>15248</v>
      </c>
      <c r="G67" s="1710">
        <f t="shared" si="2"/>
        <v>2368</v>
      </c>
      <c r="H67" s="1710">
        <f t="shared" si="2"/>
        <v>581</v>
      </c>
      <c r="I67" s="1710">
        <f t="shared" si="2"/>
        <v>6162</v>
      </c>
      <c r="J67" s="1710">
        <f t="shared" si="2"/>
        <v>555</v>
      </c>
      <c r="K67" s="1710">
        <f t="shared" si="2"/>
        <v>1079</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275178</v>
      </c>
      <c r="D69" s="468"/>
      <c r="E69" s="468"/>
      <c r="F69" s="468"/>
      <c r="G69" s="468"/>
      <c r="H69" s="468"/>
      <c r="I69" s="468"/>
      <c r="J69" s="468"/>
      <c r="K69" s="468"/>
    </row>
    <row r="70" spans="1:11" ht="12.75" customHeight="1" x14ac:dyDescent="0.2">
      <c r="A70" s="463" t="s">
        <v>1054</v>
      </c>
      <c r="B70" s="470">
        <v>1612</v>
      </c>
      <c r="C70" s="551">
        <v>11009</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7476</v>
      </c>
      <c r="D73" s="468"/>
      <c r="E73" s="468"/>
      <c r="F73" s="468"/>
      <c r="G73" s="468"/>
      <c r="H73" s="468"/>
      <c r="I73" s="468"/>
      <c r="J73" s="468"/>
      <c r="K73" s="468"/>
    </row>
    <row r="74" spans="1:11" ht="12.75" customHeight="1" x14ac:dyDescent="0.2">
      <c r="A74" s="463" t="s">
        <v>25</v>
      </c>
      <c r="B74" s="470">
        <v>1690</v>
      </c>
      <c r="C74" s="551">
        <v>873</v>
      </c>
      <c r="D74" s="468"/>
      <c r="E74" s="468"/>
      <c r="F74" s="468"/>
      <c r="G74" s="468"/>
      <c r="H74" s="468"/>
      <c r="I74" s="468"/>
      <c r="J74" s="468"/>
      <c r="K74" s="468"/>
    </row>
    <row r="75" spans="1:11" ht="12.75" customHeight="1" thickBot="1" x14ac:dyDescent="0.25">
      <c r="A75" s="1730" t="s">
        <v>569</v>
      </c>
      <c r="B75" s="1731"/>
      <c r="C75" s="1710">
        <f>SUM(C69:C74)</f>
        <v>294536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32681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48151</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80832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284868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284868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34904</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v>6632</v>
      </c>
      <c r="E97" s="474"/>
      <c r="F97" s="467"/>
      <c r="G97" s="467"/>
      <c r="H97" s="467"/>
      <c r="I97" s="467"/>
      <c r="J97" s="467"/>
      <c r="K97" s="467"/>
    </row>
    <row r="98" spans="1:12" ht="12.75" customHeight="1" x14ac:dyDescent="0.2">
      <c r="A98" s="463" t="s">
        <v>198</v>
      </c>
      <c r="B98" s="470">
        <v>1940</v>
      </c>
      <c r="C98" s="489">
        <v>5564</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57543</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73669</v>
      </c>
      <c r="D107" s="466">
        <v>435</v>
      </c>
      <c r="E107" s="466">
        <v>90659</v>
      </c>
      <c r="F107" s="466">
        <v>1475</v>
      </c>
      <c r="G107" s="466"/>
      <c r="H107" s="466"/>
      <c r="I107" s="466"/>
      <c r="J107" s="467"/>
      <c r="K107" s="466"/>
    </row>
    <row r="108" spans="1:12" ht="12.75" customHeight="1" thickBot="1" x14ac:dyDescent="0.25">
      <c r="A108" s="1730" t="s">
        <v>508</v>
      </c>
      <c r="B108" s="1734"/>
      <c r="C108" s="1729">
        <f>SUM(C95:C107)</f>
        <v>136776</v>
      </c>
      <c r="D108" s="1729">
        <f t="shared" ref="D108:K108" si="3">SUM(D95:D107)</f>
        <v>41971</v>
      </c>
      <c r="E108" s="1729">
        <f t="shared" si="3"/>
        <v>90659</v>
      </c>
      <c r="F108" s="1729">
        <f t="shared" si="3"/>
        <v>1475</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11543321</v>
      </c>
      <c r="D109" s="1737">
        <f t="shared" si="4"/>
        <v>2995316</v>
      </c>
      <c r="E109" s="1737">
        <f t="shared" si="4"/>
        <v>614613</v>
      </c>
      <c r="F109" s="1737">
        <f t="shared" si="4"/>
        <v>838663</v>
      </c>
      <c r="G109" s="1737">
        <f t="shared" si="4"/>
        <v>240603</v>
      </c>
      <c r="H109" s="1737">
        <f t="shared" si="4"/>
        <v>581</v>
      </c>
      <c r="I109" s="1737">
        <f t="shared" si="4"/>
        <v>15150</v>
      </c>
      <c r="J109" s="1737">
        <f t="shared" si="4"/>
        <v>9543</v>
      </c>
      <c r="K109" s="1724">
        <f t="shared" si="4"/>
        <v>10067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5524657</v>
      </c>
      <c r="D117" s="481"/>
      <c r="E117" s="466">
        <v>200000</v>
      </c>
      <c r="F117" s="481">
        <v>300000</v>
      </c>
      <c r="G117" s="481">
        <v>80000</v>
      </c>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5524657</v>
      </c>
      <c r="D121" s="1729">
        <f t="shared" si="5"/>
        <v>0</v>
      </c>
      <c r="E121" s="1729">
        <f t="shared" si="5"/>
        <v>200000</v>
      </c>
      <c r="F121" s="1729">
        <f t="shared" si="5"/>
        <v>300000</v>
      </c>
      <c r="G121" s="1729">
        <f t="shared" si="5"/>
        <v>80000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409083</v>
      </c>
      <c r="D124" s="561"/>
      <c r="E124" s="468"/>
      <c r="F124" s="548"/>
      <c r="G124" s="468"/>
      <c r="H124" s="468"/>
      <c r="I124" s="468"/>
      <c r="J124" s="468"/>
      <c r="K124" s="468"/>
    </row>
    <row r="125" spans="1:11" ht="12.75" customHeight="1" x14ac:dyDescent="0.2">
      <c r="A125" s="463" t="s">
        <v>1521</v>
      </c>
      <c r="B125" s="562">
        <v>3105</v>
      </c>
      <c r="C125" s="466">
        <v>132340</v>
      </c>
      <c r="D125" s="561"/>
      <c r="E125" s="468"/>
      <c r="F125" s="466"/>
      <c r="G125" s="468"/>
      <c r="H125" s="468"/>
      <c r="I125" s="468"/>
      <c r="J125" s="468"/>
      <c r="K125" s="468"/>
    </row>
    <row r="126" spans="1:11" ht="12.75" customHeight="1" x14ac:dyDescent="0.2">
      <c r="A126" s="463" t="s">
        <v>922</v>
      </c>
      <c r="B126" s="562">
        <v>3110</v>
      </c>
      <c r="C126" s="551">
        <v>163378</v>
      </c>
      <c r="D126" s="466"/>
      <c r="E126" s="468"/>
      <c r="F126" s="466"/>
      <c r="G126" s="468"/>
      <c r="H126" s="468"/>
      <c r="I126" s="468"/>
      <c r="J126" s="468"/>
      <c r="K126" s="468"/>
    </row>
    <row r="127" spans="1:11" ht="12.75" customHeight="1" x14ac:dyDescent="0.2">
      <c r="A127" s="463" t="s">
        <v>107</v>
      </c>
      <c r="B127" s="562">
        <v>3120</v>
      </c>
      <c r="C127" s="466">
        <v>12709</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6263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723773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4828</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4828</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5000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90408</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58241</v>
      </c>
      <c r="G151" s="467"/>
      <c r="H151" s="468"/>
      <c r="I151" s="468"/>
      <c r="J151" s="468"/>
      <c r="K151" s="468"/>
    </row>
    <row r="152" spans="1:11" ht="12.75" customHeight="1" x14ac:dyDescent="0.2">
      <c r="A152" s="463" t="s">
        <v>1117</v>
      </c>
      <c r="B152" s="562">
        <v>3510</v>
      </c>
      <c r="C152" s="551"/>
      <c r="D152" s="466"/>
      <c r="E152" s="561"/>
      <c r="F152" s="466">
        <v>452530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510771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1324</v>
      </c>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825333</v>
      </c>
      <c r="D172" s="1744">
        <f t="shared" si="6"/>
        <v>0</v>
      </c>
      <c r="E172" s="1744">
        <f t="shared" si="6"/>
        <v>0</v>
      </c>
      <c r="F172" s="1744">
        <f t="shared" si="6"/>
        <v>510771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6349990</v>
      </c>
      <c r="D173" s="1737">
        <f>SUM(D121,D172)</f>
        <v>0</v>
      </c>
      <c r="E173" s="1737">
        <f>SUM(E121,E172)</f>
        <v>200000</v>
      </c>
      <c r="F173" s="1737">
        <f t="shared" ref="F173:K173" si="7">SUM(F121,F172)</f>
        <v>810771</v>
      </c>
      <c r="G173" s="1737">
        <f t="shared" si="7"/>
        <v>80000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1903</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326755</v>
      </c>
      <c r="D194" s="468"/>
      <c r="E194" s="561"/>
      <c r="F194" s="468"/>
      <c r="G194" s="585"/>
      <c r="H194" s="468"/>
      <c r="I194" s="468"/>
      <c r="J194" s="468"/>
      <c r="K194" s="468"/>
    </row>
    <row r="195" spans="1:11" ht="12.75" customHeight="1" x14ac:dyDescent="0.2">
      <c r="A195" s="463" t="s">
        <v>1107</v>
      </c>
      <c r="B195" s="470">
        <v>4215</v>
      </c>
      <c r="C195" s="551" t="s">
        <v>1231</v>
      </c>
      <c r="D195" s="468"/>
      <c r="E195" s="561"/>
      <c r="F195" s="468"/>
      <c r="G195" s="585"/>
      <c r="H195" s="468"/>
      <c r="I195" s="468"/>
      <c r="J195" s="468"/>
      <c r="K195" s="468"/>
    </row>
    <row r="196" spans="1:11" ht="12.75" customHeight="1" x14ac:dyDescent="0.2">
      <c r="A196" s="463" t="s">
        <v>1119</v>
      </c>
      <c r="B196" s="470">
        <v>4220</v>
      </c>
      <c r="C196" s="551">
        <v>45695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372450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224275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224275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544665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544665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17414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27843</v>
      </c>
      <c r="D270" s="576"/>
      <c r="E270" s="468"/>
      <c r="F270" s="576"/>
      <c r="G270" s="576"/>
      <c r="H270" s="468"/>
      <c r="I270" s="468"/>
      <c r="J270" s="468"/>
      <c r="K270" s="468"/>
    </row>
    <row r="271" spans="1:11" ht="12.75" customHeight="1" thickTop="1" thickBot="1" x14ac:dyDescent="0.25">
      <c r="A271" s="463" t="s">
        <v>395</v>
      </c>
      <c r="B271" s="470">
        <v>4992</v>
      </c>
      <c r="C271" s="575">
        <v>317</v>
      </c>
      <c r="D271" s="576"/>
      <c r="E271" s="468"/>
      <c r="F271" s="576"/>
      <c r="G271" s="576"/>
      <c r="H271" s="468"/>
      <c r="I271" s="468"/>
      <c r="J271" s="468"/>
      <c r="K271" s="468"/>
    </row>
    <row r="272" spans="1:11" s="594" customFormat="1" ht="12.75" customHeight="1" thickTop="1" thickBot="1" x14ac:dyDescent="0.25">
      <c r="A272" s="563" t="s">
        <v>77</v>
      </c>
      <c r="B272" s="557">
        <v>4999</v>
      </c>
      <c r="C272" s="575">
        <v>63267</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1250231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1250231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19143542</v>
      </c>
      <c r="D275" s="1737">
        <f t="shared" si="12"/>
        <v>2995316</v>
      </c>
      <c r="E275" s="1737">
        <f t="shared" si="12"/>
        <v>814613</v>
      </c>
      <c r="F275" s="1737">
        <f t="shared" si="12"/>
        <v>1649434</v>
      </c>
      <c r="G275" s="1737">
        <f t="shared" si="12"/>
        <v>320603</v>
      </c>
      <c r="H275" s="1737">
        <f t="shared" si="12"/>
        <v>581</v>
      </c>
      <c r="I275" s="1737">
        <f t="shared" si="12"/>
        <v>15150</v>
      </c>
      <c r="J275" s="1737">
        <f t="shared" si="12"/>
        <v>9543</v>
      </c>
      <c r="K275" s="1724">
        <f t="shared" si="12"/>
        <v>10067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92" activePane="bottomLeft" state="frozen"/>
      <selection activeCell="A47" sqref="A47"/>
      <selection pane="bottomLeft" activeCell="A301" sqref="A30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5753843</v>
      </c>
      <c r="D5" s="466">
        <v>1018675</v>
      </c>
      <c r="E5" s="466">
        <v>155305</v>
      </c>
      <c r="F5" s="466">
        <v>228417</v>
      </c>
      <c r="G5" s="466">
        <v>58736</v>
      </c>
      <c r="H5" s="466">
        <v>8767</v>
      </c>
      <c r="I5" s="467"/>
      <c r="J5" s="467"/>
      <c r="K5" s="1693">
        <f>SUM(C5:J5)</f>
        <v>7223743</v>
      </c>
      <c r="L5" s="466">
        <v>7422482</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2093158</v>
      </c>
      <c r="D8" s="466">
        <v>464836</v>
      </c>
      <c r="E8" s="466">
        <v>1167</v>
      </c>
      <c r="F8" s="466">
        <v>41072</v>
      </c>
      <c r="G8" s="466">
        <v>32483</v>
      </c>
      <c r="H8" s="466">
        <v>798</v>
      </c>
      <c r="I8" s="467"/>
      <c r="J8" s="467"/>
      <c r="K8" s="1693">
        <f t="shared" si="0"/>
        <v>2633514</v>
      </c>
      <c r="L8" s="466">
        <v>2781578</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33324</v>
      </c>
      <c r="D10" s="466">
        <v>13174</v>
      </c>
      <c r="E10" s="466">
        <v>16501</v>
      </c>
      <c r="F10" s="466">
        <v>2894</v>
      </c>
      <c r="G10" s="466"/>
      <c r="H10" s="466"/>
      <c r="I10" s="467"/>
      <c r="J10" s="467"/>
      <c r="K10" s="1693">
        <f t="shared" si="0"/>
        <v>65893</v>
      </c>
      <c r="L10" s="466">
        <v>257624</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775502</v>
      </c>
      <c r="D14" s="466">
        <v>111658</v>
      </c>
      <c r="E14" s="466">
        <v>144260</v>
      </c>
      <c r="F14" s="466">
        <v>57403</v>
      </c>
      <c r="G14" s="466"/>
      <c r="H14" s="466">
        <v>34170</v>
      </c>
      <c r="I14" s="467"/>
      <c r="J14" s="467"/>
      <c r="K14" s="1693">
        <f t="shared" si="0"/>
        <v>1122993</v>
      </c>
      <c r="L14" s="466">
        <v>1099560</v>
      </c>
    </row>
    <row r="15" spans="1:14" x14ac:dyDescent="0.2">
      <c r="A15" s="1526" t="s">
        <v>1021</v>
      </c>
      <c r="B15" s="615">
        <v>1600</v>
      </c>
      <c r="C15" s="466">
        <v>70401</v>
      </c>
      <c r="D15" s="466">
        <v>2530</v>
      </c>
      <c r="E15" s="466"/>
      <c r="F15" s="466">
        <v>32</v>
      </c>
      <c r="G15" s="466"/>
      <c r="H15" s="466"/>
      <c r="I15" s="467"/>
      <c r="J15" s="467"/>
      <c r="K15" s="1693">
        <f t="shared" si="0"/>
        <v>72963</v>
      </c>
      <c r="L15" s="466">
        <v>84865</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155840</v>
      </c>
      <c r="D17" s="467">
        <v>13785</v>
      </c>
      <c r="E17" s="467">
        <v>2448</v>
      </c>
      <c r="F17" s="467">
        <v>2592</v>
      </c>
      <c r="G17" s="467"/>
      <c r="H17" s="467"/>
      <c r="I17" s="467"/>
      <c r="J17" s="467"/>
      <c r="K17" s="1693">
        <f t="shared" si="0"/>
        <v>174665</v>
      </c>
      <c r="L17" s="466">
        <v>169420</v>
      </c>
    </row>
    <row r="18" spans="1:12" x14ac:dyDescent="0.2">
      <c r="A18" s="1526" t="s">
        <v>1148</v>
      </c>
      <c r="B18" s="615">
        <v>1800</v>
      </c>
      <c r="C18" s="466">
        <v>56513</v>
      </c>
      <c r="D18" s="466">
        <v>4025</v>
      </c>
      <c r="E18" s="466"/>
      <c r="F18" s="466">
        <v>863</v>
      </c>
      <c r="G18" s="466"/>
      <c r="H18" s="466"/>
      <c r="I18" s="467"/>
      <c r="J18" s="467"/>
      <c r="K18" s="1693">
        <f t="shared" si="0"/>
        <v>61401</v>
      </c>
      <c r="L18" s="466">
        <v>54458</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744349</v>
      </c>
      <c r="I22" s="617"/>
      <c r="J22" s="477"/>
      <c r="K22" s="1693">
        <f t="shared" si="0"/>
        <v>744349</v>
      </c>
      <c r="L22" s="471">
        <v>375000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8938581</v>
      </c>
      <c r="D33" s="1692">
        <f t="shared" ref="D33:L33" si="1">SUM(D5:D32)</f>
        <v>1628683</v>
      </c>
      <c r="E33" s="1692">
        <f t="shared" si="1"/>
        <v>319681</v>
      </c>
      <c r="F33" s="1692">
        <f t="shared" si="1"/>
        <v>333273</v>
      </c>
      <c r="G33" s="1692">
        <f t="shared" si="1"/>
        <v>91219</v>
      </c>
      <c r="H33" s="1692">
        <f t="shared" si="1"/>
        <v>788084</v>
      </c>
      <c r="I33" s="1692">
        <f t="shared" si="1"/>
        <v>0</v>
      </c>
      <c r="J33" s="1692">
        <f t="shared" si="1"/>
        <v>0</v>
      </c>
      <c r="K33" s="1692">
        <f t="shared" si="1"/>
        <v>12099521</v>
      </c>
      <c r="L33" s="1692">
        <f t="shared" si="1"/>
        <v>12244987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412195</v>
      </c>
      <c r="D36" s="481">
        <v>152782</v>
      </c>
      <c r="E36" s="481">
        <v>45118</v>
      </c>
      <c r="F36" s="481">
        <v>2599</v>
      </c>
      <c r="G36" s="481"/>
      <c r="H36" s="481"/>
      <c r="I36" s="467"/>
      <c r="J36" s="467"/>
      <c r="K36" s="1693">
        <f t="shared" ref="K36:K41" si="2">SUM(C36:J36)</f>
        <v>612694</v>
      </c>
      <c r="L36" s="466">
        <v>603533</v>
      </c>
    </row>
    <row r="37" spans="1:14" x14ac:dyDescent="0.2">
      <c r="A37" s="1526" t="s">
        <v>1151</v>
      </c>
      <c r="B37" s="615">
        <v>2120</v>
      </c>
      <c r="C37" s="466">
        <v>695121</v>
      </c>
      <c r="D37" s="466">
        <v>153290</v>
      </c>
      <c r="E37" s="466">
        <v>20660</v>
      </c>
      <c r="F37" s="466">
        <v>13054</v>
      </c>
      <c r="G37" s="466"/>
      <c r="H37" s="466">
        <v>895</v>
      </c>
      <c r="I37" s="467"/>
      <c r="J37" s="467"/>
      <c r="K37" s="1693">
        <f t="shared" si="2"/>
        <v>883020</v>
      </c>
      <c r="L37" s="466">
        <v>875788</v>
      </c>
    </row>
    <row r="38" spans="1:14" x14ac:dyDescent="0.2">
      <c r="A38" s="1526" t="s">
        <v>207</v>
      </c>
      <c r="B38" s="615">
        <v>2130</v>
      </c>
      <c r="C38" s="466">
        <v>86699</v>
      </c>
      <c r="D38" s="466">
        <v>22391</v>
      </c>
      <c r="E38" s="466">
        <v>31616</v>
      </c>
      <c r="F38" s="466">
        <v>1322</v>
      </c>
      <c r="G38" s="466"/>
      <c r="H38" s="466"/>
      <c r="I38" s="467"/>
      <c r="J38" s="467"/>
      <c r="K38" s="1693">
        <f t="shared" si="2"/>
        <v>142028</v>
      </c>
      <c r="L38" s="466">
        <v>157561</v>
      </c>
    </row>
    <row r="39" spans="1:14" x14ac:dyDescent="0.2">
      <c r="A39" s="1526" t="s">
        <v>208</v>
      </c>
      <c r="B39" s="615">
        <v>2140</v>
      </c>
      <c r="C39" s="466">
        <v>50189</v>
      </c>
      <c r="D39" s="466">
        <v>16516</v>
      </c>
      <c r="E39" s="466"/>
      <c r="F39" s="466">
        <v>1130</v>
      </c>
      <c r="G39" s="466"/>
      <c r="H39" s="466"/>
      <c r="I39" s="467"/>
      <c r="J39" s="467"/>
      <c r="K39" s="1693">
        <f t="shared" si="2"/>
        <v>67835</v>
      </c>
      <c r="L39" s="466">
        <v>67435</v>
      </c>
    </row>
    <row r="40" spans="1:14" x14ac:dyDescent="0.2">
      <c r="A40" s="1526" t="s">
        <v>209</v>
      </c>
      <c r="B40" s="615">
        <v>2150</v>
      </c>
      <c r="C40" s="466"/>
      <c r="D40" s="466"/>
      <c r="E40" s="466">
        <v>5083</v>
      </c>
      <c r="F40" s="466">
        <v>4800</v>
      </c>
      <c r="G40" s="466"/>
      <c r="H40" s="466"/>
      <c r="I40" s="467"/>
      <c r="J40" s="467"/>
      <c r="K40" s="1693">
        <f t="shared" si="2"/>
        <v>9883</v>
      </c>
      <c r="L40" s="466">
        <v>24250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1244204</v>
      </c>
      <c r="D42" s="1692">
        <f t="shared" ref="D42:L42" si="3">SUM(D36:D41)</f>
        <v>344979</v>
      </c>
      <c r="E42" s="1692">
        <f t="shared" si="3"/>
        <v>102477</v>
      </c>
      <c r="F42" s="1692">
        <f t="shared" si="3"/>
        <v>22905</v>
      </c>
      <c r="G42" s="1692">
        <f t="shared" si="3"/>
        <v>0</v>
      </c>
      <c r="H42" s="1692">
        <f t="shared" si="3"/>
        <v>895</v>
      </c>
      <c r="I42" s="1692">
        <f t="shared" si="3"/>
        <v>0</v>
      </c>
      <c r="J42" s="1692">
        <f t="shared" si="3"/>
        <v>0</v>
      </c>
      <c r="K42" s="1692">
        <f t="shared" si="3"/>
        <v>1715460</v>
      </c>
      <c r="L42" s="1692">
        <f t="shared" si="3"/>
        <v>1728567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214954</v>
      </c>
      <c r="D44" s="481">
        <v>36629</v>
      </c>
      <c r="E44" s="481">
        <v>89010</v>
      </c>
      <c r="F44" s="481">
        <v>3193</v>
      </c>
      <c r="G44" s="481"/>
      <c r="H44" s="481"/>
      <c r="I44" s="467"/>
      <c r="J44" s="467"/>
      <c r="K44" s="1694">
        <f>SUM(C44:J44)</f>
        <v>343786</v>
      </c>
      <c r="L44" s="481">
        <v>199409</v>
      </c>
    </row>
    <row r="45" spans="1:14" x14ac:dyDescent="0.2">
      <c r="A45" s="1526" t="s">
        <v>869</v>
      </c>
      <c r="B45" s="615">
        <v>2220</v>
      </c>
      <c r="C45" s="466">
        <v>99602</v>
      </c>
      <c r="D45" s="466">
        <v>17351</v>
      </c>
      <c r="E45" s="466">
        <v>9513</v>
      </c>
      <c r="F45" s="466">
        <v>6252</v>
      </c>
      <c r="G45" s="466"/>
      <c r="H45" s="466">
        <v>1340</v>
      </c>
      <c r="I45" s="467">
        <v>773</v>
      </c>
      <c r="J45" s="467"/>
      <c r="K45" s="1694">
        <f>SUM(C45:J45)</f>
        <v>134831</v>
      </c>
      <c r="L45" s="466">
        <v>164205</v>
      </c>
    </row>
    <row r="46" spans="1:14" x14ac:dyDescent="0.2">
      <c r="A46" s="1526" t="s">
        <v>870</v>
      </c>
      <c r="B46" s="615">
        <v>2230</v>
      </c>
      <c r="C46" s="466">
        <v>183635</v>
      </c>
      <c r="D46" s="466">
        <v>55808</v>
      </c>
      <c r="E46" s="466">
        <v>7427</v>
      </c>
      <c r="F46" s="466">
        <v>1189</v>
      </c>
      <c r="G46" s="466"/>
      <c r="H46" s="466"/>
      <c r="I46" s="467">
        <v>505</v>
      </c>
      <c r="J46" s="467"/>
      <c r="K46" s="1694">
        <f>SUM(C46:J46)</f>
        <v>248564</v>
      </c>
      <c r="L46" s="466">
        <v>304378</v>
      </c>
    </row>
    <row r="47" spans="1:14" ht="12.75" customHeight="1" thickBot="1" x14ac:dyDescent="0.25">
      <c r="A47" s="1690" t="s">
        <v>582</v>
      </c>
      <c r="B47" s="1691" t="s">
        <v>32</v>
      </c>
      <c r="C47" s="1692">
        <f>SUM(C44:C46)</f>
        <v>498191</v>
      </c>
      <c r="D47" s="1692">
        <f t="shared" ref="D47:K47" si="4">SUM(D44:D46)</f>
        <v>109788</v>
      </c>
      <c r="E47" s="1692">
        <f t="shared" si="4"/>
        <v>105950</v>
      </c>
      <c r="F47" s="1692">
        <f t="shared" si="4"/>
        <v>10634</v>
      </c>
      <c r="G47" s="1692">
        <f t="shared" si="4"/>
        <v>0</v>
      </c>
      <c r="H47" s="1692">
        <f t="shared" si="4"/>
        <v>1340</v>
      </c>
      <c r="I47" s="1692">
        <f t="shared" si="4"/>
        <v>1278</v>
      </c>
      <c r="J47" s="1692">
        <f t="shared" si="4"/>
        <v>0</v>
      </c>
      <c r="K47" s="1692">
        <f t="shared" si="4"/>
        <v>727181</v>
      </c>
      <c r="L47" s="1692">
        <f>SUM(L44:L46)</f>
        <v>667992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16660</v>
      </c>
      <c r="D49" s="481">
        <v>32297</v>
      </c>
      <c r="E49" s="481">
        <v>62539</v>
      </c>
      <c r="F49" s="481">
        <v>2584</v>
      </c>
      <c r="G49" s="481"/>
      <c r="H49" s="481">
        <v>56798</v>
      </c>
      <c r="I49" s="467"/>
      <c r="J49" s="467"/>
      <c r="K49" s="1694">
        <f>SUM(C49:J49)</f>
        <v>170878</v>
      </c>
      <c r="L49" s="481">
        <v>199609</v>
      </c>
    </row>
    <row r="50" spans="1:14" x14ac:dyDescent="0.2">
      <c r="A50" s="1526" t="s">
        <v>872</v>
      </c>
      <c r="B50" s="615">
        <v>2320</v>
      </c>
      <c r="C50" s="466">
        <v>253524</v>
      </c>
      <c r="D50" s="466">
        <v>63277</v>
      </c>
      <c r="E50" s="466">
        <v>15485</v>
      </c>
      <c r="F50" s="466">
        <v>5958</v>
      </c>
      <c r="G50" s="466">
        <v>6559</v>
      </c>
      <c r="H50" s="466"/>
      <c r="I50" s="467">
        <v>301</v>
      </c>
      <c r="J50" s="467"/>
      <c r="K50" s="1694">
        <f>SUM(C50:J50)</f>
        <v>345104</v>
      </c>
      <c r="L50" s="466">
        <v>373328</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v>182448</v>
      </c>
      <c r="F52" s="474"/>
      <c r="G52" s="474"/>
      <c r="H52" s="474"/>
      <c r="I52" s="474"/>
      <c r="J52" s="474"/>
      <c r="K52" s="1694">
        <f>SUM(C52:J52)</f>
        <v>182448</v>
      </c>
      <c r="L52" s="474">
        <v>245000</v>
      </c>
    </row>
    <row r="53" spans="1:14" ht="12.75" customHeight="1" thickBot="1" x14ac:dyDescent="0.25">
      <c r="A53" s="1690" t="s">
        <v>741</v>
      </c>
      <c r="B53" s="1691" t="s">
        <v>33</v>
      </c>
      <c r="C53" s="1692">
        <f>SUM(C49:C52)</f>
        <v>270184</v>
      </c>
      <c r="D53" s="1692">
        <f t="shared" ref="D53:L53" si="5">SUM(D49:D52)</f>
        <v>95574</v>
      </c>
      <c r="E53" s="1692">
        <f t="shared" si="5"/>
        <v>260472</v>
      </c>
      <c r="F53" s="1692">
        <f t="shared" si="5"/>
        <v>8542</v>
      </c>
      <c r="G53" s="1692">
        <f t="shared" si="5"/>
        <v>6559</v>
      </c>
      <c r="H53" s="1692">
        <f t="shared" si="5"/>
        <v>56798</v>
      </c>
      <c r="I53" s="1692">
        <f t="shared" si="5"/>
        <v>301</v>
      </c>
      <c r="J53" s="1692">
        <f t="shared" si="5"/>
        <v>0</v>
      </c>
      <c r="K53" s="1692">
        <f t="shared" si="5"/>
        <v>698430</v>
      </c>
      <c r="L53" s="1692">
        <f t="shared" si="5"/>
        <v>817937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159855</v>
      </c>
      <c r="D55" s="481">
        <v>51119</v>
      </c>
      <c r="E55" s="481">
        <v>2354</v>
      </c>
      <c r="F55" s="481">
        <v>2033</v>
      </c>
      <c r="G55" s="481"/>
      <c r="H55" s="481">
        <v>9928</v>
      </c>
      <c r="I55" s="467"/>
      <c r="J55" s="467"/>
      <c r="K55" s="1694">
        <f>SUM(C55:J55)</f>
        <v>225289</v>
      </c>
      <c r="L55" s="481">
        <v>264843</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159855</v>
      </c>
      <c r="D57" s="1696">
        <f t="shared" ref="D57:K57" si="6">SUM(D55:D56)</f>
        <v>51119</v>
      </c>
      <c r="E57" s="1696">
        <f t="shared" si="6"/>
        <v>2354</v>
      </c>
      <c r="F57" s="1696">
        <f t="shared" si="6"/>
        <v>2033</v>
      </c>
      <c r="G57" s="1696">
        <f t="shared" si="6"/>
        <v>0</v>
      </c>
      <c r="H57" s="1696">
        <f t="shared" si="6"/>
        <v>9928</v>
      </c>
      <c r="I57" s="1696">
        <f t="shared" si="6"/>
        <v>0</v>
      </c>
      <c r="J57" s="1696">
        <f t="shared" si="6"/>
        <v>0</v>
      </c>
      <c r="K57" s="1696">
        <f t="shared" si="6"/>
        <v>225289</v>
      </c>
      <c r="L57" s="1692">
        <f>SUM(L55:L56)</f>
        <v>264843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248049</v>
      </c>
      <c r="D60" s="466">
        <v>55543</v>
      </c>
      <c r="E60" s="466">
        <v>23038</v>
      </c>
      <c r="F60" s="466">
        <v>1708</v>
      </c>
      <c r="G60" s="466"/>
      <c r="H60" s="466">
        <v>1320</v>
      </c>
      <c r="I60" s="467">
        <v>332</v>
      </c>
      <c r="J60" s="467"/>
      <c r="K60" s="1694">
        <f t="shared" si="7"/>
        <v>329990</v>
      </c>
      <c r="L60" s="466">
        <v>342686</v>
      </c>
      <c r="M60" s="610"/>
      <c r="N60" s="610"/>
    </row>
    <row r="61" spans="1:14" s="343" customFormat="1" x14ac:dyDescent="0.2">
      <c r="A61" s="1526" t="s">
        <v>206</v>
      </c>
      <c r="B61" s="615">
        <v>2540</v>
      </c>
      <c r="C61" s="466">
        <v>102567</v>
      </c>
      <c r="D61" s="466">
        <v>27957</v>
      </c>
      <c r="E61" s="466"/>
      <c r="F61" s="466"/>
      <c r="G61" s="466"/>
      <c r="H61" s="466"/>
      <c r="I61" s="467"/>
      <c r="J61" s="467"/>
      <c r="K61" s="1694">
        <f t="shared" si="7"/>
        <v>130524</v>
      </c>
      <c r="L61" s="466">
        <v>95064</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233129</v>
      </c>
      <c r="D63" s="466">
        <v>46843</v>
      </c>
      <c r="E63" s="466">
        <v>4351</v>
      </c>
      <c r="F63" s="466">
        <v>280521</v>
      </c>
      <c r="G63" s="466">
        <v>10756</v>
      </c>
      <c r="H63" s="466"/>
      <c r="I63" s="467"/>
      <c r="J63" s="467"/>
      <c r="K63" s="1694">
        <f t="shared" si="7"/>
        <v>575600</v>
      </c>
      <c r="L63" s="466">
        <v>665903</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583745</v>
      </c>
      <c r="D65" s="1692">
        <f t="shared" ref="D65:L65" si="8">SUM(D59:D64)</f>
        <v>130343</v>
      </c>
      <c r="E65" s="1692">
        <f t="shared" si="8"/>
        <v>27389</v>
      </c>
      <c r="F65" s="1692">
        <f t="shared" si="8"/>
        <v>282229</v>
      </c>
      <c r="G65" s="1692">
        <f t="shared" si="8"/>
        <v>10756</v>
      </c>
      <c r="H65" s="1692">
        <f t="shared" si="8"/>
        <v>1320</v>
      </c>
      <c r="I65" s="1692">
        <f t="shared" si="8"/>
        <v>332</v>
      </c>
      <c r="J65" s="1692">
        <f t="shared" si="8"/>
        <v>0</v>
      </c>
      <c r="K65" s="1692">
        <f t="shared" si="8"/>
        <v>1036114</v>
      </c>
      <c r="L65" s="1692">
        <f t="shared" si="8"/>
        <v>1103653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v>1200</v>
      </c>
      <c r="F70" s="466"/>
      <c r="G70" s="466"/>
      <c r="H70" s="466"/>
      <c r="I70" s="467"/>
      <c r="J70" s="467"/>
      <c r="K70" s="1694">
        <f>SUM(C70:J70)</f>
        <v>1200</v>
      </c>
      <c r="L70" s="466">
        <v>0</v>
      </c>
      <c r="M70" s="610"/>
      <c r="N70" s="610"/>
    </row>
    <row r="71" spans="1:14" s="343" customFormat="1" x14ac:dyDescent="0.2">
      <c r="A71" s="1526" t="s">
        <v>424</v>
      </c>
      <c r="B71" s="615">
        <v>2660</v>
      </c>
      <c r="C71" s="466">
        <v>226677</v>
      </c>
      <c r="D71" s="466">
        <v>23499</v>
      </c>
      <c r="E71" s="466">
        <v>187172</v>
      </c>
      <c r="F71" s="466">
        <v>25001</v>
      </c>
      <c r="G71" s="466">
        <v>343051</v>
      </c>
      <c r="H71" s="466"/>
      <c r="I71" s="467"/>
      <c r="J71" s="467"/>
      <c r="K71" s="1694">
        <f>SUM(C71:J71)</f>
        <v>805400</v>
      </c>
      <c r="L71" s="466">
        <v>814007</v>
      </c>
      <c r="M71" s="610"/>
      <c r="N71" s="610"/>
    </row>
    <row r="72" spans="1:14" s="343" customFormat="1" ht="12.75" customHeight="1" thickBot="1" x14ac:dyDescent="0.25">
      <c r="A72" s="1690" t="s">
        <v>37</v>
      </c>
      <c r="B72" s="1697" t="s">
        <v>36</v>
      </c>
      <c r="C72" s="1692">
        <f>SUM(C67:C71)</f>
        <v>226677</v>
      </c>
      <c r="D72" s="1692">
        <f t="shared" ref="D72:K72" si="9">SUM(D67:D71)</f>
        <v>23499</v>
      </c>
      <c r="E72" s="1692">
        <f t="shared" si="9"/>
        <v>188372</v>
      </c>
      <c r="F72" s="1692">
        <f t="shared" si="9"/>
        <v>25001</v>
      </c>
      <c r="G72" s="1692">
        <f t="shared" si="9"/>
        <v>343051</v>
      </c>
      <c r="H72" s="1692">
        <f t="shared" si="9"/>
        <v>0</v>
      </c>
      <c r="I72" s="1692">
        <f t="shared" si="9"/>
        <v>0</v>
      </c>
      <c r="J72" s="1692">
        <f t="shared" si="9"/>
        <v>0</v>
      </c>
      <c r="K72" s="1692">
        <f t="shared" si="9"/>
        <v>806600</v>
      </c>
      <c r="L72" s="1692">
        <f>SUM(L67:L71)</f>
        <v>814007</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2982856</v>
      </c>
      <c r="D74" s="1699">
        <f t="shared" ref="D74:K74" si="10">SUM(D42,D47,D53,D57,D65,D72,D73)</f>
        <v>755302</v>
      </c>
      <c r="E74" s="1699">
        <f t="shared" si="10"/>
        <v>687014</v>
      </c>
      <c r="F74" s="1699">
        <f t="shared" si="10"/>
        <v>351344</v>
      </c>
      <c r="G74" s="1699">
        <f t="shared" si="10"/>
        <v>360366</v>
      </c>
      <c r="H74" s="1699">
        <f t="shared" si="10"/>
        <v>70281</v>
      </c>
      <c r="I74" s="1699">
        <f t="shared" si="10"/>
        <v>1911</v>
      </c>
      <c r="J74" s="1699">
        <f t="shared" si="10"/>
        <v>0</v>
      </c>
      <c r="K74" s="1699">
        <f t="shared" si="10"/>
        <v>5209074</v>
      </c>
      <c r="L74" s="1699">
        <f>SUM(L42,L47,L53,L57,L65,L72,L73)</f>
        <v>5396999</v>
      </c>
    </row>
    <row r="75" spans="1:14" s="259" customFormat="1" ht="15.75" customHeight="1" thickTop="1" thickBot="1" x14ac:dyDescent="0.25">
      <c r="A75" s="1632" t="s">
        <v>49</v>
      </c>
      <c r="B75" s="1633" t="s">
        <v>596</v>
      </c>
      <c r="C75" s="573">
        <v>44631</v>
      </c>
      <c r="D75" s="573">
        <v>1989</v>
      </c>
      <c r="E75" s="573">
        <v>49738</v>
      </c>
      <c r="F75" s="573">
        <v>8336</v>
      </c>
      <c r="G75" s="573">
        <v>5999</v>
      </c>
      <c r="H75" s="573">
        <v>35596</v>
      </c>
      <c r="I75" s="531"/>
      <c r="J75" s="531"/>
      <c r="K75" s="1692">
        <f>SUM(C75:J75)</f>
        <v>146289</v>
      </c>
      <c r="L75" s="576">
        <v>139415</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152</v>
      </c>
      <c r="I79" s="477"/>
      <c r="J79" s="477"/>
      <c r="K79" s="1693">
        <f t="shared" si="11"/>
        <v>152</v>
      </c>
      <c r="L79" s="466">
        <v>4800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352884</v>
      </c>
      <c r="I81" s="477"/>
      <c r="J81" s="477"/>
      <c r="K81" s="1693">
        <f t="shared" si="11"/>
        <v>352884</v>
      </c>
      <c r="L81" s="466">
        <v>400000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46600</v>
      </c>
      <c r="F83" s="617"/>
      <c r="G83" s="617"/>
      <c r="H83" s="466"/>
      <c r="I83" s="477"/>
      <c r="J83" s="477"/>
      <c r="K83" s="1693">
        <f t="shared" si="11"/>
        <v>46600</v>
      </c>
      <c r="L83" s="466">
        <v>44000</v>
      </c>
    </row>
    <row r="84" spans="1:12" ht="13.5" thickBot="1" x14ac:dyDescent="0.25">
      <c r="A84" s="1690" t="s">
        <v>1565</v>
      </c>
      <c r="B84" s="1700">
        <v>4100</v>
      </c>
      <c r="C84" s="617"/>
      <c r="D84" s="617"/>
      <c r="E84" s="1692">
        <f>SUM(E78:E83)</f>
        <v>46600</v>
      </c>
      <c r="F84" s="617"/>
      <c r="G84" s="617"/>
      <c r="H84" s="1692">
        <f>SUM(H78:H83)</f>
        <v>353036</v>
      </c>
      <c r="I84" s="477"/>
      <c r="J84" s="477"/>
      <c r="K84" s="1692">
        <f>SUM(K78:K83)</f>
        <v>399636</v>
      </c>
      <c r="L84" s="1692">
        <f>SUM(L78:L83)</f>
        <v>448800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v>32341</v>
      </c>
      <c r="I90" s="477"/>
      <c r="J90" s="477"/>
      <c r="K90" s="1699">
        <f t="shared" si="12"/>
        <v>32341</v>
      </c>
      <c r="L90" s="530">
        <v>20000</v>
      </c>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32341</v>
      </c>
      <c r="I92" s="477"/>
      <c r="J92" s="477"/>
      <c r="K92" s="1699">
        <f t="shared" si="12"/>
        <v>32341</v>
      </c>
      <c r="L92" s="1692">
        <f>SUM(L85:L91)</f>
        <v>20000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46600</v>
      </c>
      <c r="F102" s="617"/>
      <c r="G102" s="617"/>
      <c r="H102" s="1699">
        <f>SUM(H84,H92,H100,H101)</f>
        <v>385377</v>
      </c>
      <c r="I102" s="477"/>
      <c r="J102" s="477"/>
      <c r="K102" s="1699">
        <f>SUM(K84,K92,K100,K101)</f>
        <v>431977</v>
      </c>
      <c r="L102" s="1699">
        <f>SUM(L84,L92,L100,L101)</f>
        <v>468800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11966068</v>
      </c>
      <c r="D114" s="1692">
        <f t="shared" ref="D114:K114" si="13">SUM(D33,D74,D75,D102,D112,D113)</f>
        <v>2385974</v>
      </c>
      <c r="E114" s="1692">
        <f t="shared" si="13"/>
        <v>1103033</v>
      </c>
      <c r="F114" s="1692">
        <f t="shared" si="13"/>
        <v>692953</v>
      </c>
      <c r="G114" s="1692">
        <f t="shared" si="13"/>
        <v>457584</v>
      </c>
      <c r="H114" s="1692">
        <f>SUM(H33,H74,H75,H102,H112,H113)</f>
        <v>1279338</v>
      </c>
      <c r="I114" s="1692">
        <f t="shared" si="13"/>
        <v>1911</v>
      </c>
      <c r="J114" s="1692">
        <f t="shared" si="13"/>
        <v>0</v>
      </c>
      <c r="K114" s="1692">
        <f t="shared" si="13"/>
        <v>17886861</v>
      </c>
      <c r="L114" s="1692">
        <f>SUM(L33,L74,L75,L102,L112,L113)</f>
        <v>18250201</v>
      </c>
    </row>
    <row r="115" spans="1:14" ht="13.5" thickTop="1" x14ac:dyDescent="0.2">
      <c r="A115" s="2175" t="s">
        <v>1053</v>
      </c>
      <c r="B115" s="2176"/>
      <c r="C115" s="619"/>
      <c r="D115" s="619"/>
      <c r="E115" s="619"/>
      <c r="F115" s="619"/>
      <c r="G115" s="619"/>
      <c r="H115" s="619"/>
      <c r="I115" s="619"/>
      <c r="J115" s="619"/>
      <c r="K115" s="1706">
        <f>'Revenues 9-14'!C275-'Expenditures 15-22'!K114</f>
        <v>1256681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88317</v>
      </c>
      <c r="F123" s="466"/>
      <c r="G123" s="466"/>
      <c r="H123" s="466"/>
      <c r="I123" s="467"/>
      <c r="J123" s="467"/>
      <c r="K123" s="1692">
        <f>SUM(C123:J123)</f>
        <v>88317</v>
      </c>
      <c r="L123" s="466">
        <v>50000</v>
      </c>
    </row>
    <row r="124" spans="1:14" ht="14.25" thickTop="1" thickBot="1" x14ac:dyDescent="0.25">
      <c r="A124" s="1526" t="s">
        <v>206</v>
      </c>
      <c r="B124" s="615">
        <v>2540</v>
      </c>
      <c r="C124" s="466">
        <v>516995</v>
      </c>
      <c r="D124" s="466">
        <v>95449</v>
      </c>
      <c r="E124" s="466">
        <v>616747</v>
      </c>
      <c r="F124" s="466">
        <v>415112</v>
      </c>
      <c r="G124" s="466">
        <v>889756</v>
      </c>
      <c r="H124" s="466">
        <v>227</v>
      </c>
      <c r="I124" s="467"/>
      <c r="J124" s="467"/>
      <c r="K124" s="1692">
        <f>SUM(C124:J124)</f>
        <v>2534286</v>
      </c>
      <c r="L124" s="466">
        <v>2587387</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516995</v>
      </c>
      <c r="D127" s="1692">
        <f t="shared" ref="D127:L127" si="14">SUM(D122:D126)</f>
        <v>95449</v>
      </c>
      <c r="E127" s="1692">
        <f t="shared" si="14"/>
        <v>705064</v>
      </c>
      <c r="F127" s="1692">
        <f t="shared" si="14"/>
        <v>415112</v>
      </c>
      <c r="G127" s="1692">
        <f t="shared" si="14"/>
        <v>889756</v>
      </c>
      <c r="H127" s="1692">
        <f t="shared" si="14"/>
        <v>227</v>
      </c>
      <c r="I127" s="1692">
        <f t="shared" si="14"/>
        <v>0</v>
      </c>
      <c r="J127" s="1692">
        <f t="shared" si="14"/>
        <v>0</v>
      </c>
      <c r="K127" s="1692">
        <f t="shared" si="14"/>
        <v>2622603</v>
      </c>
      <c r="L127" s="1692">
        <f t="shared" si="14"/>
        <v>2637387</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516995</v>
      </c>
      <c r="D129" s="1699">
        <f t="shared" ref="D129:L129" si="15">SUM(D120,D127,D128)</f>
        <v>95449</v>
      </c>
      <c r="E129" s="1699">
        <f t="shared" si="15"/>
        <v>705064</v>
      </c>
      <c r="F129" s="1699">
        <f t="shared" si="15"/>
        <v>415112</v>
      </c>
      <c r="G129" s="1699">
        <f t="shared" si="15"/>
        <v>889756</v>
      </c>
      <c r="H129" s="1699">
        <f t="shared" si="15"/>
        <v>227</v>
      </c>
      <c r="I129" s="1699">
        <f t="shared" si="15"/>
        <v>0</v>
      </c>
      <c r="J129" s="1699">
        <f t="shared" si="15"/>
        <v>0</v>
      </c>
      <c r="K129" s="1699">
        <f t="shared" si="15"/>
        <v>2622603</v>
      </c>
      <c r="L129" s="1699">
        <f t="shared" si="15"/>
        <v>2637387</v>
      </c>
    </row>
    <row r="130" spans="1:14" ht="15.75" customHeight="1" thickTop="1" thickBot="1" x14ac:dyDescent="0.25">
      <c r="A130" s="1632" t="s">
        <v>1096</v>
      </c>
      <c r="B130" s="1633" t="s">
        <v>596</v>
      </c>
      <c r="C130" s="576">
        <v>1765</v>
      </c>
      <c r="D130" s="576">
        <v>16</v>
      </c>
      <c r="E130" s="576"/>
      <c r="F130" s="576"/>
      <c r="G130" s="576"/>
      <c r="H130" s="576"/>
      <c r="I130" s="531"/>
      <c r="J130" s="531"/>
      <c r="K130" s="1692">
        <f>SUM(C130:J130)</f>
        <v>1781</v>
      </c>
      <c r="L130" s="576">
        <v>4050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2">
        <f>SUM(C129,C130,C139,C149,C150)</f>
        <v>518760</v>
      </c>
      <c r="D151" s="1692">
        <f t="shared" ref="D151:K151" si="16">SUM(D129,D130,D139,D149,D150)</f>
        <v>95465</v>
      </c>
      <c r="E151" s="1692">
        <f t="shared" si="16"/>
        <v>705064</v>
      </c>
      <c r="F151" s="1692">
        <f t="shared" si="16"/>
        <v>415112</v>
      </c>
      <c r="G151" s="1692">
        <f t="shared" si="16"/>
        <v>889756</v>
      </c>
      <c r="H151" s="1692">
        <f t="shared" si="16"/>
        <v>227</v>
      </c>
      <c r="I151" s="1692">
        <f t="shared" si="16"/>
        <v>0</v>
      </c>
      <c r="J151" s="1692">
        <f t="shared" si="16"/>
        <v>0</v>
      </c>
      <c r="K151" s="1692">
        <f t="shared" si="16"/>
        <v>2624384</v>
      </c>
      <c r="L151" s="1692">
        <f>SUM(L129,L130,L139,L149,L150)</f>
        <v>2641437</v>
      </c>
    </row>
    <row r="152" spans="1:14" ht="12.75" customHeight="1" thickTop="1" x14ac:dyDescent="0.2">
      <c r="A152" s="2195" t="s">
        <v>1240</v>
      </c>
      <c r="B152" s="2196"/>
      <c r="C152" s="619"/>
      <c r="D152" s="619"/>
      <c r="E152" s="619"/>
      <c r="F152" s="619"/>
      <c r="G152" s="619"/>
      <c r="H152" s="619"/>
      <c r="I152" s="619"/>
      <c r="J152" s="617"/>
      <c r="K152" s="1706">
        <f>'Revenues 9-14'!D275-'Expenditures 15-22'!K151</f>
        <v>370932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529680</v>
      </c>
      <c r="I169" s="617"/>
      <c r="J169" s="617"/>
      <c r="K169" s="1693">
        <f>SUM(C169:H169)</f>
        <v>529680</v>
      </c>
      <c r="L169" s="657">
        <v>540000</v>
      </c>
    </row>
    <row r="170" spans="1:14" ht="33.75" customHeight="1" x14ac:dyDescent="0.2">
      <c r="A170" s="670" t="s">
        <v>1769</v>
      </c>
      <c r="B170" s="672" t="s">
        <v>31</v>
      </c>
      <c r="C170" s="617"/>
      <c r="D170" s="617"/>
      <c r="E170" s="617"/>
      <c r="F170" s="617"/>
      <c r="G170" s="617"/>
      <c r="H170" s="569">
        <v>395000</v>
      </c>
      <c r="I170" s="617"/>
      <c r="J170" s="617"/>
      <c r="K170" s="1693">
        <f>SUM(C170:J170)</f>
        <v>395000</v>
      </c>
      <c r="L170" s="569">
        <v>390000</v>
      </c>
    </row>
    <row r="171" spans="1:14" ht="15.75" customHeight="1" x14ac:dyDescent="0.2">
      <c r="A171" s="622" t="s">
        <v>790</v>
      </c>
      <c r="B171" s="673" t="s">
        <v>86</v>
      </c>
      <c r="C171" s="617"/>
      <c r="D171" s="617"/>
      <c r="E171" s="466"/>
      <c r="F171" s="617"/>
      <c r="G171" s="617"/>
      <c r="H171" s="569">
        <v>4075</v>
      </c>
      <c r="I171" s="477"/>
      <c r="J171" s="617"/>
      <c r="K171" s="1693">
        <f>SUM(C171:J171)</f>
        <v>4075</v>
      </c>
      <c r="L171" s="569"/>
    </row>
    <row r="172" spans="1:14" ht="12.75" customHeight="1" thickBot="1" x14ac:dyDescent="0.25">
      <c r="A172" s="1690" t="s">
        <v>659</v>
      </c>
      <c r="B172" s="1691" t="s">
        <v>513</v>
      </c>
      <c r="C172" s="617"/>
      <c r="D172" s="617"/>
      <c r="E172" s="1699">
        <f>SUM(E168,E169,E170,E171)</f>
        <v>0</v>
      </c>
      <c r="F172" s="617"/>
      <c r="G172" s="617"/>
      <c r="H172" s="1699">
        <f>SUM(H168,H169,H170,H171)</f>
        <v>928755</v>
      </c>
      <c r="I172" s="639"/>
      <c r="J172" s="617"/>
      <c r="K172" s="1699">
        <f>SUM(K168,K169,K170,K171)</f>
        <v>928755</v>
      </c>
      <c r="L172" s="1699">
        <f>SUM(L168,L169,L170,L171)</f>
        <v>930000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928755</v>
      </c>
      <c r="I174" s="639"/>
      <c r="J174" s="617"/>
      <c r="K174" s="1699">
        <f>SUM(K160,K172,K173)</f>
        <v>928755</v>
      </c>
      <c r="L174" s="1699">
        <f>SUM(L160,L172,L173)</f>
        <v>930000</v>
      </c>
    </row>
    <row r="175" spans="1:14" ht="13.5" thickTop="1" x14ac:dyDescent="0.2">
      <c r="A175" s="2175" t="s">
        <v>1053</v>
      </c>
      <c r="B175" s="2176"/>
      <c r="C175" s="617"/>
      <c r="D175" s="617"/>
      <c r="E175" s="617"/>
      <c r="F175" s="617"/>
      <c r="G175" s="617"/>
      <c r="H175" s="619"/>
      <c r="I175" s="617"/>
      <c r="J175" s="617"/>
      <c r="K175" s="1706">
        <f>'Revenues 9-14'!E275-'Expenditures 15-22'!K174</f>
        <v>-114142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578936</v>
      </c>
      <c r="D182" s="466">
        <v>191861</v>
      </c>
      <c r="E182" s="466">
        <v>386399</v>
      </c>
      <c r="F182" s="466">
        <v>109010</v>
      </c>
      <c r="G182" s="466"/>
      <c r="H182" s="466">
        <v>2594</v>
      </c>
      <c r="I182" s="467"/>
      <c r="J182" s="467"/>
      <c r="K182" s="1693">
        <f>SUM(C182:J182)</f>
        <v>1268800</v>
      </c>
      <c r="L182" s="466">
        <v>1271679</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578936</v>
      </c>
      <c r="D184" s="1699">
        <f t="shared" ref="D184:J184" si="17">SUM(D180,D182,D183)</f>
        <v>191861</v>
      </c>
      <c r="E184" s="1699">
        <f t="shared" si="17"/>
        <v>386399</v>
      </c>
      <c r="F184" s="1699">
        <f t="shared" si="17"/>
        <v>109010</v>
      </c>
      <c r="G184" s="1699">
        <f t="shared" si="17"/>
        <v>0</v>
      </c>
      <c r="H184" s="1699">
        <f t="shared" si="17"/>
        <v>2594</v>
      </c>
      <c r="I184" s="1699">
        <f t="shared" si="17"/>
        <v>0</v>
      </c>
      <c r="J184" s="1699">
        <f t="shared" si="17"/>
        <v>0</v>
      </c>
      <c r="K184" s="1699">
        <f>SUM(K180,K182,K183)</f>
        <v>1268800</v>
      </c>
      <c r="L184" s="1699">
        <f>SUM(L180, L182:L183)</f>
        <v>1271679</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578936</v>
      </c>
      <c r="D210" s="1692">
        <f>SUM(D184,D185)</f>
        <v>191861</v>
      </c>
      <c r="E210" s="1692">
        <f>SUM(E184,E185,E196)</f>
        <v>386399</v>
      </c>
      <c r="F210" s="1692">
        <f>SUM(F184,F185)</f>
        <v>109010</v>
      </c>
      <c r="G210" s="1692">
        <f>SUM(G184,G185)</f>
        <v>0</v>
      </c>
      <c r="H210" s="1692">
        <f>SUM(H184,H185,H196,H208,H209)</f>
        <v>2594</v>
      </c>
      <c r="I210" s="1692">
        <f>SUM(I184,I185)</f>
        <v>0</v>
      </c>
      <c r="J210" s="1692">
        <f>SUM(J184,J185)</f>
        <v>0</v>
      </c>
      <c r="K210" s="1693">
        <f>SUM(K184,K185,K196,K208,K209)</f>
        <v>1268800</v>
      </c>
      <c r="L210" s="1692">
        <f>SUM(L184,L185,L196,L208,L209)</f>
        <v>1271679</v>
      </c>
    </row>
    <row r="211" spans="1:14" ht="13.5" thickTop="1" x14ac:dyDescent="0.2">
      <c r="A211" s="2175" t="s">
        <v>1053</v>
      </c>
      <c r="B211" s="2176"/>
      <c r="C211" s="619"/>
      <c r="D211" s="619"/>
      <c r="E211" s="619"/>
      <c r="F211" s="619"/>
      <c r="G211" s="619"/>
      <c r="H211" s="619"/>
      <c r="I211" s="617"/>
      <c r="J211" s="617"/>
      <c r="K211" s="1706">
        <f>'Revenues 9-14'!F275-'Expenditures 15-22'!K210</f>
        <v>380634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6879</v>
      </c>
      <c r="E215" s="617"/>
      <c r="F215" s="617"/>
      <c r="G215" s="617"/>
      <c r="H215" s="617"/>
      <c r="I215" s="617"/>
      <c r="J215" s="617"/>
      <c r="K215" s="1693">
        <f>D215</f>
        <v>6879</v>
      </c>
      <c r="L215" s="466">
        <v>7920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31250</v>
      </c>
      <c r="E217" s="617"/>
      <c r="F217" s="617"/>
      <c r="G217" s="617"/>
      <c r="H217" s="617"/>
      <c r="I217" s="617"/>
      <c r="J217" s="617"/>
      <c r="K217" s="1693">
        <f t="shared" si="19"/>
        <v>31250</v>
      </c>
      <c r="L217" s="466">
        <v>42570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8392</v>
      </c>
      <c r="E223" s="617"/>
      <c r="F223" s="617"/>
      <c r="G223" s="617"/>
      <c r="H223" s="617"/>
      <c r="I223" s="617"/>
      <c r="J223" s="617"/>
      <c r="K223" s="1693">
        <f t="shared" si="19"/>
        <v>8392</v>
      </c>
      <c r="L223" s="466">
        <v>7980</v>
      </c>
    </row>
    <row r="224" spans="1:14" x14ac:dyDescent="0.2">
      <c r="A224" s="1526" t="s">
        <v>1021</v>
      </c>
      <c r="B224" s="615">
        <v>1600</v>
      </c>
      <c r="C224" s="617"/>
      <c r="D224" s="466">
        <v>141</v>
      </c>
      <c r="E224" s="617"/>
      <c r="F224" s="617"/>
      <c r="G224" s="617"/>
      <c r="H224" s="617"/>
      <c r="I224" s="617"/>
      <c r="J224" s="617"/>
      <c r="K224" s="1693">
        <f t="shared" si="19"/>
        <v>141</v>
      </c>
      <c r="L224" s="466">
        <v>0</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46662</v>
      </c>
      <c r="E229" s="617"/>
      <c r="F229" s="617"/>
      <c r="G229" s="617"/>
      <c r="H229" s="617"/>
      <c r="I229" s="617"/>
      <c r="J229" s="617"/>
      <c r="K229" s="1692">
        <f>SUM(K215:K228)</f>
        <v>46662</v>
      </c>
      <c r="L229" s="1692">
        <f>SUM(L215:L228)</f>
        <v>58470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7841</v>
      </c>
      <c r="E232" s="617"/>
      <c r="F232" s="617"/>
      <c r="G232" s="617"/>
      <c r="H232" s="617"/>
      <c r="I232" s="617"/>
      <c r="J232" s="617"/>
      <c r="K232" s="1693">
        <f t="shared" ref="K232:K237" si="20">D232</f>
        <v>7841</v>
      </c>
      <c r="L232" s="466">
        <v>8137</v>
      </c>
    </row>
    <row r="233" spans="1:12" x14ac:dyDescent="0.2">
      <c r="A233" s="1526" t="s">
        <v>1151</v>
      </c>
      <c r="B233" s="615">
        <v>2120</v>
      </c>
      <c r="C233" s="617"/>
      <c r="D233" s="466">
        <v>12222</v>
      </c>
      <c r="E233" s="617"/>
      <c r="F233" s="617"/>
      <c r="G233" s="617"/>
      <c r="H233" s="617"/>
      <c r="I233" s="617"/>
      <c r="J233" s="617"/>
      <c r="K233" s="1693">
        <f t="shared" si="20"/>
        <v>12222</v>
      </c>
      <c r="L233" s="466">
        <v>13236</v>
      </c>
    </row>
    <row r="234" spans="1:12" x14ac:dyDescent="0.2">
      <c r="A234" s="1526" t="s">
        <v>207</v>
      </c>
      <c r="B234" s="615">
        <v>2130</v>
      </c>
      <c r="C234" s="617"/>
      <c r="D234" s="466">
        <v>9795</v>
      </c>
      <c r="E234" s="617"/>
      <c r="F234" s="617"/>
      <c r="G234" s="617"/>
      <c r="H234" s="617"/>
      <c r="I234" s="617"/>
      <c r="J234" s="617"/>
      <c r="K234" s="1693">
        <f t="shared" si="20"/>
        <v>9795</v>
      </c>
      <c r="L234" s="466">
        <v>10850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29858</v>
      </c>
      <c r="E238" s="617"/>
      <c r="F238" s="617"/>
      <c r="G238" s="617"/>
      <c r="H238" s="617"/>
      <c r="I238" s="617"/>
      <c r="J238" s="617"/>
      <c r="K238" s="1692">
        <f>SUM(K232:K237)</f>
        <v>29858</v>
      </c>
      <c r="L238" s="1692">
        <f>SUM(L232:L237)</f>
        <v>32223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4392</v>
      </c>
      <c r="E241" s="617"/>
      <c r="F241" s="617"/>
      <c r="G241" s="617"/>
      <c r="H241" s="617"/>
      <c r="I241" s="617"/>
      <c r="J241" s="617"/>
      <c r="K241" s="1694">
        <f>D241</f>
        <v>4392</v>
      </c>
      <c r="L241" s="466">
        <v>6900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4392</v>
      </c>
      <c r="E243" s="617"/>
      <c r="F243" s="617"/>
      <c r="G243" s="617"/>
      <c r="H243" s="617"/>
      <c r="I243" s="617"/>
      <c r="J243" s="617"/>
      <c r="K243" s="1692">
        <f>SUM(K240:K242)</f>
        <v>4392</v>
      </c>
      <c r="L243" s="1692">
        <f>SUM(L240:L242)</f>
        <v>6900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1925</v>
      </c>
      <c r="E245" s="617"/>
      <c r="F245" s="617"/>
      <c r="G245" s="617"/>
      <c r="H245" s="617"/>
      <c r="I245" s="617"/>
      <c r="J245" s="617"/>
      <c r="K245" s="1694">
        <f>D245</f>
        <v>1925</v>
      </c>
      <c r="L245" s="481">
        <v>1200</v>
      </c>
    </row>
    <row r="246" spans="1:12" x14ac:dyDescent="0.2">
      <c r="A246" s="1526" t="s">
        <v>872</v>
      </c>
      <c r="B246" s="615">
        <v>2320</v>
      </c>
      <c r="C246" s="617"/>
      <c r="D246" s="466">
        <v>5584</v>
      </c>
      <c r="E246" s="617"/>
      <c r="F246" s="617"/>
      <c r="G246" s="617"/>
      <c r="H246" s="617"/>
      <c r="I246" s="617"/>
      <c r="J246" s="617"/>
      <c r="K246" s="1694">
        <f t="shared" ref="K246:K256" si="21">D246</f>
        <v>5584</v>
      </c>
      <c r="L246" s="466">
        <v>6355</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7509</v>
      </c>
      <c r="E257" s="617"/>
      <c r="F257" s="617"/>
      <c r="G257" s="617"/>
      <c r="H257" s="617"/>
      <c r="I257" s="617"/>
      <c r="J257" s="617"/>
      <c r="K257" s="1692">
        <f>SUM(K245:K256)</f>
        <v>7509</v>
      </c>
      <c r="L257" s="1692">
        <f>SUM(L245:L256)</f>
        <v>7555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3897</v>
      </c>
      <c r="E259" s="617"/>
      <c r="F259" s="617"/>
      <c r="G259" s="617"/>
      <c r="H259" s="617"/>
      <c r="I259" s="617"/>
      <c r="J259" s="617"/>
      <c r="K259" s="1694">
        <f>D259</f>
        <v>3897</v>
      </c>
      <c r="L259" s="481">
        <v>8487</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3897</v>
      </c>
      <c r="E261" s="617"/>
      <c r="F261" s="617"/>
      <c r="G261" s="617"/>
      <c r="H261" s="617"/>
      <c r="I261" s="617"/>
      <c r="J261" s="617"/>
      <c r="K261" s="1692">
        <f>SUM(K259:K260)</f>
        <v>3897</v>
      </c>
      <c r="L261" s="1692">
        <f>SUM(L259:L260)</f>
        <v>8487</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16255</v>
      </c>
      <c r="E264" s="617"/>
      <c r="F264" s="617"/>
      <c r="G264" s="617"/>
      <c r="H264" s="617"/>
      <c r="I264" s="617"/>
      <c r="J264" s="617"/>
      <c r="K264" s="1694">
        <f t="shared" ref="K264:K269" si="22">D264</f>
        <v>16255</v>
      </c>
      <c r="L264" s="466">
        <v>16480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80502</v>
      </c>
      <c r="E266" s="617"/>
      <c r="F266" s="617"/>
      <c r="G266" s="617"/>
      <c r="H266" s="617"/>
      <c r="I266" s="617"/>
      <c r="J266" s="617"/>
      <c r="K266" s="1694">
        <f t="shared" si="22"/>
        <v>80502</v>
      </c>
      <c r="L266" s="466">
        <v>77461</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25987</v>
      </c>
      <c r="E268" s="617"/>
      <c r="F268" s="617"/>
      <c r="G268" s="617"/>
      <c r="H268" s="617"/>
      <c r="I268" s="617"/>
      <c r="J268" s="617"/>
      <c r="K268" s="1694">
        <f t="shared" si="22"/>
        <v>25987</v>
      </c>
      <c r="L268" s="466">
        <v>32033</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122744</v>
      </c>
      <c r="E270" s="617"/>
      <c r="F270" s="617"/>
      <c r="G270" s="617"/>
      <c r="H270" s="617"/>
      <c r="I270" s="617"/>
      <c r="J270" s="617"/>
      <c r="K270" s="1692">
        <f>SUM(K263:K269)</f>
        <v>122744</v>
      </c>
      <c r="L270" s="1692">
        <f>SUM(L263:L269)</f>
        <v>125974</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v>26111</v>
      </c>
      <c r="E276" s="617"/>
      <c r="F276" s="617"/>
      <c r="G276" s="617"/>
      <c r="H276" s="617"/>
      <c r="I276" s="617"/>
      <c r="J276" s="617"/>
      <c r="K276" s="1694">
        <f>D276</f>
        <v>26111</v>
      </c>
      <c r="L276" s="466">
        <v>27053</v>
      </c>
    </row>
    <row r="277" spans="1:12" ht="12.75" customHeight="1" thickBot="1" x14ac:dyDescent="0.25">
      <c r="A277" s="1713" t="s">
        <v>37</v>
      </c>
      <c r="B277" s="1691" t="s">
        <v>36</v>
      </c>
      <c r="C277" s="617"/>
      <c r="D277" s="1692">
        <f>SUM(D272:D276)</f>
        <v>26111</v>
      </c>
      <c r="E277" s="617"/>
      <c r="F277" s="617"/>
      <c r="G277" s="617"/>
      <c r="H277" s="617"/>
      <c r="I277" s="617"/>
      <c r="J277" s="617"/>
      <c r="K277" s="1692">
        <f>SUM(K272:K276)</f>
        <v>26111</v>
      </c>
      <c r="L277" s="1692">
        <f>SUM(L272:L276)</f>
        <v>27053</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194511</v>
      </c>
      <c r="E279" s="617"/>
      <c r="F279" s="617"/>
      <c r="G279" s="617"/>
      <c r="H279" s="617"/>
      <c r="I279" s="617"/>
      <c r="J279" s="617"/>
      <c r="K279" s="1699">
        <f>SUM(K238,K243,K257,K261,K270,K277,K278)</f>
        <v>194511</v>
      </c>
      <c r="L279" s="1699">
        <f>SUM(L238,L243,L257,L261,L270,L277,L278)</f>
        <v>208192</v>
      </c>
    </row>
    <row r="280" spans="1:12" ht="15.75" customHeight="1" thickTop="1" thickBot="1" x14ac:dyDescent="0.25">
      <c r="A280" s="1646" t="s">
        <v>930</v>
      </c>
      <c r="B280" s="1635">
        <v>3000</v>
      </c>
      <c r="C280" s="617"/>
      <c r="D280" s="576">
        <v>736</v>
      </c>
      <c r="E280" s="617"/>
      <c r="F280" s="617"/>
      <c r="G280" s="617"/>
      <c r="H280" s="617"/>
      <c r="I280" s="617"/>
      <c r="J280" s="617"/>
      <c r="K280" s="1701">
        <f>D280</f>
        <v>736</v>
      </c>
      <c r="L280" s="576">
        <v>1000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241909</v>
      </c>
      <c r="E295" s="617"/>
      <c r="F295" s="617"/>
      <c r="G295" s="617"/>
      <c r="H295" s="1692">
        <f>H293</f>
        <v>0</v>
      </c>
      <c r="I295" s="617"/>
      <c r="J295" s="617"/>
      <c r="K295" s="1692">
        <f>SUM(K229,K279,K280,K285,K293,K294)</f>
        <v>241909</v>
      </c>
      <c r="L295" s="1692">
        <f>SUM(L229,L279,L280,L285,L293,L294)</f>
        <v>267662</v>
      </c>
    </row>
    <row r="296" spans="1:14" ht="13.5" thickTop="1" x14ac:dyDescent="0.2">
      <c r="A296" s="2175" t="s">
        <v>1053</v>
      </c>
      <c r="B296" s="2176"/>
      <c r="C296" s="617"/>
      <c r="D296" s="619"/>
      <c r="E296" s="617"/>
      <c r="F296" s="617"/>
      <c r="G296" s="617"/>
      <c r="H296" s="688"/>
      <c r="I296" s="617"/>
      <c r="J296" s="617"/>
      <c r="K296" s="1706">
        <f>'Revenues 9-14'!G275-'Expenditures 15-22'!K295</f>
        <v>78694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v>6159</v>
      </c>
      <c r="I301" s="467"/>
      <c r="J301" s="467"/>
      <c r="K301" s="1693">
        <f>SUM(C301:J301)</f>
        <v>6159</v>
      </c>
      <c r="L301" s="467">
        <v>6000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6159</v>
      </c>
      <c r="I303" s="1699">
        <f t="shared" si="23"/>
        <v>0</v>
      </c>
      <c r="J303" s="1699">
        <f t="shared" si="23"/>
        <v>0</v>
      </c>
      <c r="K303" s="1699">
        <f t="shared" si="23"/>
        <v>6159</v>
      </c>
      <c r="L303" s="1699">
        <f t="shared" si="23"/>
        <v>6000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0</v>
      </c>
      <c r="F312" s="1692">
        <f>SUM(F303)</f>
        <v>0</v>
      </c>
      <c r="G312" s="1692">
        <f>SUM(G303)</f>
        <v>0</v>
      </c>
      <c r="H312" s="1692">
        <f>SUM(H303,H310)</f>
        <v>6159</v>
      </c>
      <c r="I312" s="1692">
        <f>SUM(I303)</f>
        <v>0</v>
      </c>
      <c r="J312" s="1692">
        <f>SUM(J303)</f>
        <v>0</v>
      </c>
      <c r="K312" s="1692">
        <f>SUM(K303,K310,K311)</f>
        <v>6159</v>
      </c>
      <c r="L312" s="1692">
        <f>SUM(L303,L310,L311)</f>
        <v>6000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-5578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8" t="s">
        <v>1053</v>
      </c>
      <c r="B343" s="2189"/>
      <c r="C343" s="617"/>
      <c r="D343" s="617"/>
      <c r="E343" s="617"/>
      <c r="F343" s="617"/>
      <c r="G343" s="617"/>
      <c r="H343" s="617"/>
      <c r="I343" s="617"/>
      <c r="J343" s="617"/>
      <c r="K343" s="1706">
        <f>'Revenues 9-14'!J275-'Expenditures 15-22'!K342</f>
        <v>9543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5" t="s">
        <v>1053</v>
      </c>
      <c r="B368" s="2176"/>
      <c r="C368" s="655"/>
      <c r="D368" s="655"/>
      <c r="E368" s="627"/>
      <c r="F368" s="627"/>
      <c r="G368" s="627"/>
      <c r="H368" s="627"/>
      <c r="I368" s="627"/>
      <c r="J368" s="624"/>
      <c r="K368" s="1693">
        <f>'Revenues 9-14'!K275-'Expenditures 15-22'!K367</f>
        <v>10067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14F8B6-F742-48D8-9F13-1076A7DC5E6F}">
  <ds:schemaRefs>
    <ds:schemaRef ds:uri="d21dc803-237d-4c68-8692-8d731fd29118"/>
    <ds:schemaRef ds:uri="http://purl.org/dc/terms/"/>
    <ds:schemaRef ds:uri="http://www.w3.org/XML/1998/namespace"/>
    <ds:schemaRef ds:uri="http://schemas.microsoft.com/office/2006/documentManagement/types"/>
    <ds:schemaRef ds:uri="http://schemas.microsoft.com/sharepoint/v3"/>
    <ds:schemaRef ds:uri="http://schemas.microsoft.com/office/infopath/2007/PartnerControls"/>
    <ds:schemaRef ds:uri="http://purl.org/dc/elements/1.1/"/>
    <ds:schemaRef ds:uri="http://purl.org/dc/dcmitype/"/>
    <ds:schemaRef ds:uri="http://schemas.openxmlformats.org/package/2006/metadata/core-properties"/>
    <ds:schemaRef ds:uri="4d435f69-8686-490b-bd6d-b153bf22ab50"/>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BE9504E7-EFA3-4F46-B4F7-B83DA6BE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SEFA2</vt:lpstr>
      <vt:lpstr>SF&amp;QC Sec-1</vt:lpstr>
      <vt:lpstr>SF&amp;QC Sec-2</vt:lpstr>
      <vt:lpstr>SF&amp;QC Sec-3</vt:lpstr>
      <vt:lpstr>SSPAF</vt:lpstr>
      <vt:lpstr>SEFA!Print_Area</vt:lpstr>
      <vt:lpstr>'SEFA NOTES'!Print_Area</vt:lpstr>
      <vt:lpstr>'SEFA Reconcile'!Print_Area</vt:lpstr>
      <vt:lpstr>SEFA2!Print_Area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2018-10-09T16:30:30Z</cp:lastPrinted>
  <dcterms:created xsi:type="dcterms:W3CDTF">2003-10-29T19:06:34Z</dcterms:created>
  <dcterms:modified xsi:type="dcterms:W3CDTF">2018-12-03T21:22:04Z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