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Expenditures 15-22" sheetId="29" r:id="rId8"/>
    <sheet name="Revenues 9-14" sheetId="5"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7">'Expenditures 15-22'!$A:$B,'Expenditures 15-22'!$1:$2</definedName>
    <definedName name="_xlnm.Print_Titles" localSheetId="13">'PCTC-OEPP 27-28'!$1:$5</definedName>
    <definedName name="_xlnm.Print_Titles" localSheetId="8">'Revenues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0" i="171" l="1"/>
  <c r="M28" i="179"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6" i="181"/>
  <c r="G26" i="181" s="1"/>
  <c r="E26" i="181"/>
  <c r="F25" i="181"/>
  <c r="G25" i="181" s="1"/>
  <c r="E25" i="181"/>
  <c r="F27" i="181"/>
  <c r="G27" i="181" s="1"/>
  <c r="E27" i="181"/>
  <c r="F24" i="181"/>
  <c r="G24" i="181" s="1"/>
  <c r="E24" i="181"/>
  <c r="E23" i="181"/>
  <c r="F23" i="181" s="1"/>
  <c r="G23" i="181" s="1"/>
  <c r="E22" i="181"/>
  <c r="F22" i="181" s="1"/>
  <c r="G22" i="181" s="1"/>
  <c r="E21" i="181"/>
  <c r="F21" i="181" s="1"/>
  <c r="G21" i="181" s="1"/>
  <c r="F20" i="181"/>
  <c r="G20" i="181" s="1"/>
  <c r="E20" i="181"/>
  <c r="E19" i="181"/>
  <c r="F19" i="181" s="1"/>
  <c r="G19" i="181" s="1"/>
  <c r="E18" i="181"/>
  <c r="F18" i="181" s="1"/>
  <c r="G18" i="181" s="1"/>
  <c r="D28" i="181" l="1"/>
  <c r="D80" i="36" l="1"/>
  <c r="B7797" i="106"/>
  <c r="E28" i="181"/>
  <c r="E17" i="181"/>
  <c r="E16" i="181"/>
  <c r="F16" i="181" s="1"/>
  <c r="G16" i="181" s="1"/>
  <c r="F17" i="181" l="1"/>
  <c r="G17" i="181" s="1"/>
  <c r="G28" i="181" s="1"/>
  <c r="G40" i="108" l="1"/>
  <c r="B7799" i="106"/>
  <c r="F28"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E27" i="108"/>
  <c r="G27" i="108"/>
  <c r="F31" i="108"/>
  <c r="F36" i="108"/>
  <c r="F37" i="108"/>
  <c r="G28"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29" i="34" s="1"/>
  <c r="F14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11" i="37"/>
  <c r="D22" i="37"/>
  <c r="H22" i="37"/>
  <c r="J22" i="37"/>
  <c r="L22" i="37"/>
  <c r="D24" i="37"/>
  <c r="B4270" i="106" s="1"/>
  <c r="D4270" i="106" s="1"/>
  <c r="L5" i="11"/>
  <c r="B2056" i="106" s="1"/>
  <c r="D2056" i="106" s="1"/>
  <c r="D4" i="7"/>
  <c r="B1760" i="106" s="1"/>
  <c r="D1760" i="106" s="1"/>
  <c r="D5" i="7"/>
  <c r="B1761" i="106" s="1"/>
  <c r="D1761" i="106" s="1"/>
  <c r="D9" i="7"/>
  <c r="B1767" i="106" s="1"/>
  <c r="D1767" i="106" s="1"/>
  <c r="F136" i="34"/>
  <c r="F130" i="34"/>
  <c r="F111" i="34"/>
  <c r="B5752" i="106"/>
  <c r="D5752" i="106" s="1"/>
  <c r="B5599" i="106"/>
  <c r="D5599" i="106" s="1"/>
  <c r="K274" i="5"/>
  <c r="C172" i="5"/>
  <c r="B5214" i="106" s="1"/>
  <c r="D5214" i="106" s="1"/>
  <c r="F106" i="34"/>
  <c r="B1746" i="106"/>
  <c r="D1746" i="106" s="1"/>
  <c r="D17" i="7"/>
  <c r="B4104" i="106" s="1"/>
  <c r="D4104" i="106" s="1"/>
  <c r="G173" i="5" l="1"/>
  <c r="B5778" i="106" s="1"/>
  <c r="D5778" i="106" s="1"/>
  <c r="B5770" i="106"/>
  <c r="D5770" i="106" s="1"/>
  <c r="D7245" i="106"/>
  <c r="I342" i="29"/>
  <c r="B7222" i="106" s="1"/>
  <c r="D7222" i="106" s="1"/>
  <c r="D15" i="7"/>
  <c r="B1772" i="106" s="1"/>
  <c r="D1772" i="106" s="1"/>
  <c r="D7" i="7"/>
  <c r="B1763" i="106" s="1"/>
  <c r="D1763" i="106" s="1"/>
  <c r="H109" i="5"/>
  <c r="H173" i="5"/>
  <c r="F127" i="34"/>
  <c r="F131" i="34"/>
  <c r="D13" i="7"/>
  <c r="B3726" i="106" s="1"/>
  <c r="D3726" i="106" s="1"/>
  <c r="K28" i="118"/>
  <c r="O27" i="118" s="1"/>
  <c r="O29" i="118" s="1"/>
  <c r="J274" i="5"/>
  <c r="B7054" i="106" s="1"/>
  <c r="D7054" i="106" s="1"/>
  <c r="K173" i="5"/>
  <c r="K6" i="4" s="1"/>
  <c r="B3570" i="106" s="1"/>
  <c r="D3570" i="106" s="1"/>
  <c r="F172" i="5"/>
  <c r="B5644" i="106" s="1"/>
  <c r="D5644" i="106" s="1"/>
  <c r="G109" i="5"/>
  <c r="B6024" i="106" s="1"/>
  <c r="D6024" i="106" s="1"/>
  <c r="L367" i="29"/>
  <c r="B3649" i="106"/>
  <c r="D3649" i="106" s="1"/>
  <c r="G367" i="29"/>
  <c r="B3621" i="106"/>
  <c r="D3621" i="106" s="1"/>
  <c r="C367" i="29"/>
  <c r="K285" i="29"/>
  <c r="B1329" i="106"/>
  <c r="D1329" i="106" s="1"/>
  <c r="F61" i="34"/>
  <c r="K24" i="12"/>
  <c r="B4268" i="106"/>
  <c r="D4268" i="106" s="1"/>
  <c r="F128" i="34"/>
  <c r="F68" i="34"/>
  <c r="L13" i="11"/>
  <c r="B2060" i="106" s="1"/>
  <c r="D2060" i="106" s="1"/>
  <c r="F19" i="7"/>
  <c r="B1807" i="106" s="1"/>
  <c r="D1807" i="106" s="1"/>
  <c r="D12" i="7"/>
  <c r="B1769" i="106" s="1"/>
  <c r="D1769" i="106" s="1"/>
  <c r="D11" i="7"/>
  <c r="B1768" i="106" s="1"/>
  <c r="D1768" i="106" s="1"/>
  <c r="B1410" i="106"/>
  <c r="D1410" i="106" s="1"/>
  <c r="F66" i="34"/>
  <c r="K184" i="29"/>
  <c r="F13" i="4" s="1"/>
  <c r="B2596" i="106" s="1"/>
  <c r="D2596" i="106" s="1"/>
  <c r="G29" i="108"/>
  <c r="E29" i="108"/>
  <c r="D109" i="5"/>
  <c r="B5356" i="106" s="1"/>
  <c r="D5356" i="106" s="1"/>
  <c r="G30" i="108"/>
  <c r="E30" i="108"/>
  <c r="F28" i="108"/>
  <c r="E28" i="108"/>
  <c r="F27" i="108"/>
  <c r="B2724" i="106"/>
  <c r="D2724" i="106" s="1"/>
  <c r="C173" i="5"/>
  <c r="B5223" i="106" s="1"/>
  <c r="D5223" i="106" s="1"/>
  <c r="C109" i="5"/>
  <c r="B5121" i="106" s="1"/>
  <c r="D5121" i="106" s="1"/>
  <c r="D54" i="36"/>
  <c r="K41" i="3"/>
  <c r="J41" i="3"/>
  <c r="D51" i="36" s="1"/>
  <c r="H33" i="118"/>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7270" i="106"/>
  <c r="B5906" i="106" l="1"/>
  <c r="D5906" i="106" s="1"/>
  <c r="H6" i="4"/>
  <c r="B2656" i="106" s="1"/>
  <c r="D2656" i="106" s="1"/>
  <c r="F73" i="34"/>
  <c r="G15" i="4"/>
  <c r="B6032" i="106" s="1"/>
  <c r="D6032" i="106" s="1"/>
  <c r="B1328" i="106"/>
  <c r="D1328" i="106" s="1"/>
  <c r="D7255" i="106"/>
  <c r="D7253" i="106"/>
  <c r="D7252" i="106"/>
  <c r="B5653" i="106"/>
  <c r="D5653" i="106" s="1"/>
  <c r="B3724" i="106"/>
  <c r="D3724" i="106" s="1"/>
  <c r="D4" i="4"/>
  <c r="B2564" i="106" s="1"/>
  <c r="D2564" i="106" s="1"/>
  <c r="G4" i="4"/>
  <c r="B2603" i="106" s="1"/>
  <c r="D2603" i="106" s="1"/>
  <c r="H367" i="29"/>
  <c r="B3660" i="106" s="1"/>
  <c r="D3660" i="106" s="1"/>
  <c r="B7733" i="106"/>
  <c r="D7733" i="106" s="1"/>
  <c r="K26" i="12"/>
  <c r="B7743" i="106" s="1"/>
  <c r="D7743" i="106" s="1"/>
  <c r="B6025" i="106"/>
  <c r="D6025" i="106" s="1"/>
  <c r="H4" i="4"/>
  <c r="L114" i="29"/>
  <c r="L16" i="11"/>
  <c r="B2061" i="106" s="1"/>
  <c r="D2061" i="106" s="1"/>
  <c r="B6216" i="106"/>
  <c r="D6216" i="106" s="1"/>
  <c r="K342" i="29"/>
  <c r="F13" i="34" s="1"/>
  <c r="F275" i="5"/>
  <c r="D44" i="36"/>
  <c r="C114" i="29"/>
  <c r="B757" i="106" s="1"/>
  <c r="D757" i="106" s="1"/>
  <c r="C4" i="4"/>
  <c r="B2551" i="106" s="1"/>
  <c r="D2551" i="106" s="1"/>
  <c r="D19" i="7"/>
  <c r="B1775" i="106" s="1"/>
  <c r="D1775" i="106" s="1"/>
  <c r="B3568" i="106"/>
  <c r="D3568" i="106" s="1"/>
  <c r="D52"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5" i="106" l="1"/>
  <c r="D2655" i="106" s="1"/>
  <c r="H8" i="4"/>
  <c r="J8" i="4"/>
  <c r="B6223" i="106" s="1"/>
  <c r="D6223" i="106" s="1"/>
  <c r="F8"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B2658" i="106" l="1"/>
  <c r="D2658" i="106" s="1"/>
  <c r="H10" i="4"/>
  <c r="B4127" i="106" s="1"/>
  <c r="D4127" i="106" s="1"/>
  <c r="J20" i="4"/>
  <c r="B6230" i="106" s="1"/>
  <c r="D6230" i="106" s="1"/>
  <c r="D8" i="4"/>
  <c r="B2568" i="106" s="1"/>
  <c r="D2568" i="106" s="1"/>
  <c r="D19" i="17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10" i="4"/>
  <c r="B4123" i="106" s="1"/>
  <c r="D4123" i="106" s="1"/>
  <c r="C8" i="146" l="1"/>
  <c r="J78" i="4"/>
  <c r="J81" i="4" s="1"/>
  <c r="D20" i="4"/>
  <c r="D78" i="4"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B2574" i="106"/>
  <c r="D2574" i="106" s="1"/>
  <c r="F179" i="34" l="1"/>
  <c r="F79" i="34"/>
  <c r="B6263" i="106"/>
  <c r="D6263" i="106" s="1"/>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comments4.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sharedStrings.xml><?xml version="1.0" encoding="utf-8"?>
<sst xmlns="http://schemas.openxmlformats.org/spreadsheetml/2006/main" count="5042" uniqueCount="2110">
  <si>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</si>
  <si>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</si>
  <si>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</si>
  <si>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</si>
  <si>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</si>
  <si>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</si>
  <si>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</si>
  <si>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</si>
  <si>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</si>
  <si>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</si>
  <si>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</si>
  <si>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</si>
  <si>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</si>
  <si>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</si>
  <si>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</si>
  <si>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</si>
  <si>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</si>
  <si>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</si>
  <si>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</si>
  <si>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</si>
  <si>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</si>
  <si>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</si>
  <si>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</si>
  <si>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</si>
  <si>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</si>
  <si>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</si>
  <si>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</si>
  <si>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</si>
  <si>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</si>
  <si>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</si>
  <si>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</si>
  <si>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</si>
  <si>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</si>
  <si>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</si>
  <si>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</si>
  <si>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</si>
  <si>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</si>
  <si>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</si>
  <si>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</si>
  <si>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</si>
  <si>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</si>
  <si>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</si>
  <si>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</si>
  <si>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</si>
  <si>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</si>
  <si>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</si>
  <si>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</si>
  <si>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</si>
  <si>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</si>
  <si>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</si>
  <si>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</si>
  <si>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</si>
  <si>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</si>
  <si>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</si>
  <si>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</si>
  <si>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</si>
  <si>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</si>
  <si>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</si>
  <si>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</si>
  <si>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</si>
  <si>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</si>
  <si>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</si>
  <si>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</si>
  <si>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</si>
  <si>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</si>
  <si>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</si>
  <si>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</si>
  <si>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</si>
  <si>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</si>
  <si>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</si>
  <si>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</si>
  <si>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</si>
  <si>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</si>
  <si>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</si>
  <si>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</si>
  <si>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</si>
  <si>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</si>
  <si>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</si>
  <si>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</si>
  <si>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</si>
  <si>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</si>
  <si>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</si>
  <si>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</si>
  <si>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</si>
  <si>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</si>
  <si>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</si>
  <si>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</si>
  <si>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</si>
  <si>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</si>
  <si>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</si>
  <si>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</si>
  <si>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</si>
  <si>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</si>
  <si>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</si>
  <si>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</si>
  <si>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</si>
  <si>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</si>
  <si>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</si>
  <si>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</si>
  <si>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</si>
  <si>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</si>
  <si>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</si>
  <si>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</si>
  <si>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</si>
  <si>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</si>
  <si>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</si>
  <si>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</si>
  <si>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</si>
  <si>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</si>
  <si>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</si>
  <si>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</si>
  <si>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</si>
  <si>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</si>
  <si>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</si>
  <si>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</si>
  <si>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</si>
  <si>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</si>
  <si>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</si>
  <si>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</si>
  <si>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</si>
  <si>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</si>
  <si>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</si>
  <si>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</si>
  <si>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</si>
  <si>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</si>
  <si>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</si>
  <si>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</si>
  <si>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</si>
  <si>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</si>
  <si>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</si>
  <si>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</si>
  <si>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</si>
  <si>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</si>
  <si>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</si>
  <si>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</si>
  <si>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</si>
  <si>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</si>
  <si>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</si>
  <si>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</si>
  <si>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</si>
  <si>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</si>
  <si>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</si>
  <si>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</si>
  <si>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</si>
  <si>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</si>
  <si>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</si>
  <si>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</si>
  <si>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</si>
  <si>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</si>
  <si>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</si>
  <si>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</si>
  <si>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</si>
  <si>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</si>
  <si>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</si>
  <si>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</si>
  <si>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</si>
  <si>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</si>
  <si>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</si>
  <si>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</si>
  <si>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</si>
  <si>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</si>
  <si>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</si>
  <si>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</si>
  <si>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</si>
  <si>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</si>
  <si>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</si>
  <si>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</si>
  <si>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</si>
  <si>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</si>
  <si>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</si>
  <si>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</si>
  <si>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</si>
  <si>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</si>
  <si>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</si>
  <si>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</si>
  <si>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</si>
  <si>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</si>
  <si>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</si>
  <si>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</si>
  <si>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</si>
  <si>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</si>
  <si>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</si>
  <si>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</si>
  <si>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</si>
  <si>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</si>
  <si>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</si>
  <si>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</si>
  <si>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</si>
  <si>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</si>
  <si>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</si>
  <si>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</si>
  <si>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</si>
  <si>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</si>
  <si>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</si>
  <si>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</si>
  <si>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</si>
  <si>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</si>
  <si>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</si>
  <si>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</si>
  <si>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</si>
  <si>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</si>
  <si>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</si>
  <si>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</si>
  <si>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</si>
  <si>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</si>
  <si>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</si>
  <si>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</si>
  <si>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</si>
  <si>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</si>
  <si>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</si>
  <si>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</si>
  <si>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</si>
  <si>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</si>
  <si>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</si>
  <si>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</si>
  <si>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</si>
  <si>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</si>
  <si>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</si>
  <si>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</si>
  <si>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</si>
  <si>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</si>
  <si>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</si>
  <si>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</si>
  <si>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</si>
  <si>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</si>
  <si>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</si>
  <si>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</si>
  <si>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</si>
  <si>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</si>
  <si>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</si>
  <si>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</si>
  <si>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</si>
  <si>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</si>
  <si>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</si>
  <si>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</si>
  <si>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</si>
  <si>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</si>
  <si>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</si>
  <si>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</si>
  <si>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</si>
  <si>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</si>
  <si>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</si>
  <si>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</si>
  <si>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</si>
  <si>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</si>
  <si>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</si>
  <si>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</si>
  <si>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</si>
  <si>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</si>
  <si>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</si>
  <si>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</si>
  <si>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</si>
  <si>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</si>
  <si>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</si>
  <si>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</si>
  <si>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</si>
  <si>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</si>
  <si>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</si>
  <si>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</si>
  <si>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</si>
  <si>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</si>
  <si>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</si>
  <si>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</si>
  <si>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</si>
  <si>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</si>
  <si>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</si>
  <si>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</si>
  <si>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</si>
  <si>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</si>
  <si>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</si>
  <si>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</si>
  <si>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</si>
  <si>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</si>
  <si>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</si>
  <si>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</si>
  <si>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</si>
  <si>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</si>
  <si>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</si>
  <si>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</si>
  <si>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</si>
  <si>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</si>
  <si>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</si>
  <si>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</si>
  <si>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</si>
  <si>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</si>
  <si>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</si>
  <si>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</si>
  <si>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</si>
  <si>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</si>
  <si>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</si>
  <si>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</si>
  <si>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</si>
  <si>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</si>
  <si>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</si>
  <si>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</si>
  <si>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</si>
  <si>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</si>
  <si>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</si>
  <si>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</si>
  <si>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</si>
  <si>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</si>
  <si>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</si>
  <si>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</si>
  <si>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</si>
  <si>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</si>
  <si>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</si>
  <si>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</si>
  <si>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</si>
  <si>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</si>
  <si>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</si>
  <si>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</si>
  <si>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</si>
  <si>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</si>
  <si>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</si>
  <si>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</si>
  <si>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</si>
  <si>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</si>
  <si>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</si>
  <si>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</si>
  <si>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</si>
  <si>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</si>
  <si>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</si>
  <si>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</si>
  <si>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</si>
  <si>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</si>
  <si>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</si>
  <si>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</si>
  <si>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</si>
  <si>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</si>
  <si>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</si>
  <si>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</si>
  <si>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</si>
  <si>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</si>
  <si>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</si>
  <si>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</si>
  <si>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</si>
  <si>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</si>
  <si>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</si>
  <si>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</si>
  <si>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</si>
  <si>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</si>
  <si>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</si>
  <si>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</si>
  <si>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</si>
  <si>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</si>
  <si>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</si>
  <si>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</si>
  <si>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</si>
  <si>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</si>
  <si>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</si>
  <si>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</si>
  <si>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</si>
  <si>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</si>
  <si>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</si>
  <si>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</si>
  <si>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</si>
  <si>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</si>
  <si>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</si>
  <si>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</si>
  <si>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</si>
  <si>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</si>
  <si>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</si>
  <si>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</si>
  <si>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</si>
  <si>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</si>
  <si>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</si>
  <si>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</si>
  <si>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</si>
  <si>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</si>
  <si>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</si>
  <si>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</si>
  <si>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</si>
  <si>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</si>
  <si>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</si>
  <si>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</si>
  <si>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</si>
  <si>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</si>
  <si>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</si>
  <si>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</si>
  <si>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</si>
  <si>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</si>
  <si>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</si>
  <si>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</si>
  <si>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</si>
  <si>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</si>
  <si>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</si>
  <si>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</si>
  <si>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</si>
  <si>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</si>
  <si>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</si>
  <si>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</si>
  <si>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</si>
  <si>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</si>
  <si>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</si>
  <si>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</si>
  <si>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</si>
  <si>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</si>
  <si>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</si>
  <si>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</si>
  <si>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</si>
  <si>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</si>
  <si>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</si>
  <si>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</si>
  <si>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</si>
  <si>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</si>
  <si>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</si>
  <si>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</si>
  <si>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</si>
  <si>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</si>
  <si>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</si>
  <si>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</si>
  <si>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</si>
  <si>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</si>
  <si>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</si>
  <si>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</si>
  <si>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</si>
  <si>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</si>
  <si>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</si>
  <si>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</si>
  <si>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</si>
  <si>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</si>
  <si>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</si>
  <si>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</si>
  <si>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</si>
  <si>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</si>
  <si>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</si>
  <si>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</si>
  <si>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</si>
  <si>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</si>
  <si>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</si>
  <si>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</si>
  <si>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</si>
  <si>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</si>
  <si>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</si>
  <si>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</si>
  <si>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</si>
  <si>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</si>
  <si>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</si>
  <si>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</si>
  <si>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</si>
  <si>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</si>
  <si>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</si>
  <si>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</si>
  <si>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</si>
  <si>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</si>
  <si>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</si>
  <si>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</si>
  <si>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</si>
  <si>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</si>
  <si>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</si>
  <si>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</si>
  <si>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</si>
  <si>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</si>
  <si>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</si>
  <si>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</si>
  <si>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</si>
  <si>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</si>
  <si>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</si>
  <si>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</si>
  <si>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</si>
  <si>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</si>
  <si>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</si>
  <si>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</si>
  <si>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</si>
  <si>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</si>
  <si>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</si>
  <si>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</si>
  <si>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</si>
  <si>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</si>
  <si>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</si>
  <si>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</si>
  <si>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</si>
  <si>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</si>
  <si>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</si>
  <si>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</si>
  <si>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</si>
  <si>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</si>
  <si>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</si>
  <si>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</si>
  <si>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</si>
  <si>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</si>
  <si>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</si>
  <si>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</si>
  <si>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</si>
  <si>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</si>
  <si>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</si>
  <si>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</si>
  <si>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</si>
  <si>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</si>
  <si>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</si>
  <si>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</si>
  <si>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</si>
  <si>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</si>
  <si>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</si>
  <si>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</si>
  <si>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</si>
  <si>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</si>
  <si>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</si>
  <si>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</si>
  <si>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</si>
  <si>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</si>
  <si>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</si>
  <si>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</si>
  <si>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</si>
  <si>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</si>
  <si>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</si>
  <si>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</si>
  <si>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</si>
  <si>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</si>
  <si>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</si>
  <si>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</si>
  <si>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</si>
  <si>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</si>
  <si>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</si>
  <si>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</si>
  <si>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</si>
  <si>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</si>
  <si>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</si>
  <si>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</si>
  <si>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</si>
  <si>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</si>
  <si>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</si>
  <si>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</si>
  <si>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</si>
  <si>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</si>
  <si>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</si>
  <si>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</si>
  <si>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</si>
  <si>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</si>
  <si>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</si>
  <si>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</si>
  <si>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</si>
  <si>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</si>
  <si>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</si>
  <si>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</si>
  <si>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</si>
  <si>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</si>
  <si>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</si>
  <si>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</si>
  <si>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</si>
  <si>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</si>
  <si>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</si>
  <si>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</si>
  <si>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</si>
  <si>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</si>
  <si>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</si>
  <si>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</si>
  <si>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</si>
  <si>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</si>
  <si>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</si>
  <si>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</si>
  <si>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</si>
  <si>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</si>
  <si>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</si>
  <si>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</si>
  <si>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</si>
  <si>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</si>
  <si>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</si>
  <si>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</si>
  <si>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</si>
  <si>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</si>
  <si>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</si>
  <si>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</si>
  <si>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</si>
  <si>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</si>
  <si>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</si>
  <si>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</si>
  <si>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</si>
  <si>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</si>
  <si>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</si>
  <si>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</si>
  <si>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</si>
  <si>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</si>
  <si>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</si>
  <si>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</si>
  <si>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</si>
  <si>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</si>
  <si>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</si>
  <si>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</si>
  <si>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</si>
  <si>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</si>
  <si>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</si>
  <si>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</si>
  <si>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</si>
  <si>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</si>
  <si>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</si>
  <si>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</si>
  <si>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</si>
  <si>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</si>
  <si>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</si>
  <si>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</si>
  <si>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</si>
  <si>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</si>
  <si>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</si>
  <si>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</si>
  <si>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</si>
  <si>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</si>
  <si>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</si>
  <si>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</si>
  <si>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</si>
  <si>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</si>
  <si>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</si>
  <si>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</si>
  <si>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</si>
  <si>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</si>
  <si>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</si>
  <si>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</si>
  <si>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</si>
  <si>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</si>
  <si>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</si>
  <si>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</si>
  <si>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</si>
  <si>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</si>
  <si>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</si>
  <si>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</si>
  <si>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</si>
  <si>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</si>
  <si>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</si>
  <si>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</si>
  <si>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</si>
  <si>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</si>
  <si>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</si>
  <si>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</si>
  <si>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</si>
  <si>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</si>
  <si>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</si>
  <si>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</si>
  <si>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</si>
  <si>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</si>
  <si>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</si>
  <si>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</si>
  <si>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</si>
  <si>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</si>
  <si>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</si>
  <si>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</si>
  <si>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</si>
  <si>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</si>
  <si>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</si>
  <si>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</si>
  <si>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</si>
  <si>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</si>
  <si>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</si>
  <si>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</si>
  <si>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</si>
  <si>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</si>
  <si>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</si>
  <si>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</si>
  <si>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</si>
  <si>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</si>
  <si>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</si>
  <si>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</si>
  <si>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</si>
  <si>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</si>
  <si>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</si>
  <si>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</si>
  <si>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</si>
  <si>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</si>
  <si>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</si>
  <si>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</si>
  <si>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</si>
  <si>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</si>
  <si>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</si>
  <si>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</si>
  <si>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</si>
  <si>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</si>
  <si>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</si>
  <si>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</si>
  <si>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</si>
  <si>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</si>
  <si>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</si>
  <si>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</si>
  <si>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</si>
  <si>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</si>
  <si>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</si>
  <si>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</si>
  <si>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</si>
  <si>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</si>
  <si>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</si>
  <si>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</si>
  <si>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</si>
  <si>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</si>
  <si>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</si>
  <si>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</si>
  <si>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</si>
  <si>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</si>
  <si>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</si>
  <si>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</si>
  <si>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</si>
  <si>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</si>
  <si>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</si>
  <si>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</si>
  <si>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</si>
  <si>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</si>
  <si>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</si>
  <si>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</si>
  <si>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</si>
  <si>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</si>
  <si>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</si>
  <si>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</si>
  <si>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</si>
  <si>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</si>
  <si>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</si>
  <si>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</si>
  <si>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</si>
  <si>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</si>
  <si>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</si>
  <si>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</si>
  <si>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</si>
  <si>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</si>
  <si>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</si>
  <si>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</si>
  <si>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</si>
  <si>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</si>
  <si>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</si>
  <si>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</si>
  <si>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</si>
  <si>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</si>
  <si>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</si>
  <si>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</si>
  <si>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</si>
  <si>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</si>
  <si>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</si>
  <si>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</si>
  <si>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</si>
  <si>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</si>
  <si>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</si>
  <si>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</si>
  <si>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</si>
  <si>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</si>
  <si>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</si>
  <si>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</si>
  <si>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</si>
  <si>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</si>
  <si>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</si>
  <si>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</si>
  <si>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</si>
  <si>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</si>
  <si>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</si>
  <si>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</si>
  <si>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</si>
  <si>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</si>
  <si>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</si>
  <si>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</si>
  <si>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</si>
  <si>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</si>
  <si>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</si>
  <si>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</si>
  <si>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</si>
  <si>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</si>
  <si>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</si>
  <si>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</si>
  <si>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</si>
  <si>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</si>
  <si>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</si>
  <si>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</si>
  <si>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</si>
  <si>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</si>
  <si>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</si>
  <si>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</si>
  <si>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</si>
  <si>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</si>
  <si>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</si>
  <si>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</si>
  <si>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</si>
  <si>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</si>
  <si>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</si>
  <si>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</si>
  <si>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</si>
  <si>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</si>
  <si>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</si>
  <si>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</si>
  <si>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</si>
  <si>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</si>
  <si>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</si>
  <si>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</si>
  <si>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</si>
  <si>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</si>
  <si>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</si>
  <si>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</si>
  <si>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</si>
  <si>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</si>
  <si>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</si>
  <si>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</si>
  <si>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</si>
  <si>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</si>
  <si>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</si>
  <si>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</si>
  <si>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</si>
  <si>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</si>
  <si>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</si>
  <si>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</si>
  <si>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</si>
  <si>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</si>
  <si>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</si>
  <si>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</si>
  <si>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</si>
  <si>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</si>
  <si>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</si>
  <si>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</si>
  <si>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</si>
  <si>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</si>
  <si>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</si>
  <si>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</si>
  <si>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</si>
  <si>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</si>
  <si>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</si>
  <si>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</si>
  <si>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</si>
  <si>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</si>
  <si>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</si>
  <si>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</si>
  <si>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</si>
  <si>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</si>
  <si>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</si>
  <si>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</si>
  <si>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</si>
  <si>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</si>
  <si>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</si>
  <si>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</si>
  <si>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</si>
  <si>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</si>
  <si>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</si>
  <si>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</si>
  <si>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</si>
  <si>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</si>
  <si>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</si>
  <si>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</si>
  <si>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</si>
  <si>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</si>
  <si>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</si>
  <si>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</si>
  <si>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</si>
  <si>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</si>
  <si>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</si>
  <si>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</si>
  <si>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</si>
  <si>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</si>
  <si>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</si>
  <si>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</si>
  <si>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</si>
  <si>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</si>
  <si>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</si>
  <si>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</si>
  <si>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</si>
  <si>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</si>
  <si>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</si>
  <si>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</si>
  <si>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</si>
  <si>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</si>
  <si>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</si>
  <si>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</si>
  <si>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</si>
  <si>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</si>
  <si>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</si>
  <si>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</si>
  <si>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</si>
  <si>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</si>
  <si>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</si>
  <si>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</si>
  <si>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</si>
  <si>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</si>
  <si>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</si>
  <si>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</si>
  <si>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</si>
  <si>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</si>
  <si>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</si>
  <si>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</si>
  <si>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</si>
  <si>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</si>
  <si>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</si>
  <si>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</si>
  <si>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</si>
  <si>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</si>
  <si>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</si>
  <si>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</si>
  <si>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</si>
  <si>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</si>
  <si>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</si>
  <si>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</si>
  <si>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</si>
  <si>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</si>
  <si>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</si>
  <si>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</si>
  <si>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</si>
  <si>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</si>
  <si>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</si>
  <si>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</si>
  <si>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</si>
  <si>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</si>
  <si>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</si>
  <si>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</si>
  <si>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</si>
  <si>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</si>
  <si>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</si>
  <si>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</si>
  <si>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</si>
  <si>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</si>
  <si>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</si>
  <si>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</si>
  <si>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</si>
  <si>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</si>
  <si>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</si>
  <si>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</si>
  <si>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</si>
  <si>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</si>
  <si>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</si>
  <si>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</si>
  <si>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</si>
  <si>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</si>
  <si>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</si>
  <si>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</si>
  <si>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</si>
  <si>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</si>
  <si>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</si>
  <si>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</si>
  <si>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</si>
  <si>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</si>
  <si>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</si>
  <si>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</si>
  <si>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</si>
  <si>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</si>
  <si>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</si>
  <si>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</si>
  <si>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</si>
  <si>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</si>
  <si>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</si>
  <si>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</si>
  <si>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</si>
  <si>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</si>
  <si>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</si>
  <si>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</si>
  <si>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</si>
  <si>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</si>
  <si>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</si>
  <si>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</si>
  <si>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</si>
  <si>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</si>
  <si>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</si>
  <si>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</si>
  <si>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</si>
  <si>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</si>
  <si>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</si>
  <si>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</si>
  <si>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</si>
  <si>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</si>
  <si>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</si>
  <si>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</si>
  <si>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</si>
  <si>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</si>
  <si>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</si>
  <si>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</si>
  <si>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</si>
  <si>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</si>
  <si>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</si>
  <si>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</si>
  <si>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</si>
  <si>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</si>
  <si>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</si>
  <si>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</si>
  <si>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</si>
  <si>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</si>
  <si>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</si>
  <si>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</si>
  <si>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</si>
  <si>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</si>
  <si>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</si>
  <si>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</si>
  <si>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</si>
  <si>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</si>
  <si>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</si>
  <si>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</si>
  <si>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</si>
  <si>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</si>
  <si>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</si>
  <si>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</si>
  <si>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</si>
  <si>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</si>
  <si>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</si>
  <si>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</si>
  <si>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</si>
  <si>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</si>
  <si>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</si>
  <si>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</si>
  <si>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</si>
  <si>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</si>
  <si>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</si>
  <si>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</si>
  <si>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</si>
  <si>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</si>
  <si>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</si>
  <si>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</si>
  <si>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</si>
  <si>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</si>
  <si>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</si>
  <si>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</si>
  <si>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</si>
  <si>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</si>
  <si>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</si>
  <si>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</si>
  <si>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</si>
  <si>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</si>
  <si>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</si>
  <si>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</si>
  <si>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</si>
  <si>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</si>
  <si>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</si>
  <si>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</si>
  <si>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</si>
  <si>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</si>
  <si>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</si>
  <si>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</si>
  <si>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</si>
  <si>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</si>
  <si>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</si>
  <si>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</si>
  <si>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</si>
  <si>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</si>
  <si>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</si>
  <si>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</si>
  <si>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</si>
  <si>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</si>
  <si>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</si>
  <si>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</si>
  <si>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</si>
  <si>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</si>
  <si>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</si>
  <si>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</si>
  <si>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</si>
  <si>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</si>
  <si>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</si>
  <si>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</si>
  <si>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</si>
  <si>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</si>
  <si>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</si>
  <si>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</si>
  <si>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</si>
  <si>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</si>
  <si>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</si>
  <si>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</si>
  <si>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</si>
  <si>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</si>
  <si>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</si>
  <si>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</si>
  <si>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</si>
  <si>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</si>
  <si>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</si>
  <si>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</si>
  <si>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</si>
  <si>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</si>
  <si>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</si>
  <si>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</si>
  <si>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</si>
  <si>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</si>
  <si>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</si>
  <si>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</si>
  <si>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</si>
  <si>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</si>
  <si>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</si>
  <si>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</si>
  <si>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</si>
  <si>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</si>
  <si>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</si>
  <si>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</si>
  <si>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</si>
  <si>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</si>
  <si>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</si>
  <si>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</si>
  <si>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</si>
  <si>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</si>
  <si>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</si>
  <si>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</si>
  <si>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</si>
  <si>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</si>
  <si>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</si>
  <si>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</si>
  <si>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</si>
  <si>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</si>
  <si>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</si>
  <si>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</si>
  <si>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</si>
  <si>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</si>
  <si>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</si>
  <si>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</si>
  <si>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</si>
  <si>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</si>
  <si>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</si>
  <si>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</si>
  <si>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</si>
  <si>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</si>
  <si>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</si>
  <si>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</si>
  <si>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</si>
  <si>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</si>
  <si>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</si>
  <si>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</si>
  <si>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</si>
  <si>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</si>
  <si>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</si>
  <si>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</si>
  <si>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</si>
  <si>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</si>
  <si>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</si>
  <si>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</si>
  <si>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</si>
  <si>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</si>
  <si>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</si>
  <si>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</si>
  <si>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</si>
  <si>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</si>
  <si>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</si>
  <si>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</si>
  <si>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</si>
  <si>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</si>
  <si>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</si>
  <si>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</si>
  <si>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</si>
  <si>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</si>
  <si>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</si>
  <si>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</si>
  <si>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</si>
  <si>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</si>
  <si>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</si>
  <si>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</si>
  <si>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</si>
  <si>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</si>
  <si>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</si>
  <si>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</si>
  <si>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</si>
  <si>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</si>
  <si>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</si>
  <si>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</si>
  <si>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</si>
  <si>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</si>
  <si>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</si>
  <si>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</si>
  <si>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</si>
  <si>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</si>
  <si>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</si>
  <si>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</si>
  <si>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</si>
  <si>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</si>
  <si>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</si>
  <si>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</si>
  <si>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</si>
  <si>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</si>
  <si>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</si>
  <si>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</si>
  <si>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</si>
  <si>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</si>
  <si>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</si>
  <si>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</si>
  <si>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</si>
  <si>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</si>
  <si>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</si>
  <si>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</si>
  <si>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</si>
  <si>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</si>
  <si>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</si>
  <si>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</si>
  <si>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</si>
  <si>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</si>
  <si>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</si>
  <si>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</si>
  <si>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</si>
  <si>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</si>
  <si>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</si>
  <si>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</si>
  <si>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</si>
  <si>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</si>
  <si>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</si>
  <si>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</si>
  <si>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</si>
  <si>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</si>
  <si>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</si>
  <si>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</si>
  <si>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</si>
  <si>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</si>
  <si>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</si>
  <si>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</si>
  <si>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</si>
  <si>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</si>
  <si>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</si>
  <si>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</si>
  <si>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</si>
  <si>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</si>
  <si>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</si>
  <si>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</si>
  <si>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</si>
  <si>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</si>
  <si>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</si>
  <si>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</si>
  <si>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</si>
  <si>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</si>
  <si>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</si>
  <si>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</si>
  <si>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</si>
  <si>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</si>
  <si>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</si>
  <si>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</si>
  <si>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</si>
  <si>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</si>
  <si>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</si>
  <si>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</si>
  <si>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</si>
  <si>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</si>
  <si>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</si>
  <si>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</si>
  <si>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</si>
  <si>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</si>
  <si>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</si>
  <si>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</si>
  <si>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</si>
  <si>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</si>
  <si>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</si>
  <si>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</si>
  <si>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</si>
  <si>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</si>
  <si>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</si>
  <si>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</si>
  <si>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</si>
  <si>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</si>
  <si>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</si>
  <si>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</si>
  <si>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</si>
  <si>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</si>
  <si>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</si>
  <si>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</si>
  <si>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</si>
  <si>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</si>
  <si>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</si>
  <si>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</si>
  <si>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</si>
  <si>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</si>
  <si>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</si>
  <si>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</si>
  <si>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</si>
  <si>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</si>
  <si>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</si>
  <si>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</si>
  <si>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</si>
  <si>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</si>
  <si>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</si>
  <si>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</si>
  <si>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</si>
  <si>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</si>
  <si>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</si>
  <si>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</si>
  <si>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</si>
  <si>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</si>
  <si>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</si>
  <si>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</si>
  <si>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</si>
  <si>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</si>
  <si>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</si>
  <si>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</si>
  <si>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</si>
  <si>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</si>
  <si>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</si>
  <si>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</si>
  <si>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</si>
  <si>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</si>
  <si>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</si>
  <si>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</si>
  <si>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</si>
  <si>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</si>
  <si>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</si>
  <si>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</si>
  <si>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</si>
  <si>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</si>
  <si>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</si>
  <si>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</si>
  <si>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</si>
  <si>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</si>
  <si>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</si>
  <si>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</si>
  <si>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</si>
  <si>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</si>
  <si>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</si>
  <si>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</si>
  <si>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</si>
  <si>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</si>
  <si>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</si>
  <si>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</si>
  <si>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</si>
  <si>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</si>
  <si>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</si>
  <si>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</si>
  <si>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</si>
  <si>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</si>
  <si>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</si>
  <si>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</si>
  <si>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</si>
  <si>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</si>
  <si>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</si>
  <si>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</si>
  <si>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</si>
  <si>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</si>
  <si>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</si>
  <si>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</si>
  <si>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</si>
  <si>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</si>
  <si>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</si>
  <si>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</si>
  <si>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</si>
  <si>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</si>
  <si>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</si>
  <si>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</si>
  <si>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</si>
  <si>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</si>
  <si>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</si>
  <si>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</si>
  <si>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</si>
  <si>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</si>
  <si>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</si>
  <si>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</si>
  <si>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</si>
  <si>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</si>
  <si>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</si>
  <si>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</si>
  <si>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</si>
  <si>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</si>
  <si>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</si>
  <si>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</si>
  <si>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</si>
  <si>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</si>
  <si>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</si>
  <si>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</si>
  <si>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</si>
  <si>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</si>
  <si>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</si>
  <si>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</si>
  <si>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</si>
  <si>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</si>
  <si>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</si>
  <si>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</si>
  <si>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</si>
  <si>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</si>
  <si>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</si>
  <si>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</si>
  <si>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</si>
  <si>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</si>
  <si>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</si>
  <si>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</si>
  <si>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</si>
  <si>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</si>
  <si>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</si>
  <si>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</si>
  <si>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</si>
  <si>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</si>
  <si>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</si>
  <si>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</si>
  <si>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</si>
  <si>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</si>
  <si>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</si>
  <si>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</si>
  <si>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</si>
  <si>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</si>
  <si>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</si>
  <si>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</si>
  <si>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</si>
  <si>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</si>
  <si>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</si>
  <si>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</si>
  <si>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</si>
  <si>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</si>
  <si>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</si>
  <si>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</si>
  <si>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</si>
  <si>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</si>
  <si>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</si>
  <si>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</si>
  <si>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</si>
  <si>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</si>
  <si>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</si>
  <si>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</si>
  <si>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</si>
  <si>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</si>
  <si>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</si>
  <si>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</si>
  <si>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</si>
  <si>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</si>
  <si>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</si>
  <si>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</si>
  <si>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</si>
  <si>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</si>
  <si>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</si>
  <si>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</si>
  <si>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</si>
  <si>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</si>
  <si>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</si>
  <si>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</si>
  <si>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</si>
  <si>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</si>
  <si>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</si>
  <si>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</si>
  <si>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</si>
  <si>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</si>
  <si>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</si>
  <si>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</si>
  <si>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</si>
  <si>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</si>
  <si>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</si>
  <si>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</si>
  <si>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</si>
  <si>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</si>
  <si>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</si>
  <si>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</si>
  <si>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</si>
  <si>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</si>
  <si>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</si>
  <si>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</si>
  <si>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</si>
  <si>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</si>
  <si>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</si>
  <si>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</si>
  <si>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</si>
  <si>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</si>
  <si>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</si>
  <si>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</si>
  <si>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</si>
  <si>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</si>
  <si>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</si>
  <si>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</si>
  <si>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</si>
  <si>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</si>
  <si>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</si>
  <si>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</si>
  <si>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</si>
  <si>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</si>
  <si>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</si>
  <si>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</si>
  <si>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</si>
  <si>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</si>
  <si>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</si>
  <si>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</si>
  <si>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</si>
  <si>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</si>
  <si>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</si>
  <si>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</si>
  <si>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</si>
  <si>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</si>
  <si>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</si>
  <si>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</si>
  <si>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</si>
  <si>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</si>
  <si>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</si>
  <si>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</si>
  <si>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</si>
  <si>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</si>
  <si>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</si>
  <si>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</si>
  <si>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</si>
  <si>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</si>
  <si>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</si>
  <si>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</si>
  <si>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</si>
  <si>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</si>
  <si>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</si>
  <si>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</si>
  <si>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</si>
  <si>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</si>
  <si>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</si>
  <si>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</si>
  <si>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</si>
  <si>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</si>
  <si>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</si>
  <si>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</si>
  <si>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</si>
  <si>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</si>
  <si>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</si>
  <si>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</si>
  <si>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</si>
  <si>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</si>
  <si>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</si>
  <si>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</si>
  <si>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</si>
  <si>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</si>
  <si>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</si>
  <si>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</si>
  <si>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</si>
  <si>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</si>
  <si>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</si>
  <si>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</si>
  <si>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</si>
  <si>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</si>
  <si>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</si>
  <si>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</si>
  <si>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</si>
  <si>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</si>
  <si>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</si>
  <si>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</si>
  <si>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</si>
  <si>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</si>
  <si>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</si>
  <si>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</si>
  <si>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</si>
  <si>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</si>
  <si>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</si>
  <si>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</si>
  <si>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</si>
  <si>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</si>
  <si>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</si>
  <si>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</si>
  <si>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</si>
  <si>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</si>
  <si>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</si>
  <si>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</si>
  <si>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</si>
  <si>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</si>
  <si>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</si>
  <si>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</si>
  <si>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</si>
  <si>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</si>
  <si>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</si>
  <si>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</si>
  <si>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</si>
  <si>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</si>
  <si>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</si>
  <si>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</si>
  <si>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</si>
  <si>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</si>
  <si>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</si>
  <si>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</si>
  <si>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</si>
  <si>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</si>
  <si>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</si>
  <si>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</si>
  <si>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</si>
  <si>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</si>
  <si>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</si>
  <si>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</si>
  <si>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</si>
  <si>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</si>
  <si>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</si>
  <si>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</si>
  <si>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</si>
  <si>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</si>
  <si>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</si>
  <si>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</si>
  <si>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</si>
  <si>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</si>
  <si>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</si>
  <si>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</si>
  <si>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</si>
  <si>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</si>
  <si>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</si>
  <si>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</si>
  <si>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</si>
  <si>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</si>
  <si>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</si>
  <si>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</si>
  <si>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</si>
  <si>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</si>
  <si>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</si>
  <si>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</si>
  <si>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</si>
  <si>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</si>
  <si>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</si>
  <si>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</si>
  <si>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</si>
  <si>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</si>
  <si>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</si>
  <si>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</si>
  <si>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</si>
  <si>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</si>
  <si>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</si>
  <si>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</si>
  <si>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</si>
  <si>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</si>
  <si>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</si>
  <si>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</si>
  <si>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</si>
  <si>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</si>
  <si>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</si>
  <si>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</si>
  <si>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</si>
  <si>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</si>
  <si>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</si>
  <si>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</si>
  <si>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</si>
  <si>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</si>
  <si>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</si>
  <si>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</si>
  <si>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</si>
  <si>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</si>
  <si>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</si>
  <si>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</si>
  <si>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</si>
  <si>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</si>
  <si>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</si>
  <si>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</si>
  <si>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</si>
  <si>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</si>
  <si>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</si>
  <si>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</si>
  <si>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</si>
  <si>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</si>
  <si>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</si>
  <si>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</si>
  <si>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</si>
  <si>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</si>
  <si>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</si>
  <si>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</si>
  <si>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</si>
  <si>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</si>
  <si>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</si>
  <si>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</si>
  <si>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</si>
  <si>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</si>
  <si>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</si>
  <si>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</si>
  <si>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</si>
  <si>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</si>
  <si>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</si>
  <si>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</si>
  <si>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</si>
  <si>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</si>
  <si>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</si>
  <si>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</si>
  <si>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</si>
  <si>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</si>
  <si>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</si>
  <si>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</si>
  <si>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</si>
  <si>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</si>
  <si>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</si>
  <si>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</si>
  <si>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</si>
  <si>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</si>
  <si>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</si>
  <si>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</si>
  <si>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</si>
  <si>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</si>
  <si>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</si>
  <si>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</si>
  <si>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</si>
  <si>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</si>
  <si>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</si>
  <si>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</si>
  <si>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</si>
  <si>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</si>
  <si>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</si>
  <si>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</si>
  <si>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</si>
  <si>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</si>
  <si>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</si>
  <si>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</si>
  <si>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</si>
  <si>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</si>
  <si>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</si>
  <si>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</si>
  <si>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</si>
  <si>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</si>
  <si>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</si>
  <si>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</si>
  <si>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</si>
  <si>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</si>
  <si>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</si>
  <si>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</si>
  <si>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</si>
  <si>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</si>
  <si>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</si>
  <si>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</si>
  <si>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</si>
  <si>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</si>
  <si>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</si>
  <si>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</si>
  <si>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</si>
  <si>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</si>
  <si>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</si>
  <si>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</si>
  <si>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</si>
  <si>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</si>
  <si>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</si>
  <si>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</si>
  <si>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</si>
  <si>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</si>
  <si>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</si>
  <si>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</si>
  <si>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</si>
  <si>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</si>
  <si>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</si>
  <si>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</si>
  <si>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</si>
  <si>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</si>
  <si>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</si>
  <si>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</si>
  <si>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</si>
  <si>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</si>
  <si>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</si>
  <si>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</si>
  <si>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</si>
  <si>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</si>
  <si>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</si>
  <si>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</si>
  <si>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</si>
  <si>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</si>
  <si>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</si>
  <si>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</si>
  <si>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</si>
  <si>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</si>
  <si>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</si>
  <si>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</si>
  <si>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</si>
  <si>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</si>
  <si>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</si>
  <si>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</si>
  <si>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</si>
  <si>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</si>
  <si>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</si>
  <si>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</si>
  <si>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</si>
  <si>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</si>
  <si>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</si>
  <si>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</si>
  <si>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</si>
  <si>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</si>
  <si>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</si>
  <si>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</si>
  <si>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</si>
  <si>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</si>
  <si>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</si>
  <si>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</si>
  <si>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</si>
  <si>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</si>
  <si>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</si>
  <si>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</si>
  <si>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</si>
  <si>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</si>
  <si>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</si>
  <si>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</si>
  <si>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</si>
  <si>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</si>
  <si>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</si>
  <si>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</si>
  <si>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</si>
  <si>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</si>
  <si>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</si>
  <si>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</si>
  <si>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</si>
  <si>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</si>
  <si>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</si>
  <si>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</si>
  <si>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</si>
  <si>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</si>
  <si>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</si>
  <si>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</si>
  <si>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</si>
  <si>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</si>
  <si>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</si>
  <si>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</si>
  <si>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</si>
  <si>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</si>
  <si>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</si>
  <si>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</si>
  <si>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</si>
  <si>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</si>
  <si>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</si>
  <si>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</si>
  <si>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</si>
  <si>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</si>
  <si>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</si>
  <si>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</si>
  <si>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</si>
  <si>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</si>
  <si>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</si>
  <si>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</si>
  <si>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</si>
  <si>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</si>
  <si>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</si>
  <si>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</si>
  <si>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</si>
  <si>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</si>
  <si>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</si>
  <si>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</si>
  <si>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</si>
  <si>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</si>
  <si>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</si>
  <si>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</si>
  <si>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</si>
  <si>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</si>
  <si>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</si>
  <si>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</si>
  <si>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</si>
  <si>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</si>
  <si>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</si>
  <si>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</si>
  <si>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</si>
  <si>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</si>
  <si>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</si>
  <si>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</si>
  <si>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</si>
  <si>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</si>
  <si>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</si>
  <si>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</si>
  <si>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</si>
  <si>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</si>
  <si>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</si>
  <si>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</si>
  <si>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</si>
  <si>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</si>
  <si>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</si>
  <si>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</si>
  <si>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</si>
  <si>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</si>
  <si>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</si>
  <si>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</si>
  <si>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</si>
  <si>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</si>
  <si>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</si>
  <si>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</si>
  <si>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</si>
  <si>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</si>
  <si>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</si>
  <si>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</si>
  <si>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</si>
  <si>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</si>
  <si>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</si>
  <si>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</si>
  <si>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</si>
  <si>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</si>
  <si>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</si>
  <si>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</si>
  <si>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</si>
  <si>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</si>
  <si>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</si>
  <si>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</si>
  <si>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</si>
  <si>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</si>
  <si>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</si>
  <si>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</si>
  <si>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</si>
  <si>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</si>
  <si>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</si>
  <si>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</si>
  <si>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</si>
  <si>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</si>
  <si>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</si>
  <si>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</si>
  <si>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</si>
  <si>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</si>
  <si>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</si>
  <si>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</si>
  <si>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</si>
  <si>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</si>
  <si>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</si>
  <si>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</si>
  <si>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</si>
  <si>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</si>
  <si>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</si>
  <si>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</si>
  <si>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</si>
  <si>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</si>
  <si>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</si>
  <si>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</si>
  <si>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</si>
  <si>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</si>
  <si>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</si>
  <si>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</si>
  <si>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</si>
  <si>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</si>
  <si>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</si>
  <si>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</si>
  <si>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</si>
  <si>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</si>
  <si>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</si>
  <si>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</si>
  <si>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</si>
  <si>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</si>
  <si>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</si>
  <si>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</si>
  <si>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</si>
  <si>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</si>
  <si>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</si>
  <si>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</si>
  <si>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</si>
  <si>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</si>
  <si>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</si>
  <si>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</si>
  <si>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</si>
  <si>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</si>
  <si>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</si>
  <si>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</si>
  <si>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</si>
  <si>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</si>
  <si>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</si>
  <si>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</si>
  <si>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</si>
  <si>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</si>
  <si>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</si>
  <si>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</si>
  <si>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</si>
  <si>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</si>
  <si>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</si>
  <si>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</si>
  <si>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</si>
  <si>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</si>
  <si>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</si>
  <si>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</si>
  <si>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</si>
  <si>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</si>
  <si>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</si>
  <si>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</si>
  <si>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</si>
  <si>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</si>
  <si>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</si>
  <si>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</si>
  <si>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</si>
  <si>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</si>
  <si>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</si>
  <si>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</si>
  <si>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</si>
  <si>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</si>
  <si>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</si>
  <si>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</si>
  <si>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</si>
  <si>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</si>
  <si>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</si>
  <si>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</si>
  <si>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</si>
  <si>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</si>
  <si>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</si>
  <si>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</si>
  <si>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</si>
  <si>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</si>
  <si>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</si>
  <si>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</si>
  <si>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</si>
  <si>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</si>
  <si>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</si>
  <si>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</si>
  <si>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</si>
  <si>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</si>
  <si>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</si>
  <si>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</si>
  <si>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</si>
  <si>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</si>
  <si>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</si>
  <si>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</si>
  <si>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</si>
  <si>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</si>
  <si>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</si>
  <si>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</si>
  <si>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</si>
  <si>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</si>
  <si>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</si>
  <si>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</si>
  <si>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</si>
  <si>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</si>
  <si>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</si>
  <si>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</si>
  <si>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</si>
  <si>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</si>
  <si>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</si>
  <si>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</si>
  <si>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</si>
  <si>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</si>
  <si>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</si>
  <si>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</si>
  <si>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</si>
  <si>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</si>
  <si>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</si>
  <si>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</si>
  <si>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</si>
  <si>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</si>
  <si>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</si>
  <si>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</si>
  <si>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</si>
  <si>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</si>
  <si>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</si>
  <si>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</si>
  <si>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</si>
  <si>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</si>
  <si>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</si>
  <si>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</si>
  <si>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</si>
  <si>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</si>
  <si>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</si>
  <si>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</si>
  <si>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</si>
  <si>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</si>
  <si>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</si>
  <si>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</si>
  <si>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</si>
  <si>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</si>
  <si>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</si>
  <si>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</si>
  <si>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</si>
  <si>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</si>
  <si>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</si>
  <si>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</si>
  <si>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</si>
  <si>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</si>
  <si>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</si>
  <si>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</si>
  <si>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</si>
  <si>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</si>
  <si>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</si>
  <si>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</si>
  <si>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</si>
  <si>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</si>
  <si>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</si>
  <si>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</si>
  <si>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</si>
  <si>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</si>
  <si>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</si>
  <si>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</si>
  <si>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</si>
  <si>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</si>
  <si>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</si>
  <si>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</si>
  <si>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</si>
  <si>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</si>
  <si>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</si>
  <si>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</si>
  <si>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</si>
  <si>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</si>
  <si>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</si>
  <si>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</si>
  <si>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</si>
  <si>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</si>
  <si>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</si>
  <si>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</si>
  <si>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</si>
  <si>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</si>
  <si>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</si>
  <si>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</si>
  <si>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</si>
  <si>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</si>
  <si>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</si>
  <si>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</si>
  <si>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</si>
  <si>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</si>
  <si>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</si>
  <si>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</si>
  <si>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</si>
  <si>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</si>
  <si>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</si>
  <si>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</si>
  <si>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</si>
  <si>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</si>
  <si>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</si>
  <si>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</si>
  <si>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</si>
  <si>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</si>
  <si>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</si>
  <si>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</si>
  <si>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</si>
  <si>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</si>
  <si>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</si>
  <si>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</si>
  <si>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</si>
  <si>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</si>
  <si>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</si>
  <si>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</si>
  <si>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</si>
  <si>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</si>
  <si>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</si>
  <si>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</si>
  <si>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</si>
  <si>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</si>
  <si>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</si>
  <si>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</si>
  <si>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</si>
  <si>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</si>
  <si>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</si>
  <si>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</si>
  <si>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</si>
  <si>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</si>
  <si>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</si>
  <si>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</si>
  <si>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</si>
  <si>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</si>
  <si>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</si>
  <si>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</si>
  <si>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</si>
  <si>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 xml:space="preserve">   ISBE Form SD50-35/JA50-60 (05/18-version2)</t>
  </si>
  <si>
    <t>x</t>
  </si>
  <si>
    <t>Jodi K. Gill, CPA</t>
  </si>
  <si>
    <t>Kankakee</t>
  </si>
  <si>
    <t>Jodi Gill</t>
  </si>
  <si>
    <t>Pembroke CCSD 259</t>
  </si>
  <si>
    <t>33 N. Main Street Ste. #1</t>
  </si>
  <si>
    <t>4120 S. Wheeler Road</t>
  </si>
  <si>
    <t>Manteno</t>
  </si>
  <si>
    <t>Il</t>
  </si>
  <si>
    <t>Hopkins Park</t>
  </si>
  <si>
    <t>815-468-8802</t>
  </si>
  <si>
    <t>815-468-8805</t>
  </si>
  <si>
    <t>malexander@pembroke.k12.ilus</t>
  </si>
  <si>
    <t>jodi@jodigillcpa.com</t>
  </si>
  <si>
    <t>Dr. Marcus Alexander</t>
  </si>
  <si>
    <t>malexander@pembroke.k12.il.us</t>
  </si>
  <si>
    <t>815-944-5448</t>
  </si>
  <si>
    <t>815-944-6750</t>
  </si>
  <si>
    <t>Page 2 - Part A, #1 - I could not verify that any school board member had filed an economic interest statement.</t>
  </si>
  <si>
    <t>ED-Fiscal Services-Purchased Services</t>
  </si>
  <si>
    <t>10-2520-300</t>
  </si>
  <si>
    <t>Burke, Montague &amp; Associates, LLC</t>
  </si>
  <si>
    <t>ED-Food Services-Purchased Services</t>
  </si>
  <si>
    <t>Cloverleaf Farms</t>
  </si>
  <si>
    <t>Performance Foodservice-Chicago</t>
  </si>
  <si>
    <t>OBM-Operation &amp; Maint. Of Plant Services</t>
  </si>
  <si>
    <t>20-2540-300</t>
  </si>
  <si>
    <t>Friendly Signs</t>
  </si>
  <si>
    <t>Protection Associates</t>
  </si>
  <si>
    <t>TRANS-Pupil Transportation Services</t>
  </si>
  <si>
    <t>40-2550-300</t>
  </si>
  <si>
    <t>Santander</t>
  </si>
  <si>
    <t>10-2560-300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</si>
</sst>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62"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0" fontId="55" fillId="17" borderId="30" xfId="0" applyFont="1" applyFill="1" applyBorder="1" applyAlignment="1">
      <alignment horizontal="left" vertical="top"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2266950</xdr:colOff>
          <xdr:row>5</xdr:row>
          <xdr:rowOff>28575</xdr:rowOff>
        </xdr:from>
        <xdr:to>
          <xdr:col>1</xdr:col>
          <xdr:colOff>3181350</xdr:colOff>
          <xdr:row>9</xdr:row>
          <xdr:rowOff>66675</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32046259004</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2080</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2081</v>
      </c>
      <c r="B17" s="2031"/>
      <c r="C17" s="2031"/>
      <c r="D17" s="2031"/>
      <c r="E17" s="2031"/>
      <c r="F17" s="2031"/>
      <c r="G17" s="2031"/>
      <c r="H17" s="2032"/>
      <c r="T17" s="2018" t="s">
        <v>2082</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2083</v>
      </c>
      <c r="B19" s="2002"/>
      <c r="C19" s="2002"/>
      <c r="D19" s="2002"/>
      <c r="E19" s="2002"/>
      <c r="F19" s="2002"/>
      <c r="G19" s="2002"/>
      <c r="H19" s="2000"/>
      <c r="I19" s="30"/>
      <c r="J19" s="99"/>
      <c r="K19" s="40"/>
      <c r="L19" s="38"/>
      <c r="M19" s="112" t="s">
        <v>333</v>
      </c>
      <c r="P19" s="27"/>
      <c r="Q19" s="27"/>
      <c r="R19" s="27"/>
      <c r="S19" s="31"/>
      <c r="T19" s="2001" t="s">
        <v>2084</v>
      </c>
      <c r="U19" s="1999"/>
      <c r="V19" s="1999"/>
      <c r="W19" s="2000"/>
      <c r="X19" s="2016" t="s">
        <v>2085</v>
      </c>
      <c r="Y19" s="2017"/>
      <c r="Z19" s="2014">
        <v>60950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2086</v>
      </c>
      <c r="B21" s="1999"/>
      <c r="C21" s="1999"/>
      <c r="D21" s="1999"/>
      <c r="E21" s="1999"/>
      <c r="F21" s="1999"/>
      <c r="G21" s="1999"/>
      <c r="H21" s="2000"/>
      <c r="I21" s="2024" t="s">
        <v>699</v>
      </c>
      <c r="J21" s="1987"/>
      <c r="K21" s="1987"/>
      <c r="L21" s="1987"/>
      <c r="M21" s="1987"/>
      <c r="N21" s="1987"/>
      <c r="O21" s="1987"/>
      <c r="P21" s="1987"/>
      <c r="Q21" s="1987"/>
      <c r="R21" s="1987"/>
      <c r="S21" s="1988"/>
      <c r="T21" s="1966" t="s">
        <v>2087</v>
      </c>
      <c r="U21" s="1967"/>
      <c r="V21" s="1967"/>
      <c r="W21" s="1967"/>
      <c r="X21" s="1980" t="s">
        <v>2088</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2089</v>
      </c>
      <c r="B23" s="2022"/>
      <c r="C23" s="2022"/>
      <c r="D23" s="2022"/>
      <c r="E23" s="2022"/>
      <c r="F23" s="2022"/>
      <c r="G23" s="2022"/>
      <c r="H23" s="2023"/>
      <c r="T23" s="1961">
        <v>65.023278000000005</v>
      </c>
      <c r="U23" s="1962"/>
      <c r="V23" s="1962"/>
      <c r="W23" s="1962"/>
      <c r="X23" s="1977">
        <v>44469</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60964</v>
      </c>
      <c r="B25" s="1999"/>
      <c r="C25" s="1999"/>
      <c r="D25" s="1999"/>
      <c r="E25" s="1999"/>
      <c r="F25" s="1999"/>
      <c r="G25" s="1999"/>
      <c r="H25" s="2000"/>
      <c r="I25" s="113"/>
      <c r="J25" s="2065"/>
      <c r="K25" s="2065"/>
      <c r="L25" s="2065"/>
      <c r="M25" s="2065"/>
      <c r="N25" s="2065"/>
      <c r="O25" s="2065"/>
      <c r="P25" s="2065"/>
      <c r="Q25" s="2065"/>
      <c r="R25" s="2065"/>
      <c r="S25" s="2066"/>
      <c r="T25" s="1958" t="s">
        <v>2090</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48"/>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2091</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2092</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2093</v>
      </c>
      <c r="B42" s="2048"/>
      <c r="C42" s="2049"/>
      <c r="D42" s="2062" t="s">
        <v>2094</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2076</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ZS4D1D9hhDQ9lNodN0tB4uUecM57Uj4Rlg9NX1VbuKbji0gc3go0+49sqxJbWrb6v+uulu2DzZrlU6mrezz89g==" saltValue="g6elH7grUsNg9fsz5JkB1g=="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0" t="s">
        <v>1904</v>
      </c>
      <c r="B2" s="1550" t="s">
        <v>2034</v>
      </c>
      <c r="C2" s="715" t="s">
        <v>1909</v>
      </c>
      <c r="D2" s="715" t="s">
        <v>1910</v>
      </c>
      <c r="E2" s="715" t="s">
        <v>1911</v>
      </c>
      <c r="F2" s="715" t="s">
        <v>1912</v>
      </c>
    </row>
    <row r="3" spans="1:6" ht="12" customHeight="1" x14ac:dyDescent="0.2">
      <c r="A3" s="2201"/>
      <c r="B3" s="1547"/>
      <c r="C3" s="1548"/>
      <c r="D3" s="1549" t="s">
        <v>274</v>
      </c>
      <c r="E3" s="1548"/>
      <c r="F3" s="1549" t="s">
        <v>275</v>
      </c>
    </row>
    <row r="4" spans="1:6" ht="13.7" customHeight="1" x14ac:dyDescent="0.2">
      <c r="A4" s="716" t="s">
        <v>1217</v>
      </c>
      <c r="B4" s="1770">
        <f>'Revenues 9-14'!C5</f>
        <v>142629</v>
      </c>
      <c r="C4" s="1546"/>
      <c r="D4" s="1773">
        <f>B4-C4</f>
        <v>142629</v>
      </c>
      <c r="E4" s="1546">
        <v>153316</v>
      </c>
      <c r="F4" s="1773">
        <f>E4-C4</f>
        <v>153316</v>
      </c>
    </row>
    <row r="5" spans="1:6" ht="13.7" customHeight="1" x14ac:dyDescent="0.2">
      <c r="A5" s="716" t="s">
        <v>925</v>
      </c>
      <c r="B5" s="1771">
        <f>'Revenues 9-14'!D5</f>
        <v>32129</v>
      </c>
      <c r="C5" s="585"/>
      <c r="D5" s="1774">
        <f t="shared" ref="D5:D18" si="0">B5-C5</f>
        <v>32129</v>
      </c>
      <c r="E5" s="585">
        <v>34541</v>
      </c>
      <c r="F5" s="1774">
        <f>E5-C5</f>
        <v>34541</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15410</v>
      </c>
      <c r="C7" s="585"/>
      <c r="D7" s="1774">
        <f t="shared" si="0"/>
        <v>15410</v>
      </c>
      <c r="E7" s="585">
        <v>16569</v>
      </c>
      <c r="F7" s="1774">
        <f t="shared" si="1"/>
        <v>16569</v>
      </c>
    </row>
    <row r="8" spans="1:6" ht="13.7" customHeight="1" x14ac:dyDescent="0.2">
      <c r="A8" s="716" t="s">
        <v>1241</v>
      </c>
      <c r="B8" s="1771">
        <f>'Revenues 9-14'!G5</f>
        <v>33626</v>
      </c>
      <c r="C8" s="585"/>
      <c r="D8" s="1774">
        <f t="shared" si="0"/>
        <v>33626</v>
      </c>
      <c r="E8" s="585">
        <v>81860</v>
      </c>
      <c r="F8" s="1774">
        <f t="shared" si="1"/>
        <v>81860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6416</v>
      </c>
      <c r="C10" s="585"/>
      <c r="D10" s="1774">
        <f t="shared" si="0"/>
        <v>6416</v>
      </c>
      <c r="E10" s="585">
        <v>6908</v>
      </c>
      <c r="F10" s="1774">
        <f t="shared" si="1"/>
        <v>6908</v>
      </c>
    </row>
    <row r="11" spans="1:6" x14ac:dyDescent="0.2">
      <c r="A11" s="716" t="s">
        <v>429</v>
      </c>
      <c r="B11" s="1771">
        <f>'Revenues 9-14'!J5</f>
        <v>42799</v>
      </c>
      <c r="C11" s="585"/>
      <c r="D11" s="1774">
        <f t="shared" si="0"/>
        <v>42799</v>
      </c>
      <c r="E11" s="585">
        <v>45999</v>
      </c>
      <c r="F11" s="1774">
        <f t="shared" si="1"/>
        <v>45999</v>
      </c>
    </row>
    <row r="12" spans="1:6" ht="13.7" customHeight="1" x14ac:dyDescent="0.2">
      <c r="A12" s="716" t="s">
        <v>159</v>
      </c>
      <c r="B12" s="1771">
        <f>'Revenues 9-14'!K5</f>
        <v>6416</v>
      </c>
      <c r="C12" s="585"/>
      <c r="D12" s="1774">
        <f t="shared" si="0"/>
        <v>6416</v>
      </c>
      <c r="E12" s="585">
        <v>6908</v>
      </c>
      <c r="F12" s="1774">
        <f t="shared" si="1"/>
        <v>6908</v>
      </c>
    </row>
    <row r="13" spans="1:6" ht="13.7" customHeight="1" x14ac:dyDescent="0.2">
      <c r="A13" s="716" t="s">
        <v>993</v>
      </c>
      <c r="B13" s="1771">
        <f>SUM('Revenues 9-14'!C6:D6)</f>
        <v>6416</v>
      </c>
      <c r="C13" s="585"/>
      <c r="D13" s="1774">
        <f t="shared" si="0"/>
        <v>6416</v>
      </c>
      <c r="E13" s="585">
        <v>6908</v>
      </c>
      <c r="F13" s="1774">
        <f t="shared" si="1"/>
        <v>6908</v>
      </c>
    </row>
    <row r="14" spans="1:6" ht="13.7" customHeight="1" x14ac:dyDescent="0.2">
      <c r="A14" s="716" t="s">
        <v>430</v>
      </c>
      <c r="B14" s="1771">
        <f>SUM('Revenues 9-14'!C7:D7,'Revenues 9-14'!F7:H7)</f>
        <v>2566</v>
      </c>
      <c r="C14" s="585"/>
      <c r="D14" s="1774">
        <f t="shared" si="0"/>
        <v>2566</v>
      </c>
      <c r="E14" s="585">
        <v>2766</v>
      </c>
      <c r="F14" s="1774">
        <f t="shared" si="1"/>
        <v>2766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42493</v>
      </c>
      <c r="C16" s="585"/>
      <c r="D16" s="1774">
        <f t="shared" si="0"/>
        <v>42493</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330900</v>
      </c>
      <c r="C19" s="1772">
        <f>SUM(C4:C18)</f>
        <v>0</v>
      </c>
      <c r="D19" s="1772">
        <f>SUM(D4:D18)</f>
        <v>330900</v>
      </c>
      <c r="E19" s="1772">
        <f>SUM(E4:E18)</f>
        <v>355775</v>
      </c>
      <c r="F19" s="1772">
        <f>SUM(F4:F18)</f>
        <v>355775</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1904</v>
      </c>
      <c r="B2" s="2216"/>
      <c r="C2" s="1906" t="s">
        <v>2035</v>
      </c>
      <c r="D2" s="724" t="s">
        <v>2042</v>
      </c>
      <c r="E2" s="724" t="s">
        <v>2043</v>
      </c>
      <c r="F2" s="1906" t="s">
        <v>2036</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7" t="s">
        <v>604</v>
      </c>
      <c r="D30" s="1907" t="s">
        <v>1771</v>
      </c>
      <c r="E30" s="1907" t="s">
        <v>2037</v>
      </c>
      <c r="F30" s="1907" t="s">
        <v>2038</v>
      </c>
      <c r="G30" s="1907" t="s">
        <v>2041</v>
      </c>
      <c r="H30" s="1907" t="s">
        <v>2039</v>
      </c>
      <c r="I30" s="1907" t="s">
        <v>2040</v>
      </c>
      <c r="J30" s="1908"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1775</v>
      </c>
      <c r="B2" s="2235"/>
      <c r="C2" s="2235"/>
      <c r="D2" s="2235"/>
      <c r="E2" s="2236"/>
      <c r="F2" s="762" t="s">
        <v>960</v>
      </c>
      <c r="G2" s="763" t="s">
        <v>1772</v>
      </c>
      <c r="H2" s="763" t="s">
        <v>430</v>
      </c>
      <c r="I2" s="763" t="s">
        <v>1220</v>
      </c>
      <c r="J2" s="763" t="s">
        <v>1918</v>
      </c>
      <c r="K2" s="763" t="s">
        <v>140</v>
      </c>
    </row>
    <row r="3" spans="1:11" x14ac:dyDescent="0.2">
      <c r="A3" s="2237" t="s">
        <v>1697</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2566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1919</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2566</v>
      </c>
      <c r="I12" s="1779">
        <f>SUM(I5:I11)</f>
        <v>0</v>
      </c>
      <c r="J12" s="1779">
        <f>SUM(J5:J11)</f>
        <v>0</v>
      </c>
      <c r="K12" s="1779">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1915</v>
      </c>
      <c r="B19" s="2266"/>
      <c r="C19" s="2266"/>
      <c r="D19" s="2266"/>
      <c r="E19" s="2267"/>
      <c r="F19" s="790" t="s">
        <v>990</v>
      </c>
      <c r="G19" s="783"/>
      <c r="H19" s="783"/>
      <c r="I19" s="783"/>
      <c r="J19" s="766"/>
      <c r="K19" s="796"/>
    </row>
    <row r="20" spans="1:11" x14ac:dyDescent="0.2">
      <c r="A20" s="2245" t="s">
        <v>1920</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1921</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0</v>
      </c>
      <c r="I23" s="1779">
        <f>SUM(I14:I16,I21,I22)</f>
        <v>0</v>
      </c>
      <c r="J23" s="1779">
        <f>SUM(J14:J16,J21,J22)</f>
        <v>0</v>
      </c>
      <c r="K23" s="1779">
        <f>SUM(K14:K16,K21,K22)</f>
        <v>0</v>
      </c>
    </row>
    <row r="24" spans="1:11" ht="14.25" thickTop="1" thickBot="1" x14ac:dyDescent="0.25">
      <c r="A24" s="2252" t="s">
        <v>2023</v>
      </c>
      <c r="B24" s="2251"/>
      <c r="C24" s="2251"/>
      <c r="D24" s="2251"/>
      <c r="E24" s="2251"/>
      <c r="F24" s="1783"/>
      <c r="G24" s="1784">
        <f>SUM(G3,G12)-G23</f>
        <v>0</v>
      </c>
      <c r="H24" s="1784">
        <f>SUM(H3,H12)-H23</f>
        <v>2566</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2566</v>
      </c>
      <c r="I26" s="1779">
        <f>I24-I25</f>
        <v>0</v>
      </c>
      <c r="J26" s="1779">
        <f>J24-J25</f>
        <v>0</v>
      </c>
      <c r="K26" s="1779">
        <f>K24-K25</f>
        <v>0</v>
      </c>
    </row>
    <row r="27" spans="1:11" ht="5.25" customHeight="1" thickTop="1" x14ac:dyDescent="0.2">
      <c r="I27" s="202"/>
      <c r="J27" s="202"/>
    </row>
    <row r="28" spans="1:11" ht="29.25" customHeight="1" x14ac:dyDescent="0.2">
      <c r="A28" s="1902" t="s">
        <v>2033</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0" sqref="I10"/>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2032</v>
      </c>
      <c r="B1" s="2271"/>
      <c r="C1" s="2272"/>
      <c r="D1" s="827"/>
      <c r="E1" s="828"/>
      <c r="F1" s="828"/>
      <c r="G1" s="829"/>
      <c r="H1" s="830"/>
      <c r="I1" s="831"/>
      <c r="J1" s="2268"/>
      <c r="K1" s="2269"/>
      <c r="L1" s="2269"/>
    </row>
    <row r="2" spans="1:14" ht="69.75" customHeight="1" x14ac:dyDescent="0.2">
      <c r="A2" s="832" t="s">
        <v>1776</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19000</v>
      </c>
      <c r="D5" s="842"/>
      <c r="E5" s="842"/>
      <c r="F5" s="1781">
        <f>(C5+D5)-E5</f>
        <v>19000</v>
      </c>
      <c r="G5" s="838"/>
      <c r="H5" s="843"/>
      <c r="I5" s="843"/>
      <c r="J5" s="843"/>
      <c r="K5" s="794"/>
      <c r="L5" s="1790">
        <f>F5-K5</f>
        <v>19000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1918023</v>
      </c>
      <c r="D8" s="845"/>
      <c r="E8" s="845"/>
      <c r="F8" s="1781">
        <f>(C8+D8)-E8</f>
        <v>1918023</v>
      </c>
      <c r="G8" s="844">
        <v>50</v>
      </c>
      <c r="H8" s="766">
        <v>1413017</v>
      </c>
      <c r="I8" s="766">
        <v>38360</v>
      </c>
      <c r="J8" s="766"/>
      <c r="K8" s="1790">
        <f>(H8+I8)-J8</f>
        <v>1451377</v>
      </c>
      <c r="L8" s="1790">
        <f>F8-K8</f>
        <v>466646</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534996</v>
      </c>
      <c r="D10" s="847"/>
      <c r="E10" s="847"/>
      <c r="F10" s="1785">
        <f>(C10+D10)-E10</f>
        <v>534996</v>
      </c>
      <c r="G10" s="844">
        <v>20</v>
      </c>
      <c r="H10" s="848">
        <v>224091</v>
      </c>
      <c r="I10" s="848">
        <v>17487</v>
      </c>
      <c r="J10" s="848"/>
      <c r="K10" s="1790">
        <f>(H10+I10)-J10</f>
        <v>241578</v>
      </c>
      <c r="L10" s="1790">
        <f>F10-K10</f>
        <v>293418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1852373</v>
      </c>
      <c r="D12" s="845"/>
      <c r="E12" s="845"/>
      <c r="F12" s="1781">
        <f>(C12+D12)-E12</f>
        <v>1852373</v>
      </c>
      <c r="G12" s="844">
        <v>10</v>
      </c>
      <c r="H12" s="766">
        <v>1758701</v>
      </c>
      <c r="I12" s="766">
        <v>14422</v>
      </c>
      <c r="J12" s="766"/>
      <c r="K12" s="1790">
        <f>(H12+I12)-J12</f>
        <v>1773123</v>
      </c>
      <c r="L12" s="1790">
        <f>F12-K12</f>
        <v>79250</v>
      </c>
    </row>
    <row r="13" spans="1:14" ht="14.25" thickTop="1" thickBot="1" x14ac:dyDescent="0.25">
      <c r="A13" s="849" t="s">
        <v>1184</v>
      </c>
      <c r="B13" s="841">
        <v>252</v>
      </c>
      <c r="C13" s="845">
        <v>1117612</v>
      </c>
      <c r="D13" s="845"/>
      <c r="E13" s="845"/>
      <c r="F13" s="1781">
        <f>(C13+D13)-E13</f>
        <v>1117612</v>
      </c>
      <c r="G13" s="844">
        <v>5</v>
      </c>
      <c r="H13" s="766">
        <v>1062323</v>
      </c>
      <c r="I13" s="766">
        <v>17251</v>
      </c>
      <c r="J13" s="766"/>
      <c r="K13" s="1790">
        <f>(H13+I13)-J13</f>
        <v>1079574</v>
      </c>
      <c r="L13" s="1790">
        <f>F13-K13</f>
        <v>38038</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5442004</v>
      </c>
      <c r="D16" s="1781">
        <f>SUM(D3,D5:D6,D8:D10,D12:D15)</f>
        <v>0</v>
      </c>
      <c r="E16" s="1781">
        <f>SUM(E3,E5:E6,E8:E10,E12:E15)</f>
        <v>0</v>
      </c>
      <c r="F16" s="1781">
        <f>SUM(F3,F5:F6,F8:F10,F12:F15)</f>
        <v>5442004</v>
      </c>
      <c r="G16" s="844"/>
      <c r="H16" s="1781">
        <f>SUM(H3,H6,H8:H10,H12:H14,)</f>
        <v>4458132</v>
      </c>
      <c r="I16" s="1781">
        <f>SUM(I3,I6,I8:I10,I12:I14,)</f>
        <v>87520</v>
      </c>
      <c r="J16" s="1781">
        <f>SUM(J3,J6,J8:J10,J12:J14,)</f>
        <v>0</v>
      </c>
      <c r="K16" s="1781">
        <f>(H16+I16)-J16</f>
        <v>4545652</v>
      </c>
      <c r="L16" s="1781">
        <f>F16-K16</f>
        <v>896352</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10240</v>
      </c>
      <c r="G17" s="838">
        <v>10</v>
      </c>
      <c r="H17" s="770"/>
      <c r="I17" s="1790">
        <f>F17/G17</f>
        <v>1024</v>
      </c>
      <c r="J17" s="770"/>
      <c r="K17" s="796"/>
      <c r="L17" s="796"/>
    </row>
    <row r="18" spans="1:12" ht="14.25" thickTop="1" thickBot="1" x14ac:dyDescent="0.25">
      <c r="A18" s="1788" t="s">
        <v>706</v>
      </c>
      <c r="B18" s="1789"/>
      <c r="C18" s="772"/>
      <c r="D18" s="772"/>
      <c r="E18" s="772"/>
      <c r="F18" s="851"/>
      <c r="G18" s="852"/>
      <c r="H18" s="774"/>
      <c r="I18" s="1781">
        <f>SUM(I16,I17)</f>
        <v>88544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1698</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3052425</v>
      </c>
      <c r="G8" s="866"/>
    </row>
    <row r="9" spans="1:7" x14ac:dyDescent="0.2">
      <c r="A9" s="870" t="s">
        <v>480</v>
      </c>
      <c r="B9" s="871" t="s">
        <v>1987</v>
      </c>
      <c r="C9" s="872"/>
      <c r="D9" s="870" t="s">
        <v>522</v>
      </c>
      <c r="E9" s="869"/>
      <c r="F9" s="1932">
        <f>'Expenditures 15-22'!K151</f>
        <v>418745</v>
      </c>
      <c r="G9" s="873"/>
    </row>
    <row r="10" spans="1:7" x14ac:dyDescent="0.2">
      <c r="A10" s="870" t="s">
        <v>520</v>
      </c>
      <c r="B10" s="871" t="s">
        <v>1988</v>
      </c>
      <c r="C10" s="872"/>
      <c r="D10" s="870" t="s">
        <v>522</v>
      </c>
      <c r="E10" s="869"/>
      <c r="F10" s="1932">
        <f>'Expenditures 15-22'!K174</f>
        <v>0</v>
      </c>
      <c r="G10" s="873"/>
    </row>
    <row r="11" spans="1:7" x14ac:dyDescent="0.2">
      <c r="A11" s="870" t="s">
        <v>481</v>
      </c>
      <c r="B11" s="871" t="s">
        <v>1989</v>
      </c>
      <c r="C11" s="872"/>
      <c r="D11" s="870" t="s">
        <v>522</v>
      </c>
      <c r="E11" s="869"/>
      <c r="F11" s="1932">
        <f>'Expenditures 15-22'!K210</f>
        <v>273184</v>
      </c>
      <c r="G11" s="873"/>
    </row>
    <row r="12" spans="1:7" x14ac:dyDescent="0.2">
      <c r="A12" s="870" t="s">
        <v>482</v>
      </c>
      <c r="B12" s="871" t="s">
        <v>1990</v>
      </c>
      <c r="C12" s="872"/>
      <c r="D12" s="870" t="s">
        <v>522</v>
      </c>
      <c r="E12" s="869"/>
      <c r="F12" s="1932">
        <f>'Expenditures 15-22'!K295</f>
        <v>75142</v>
      </c>
      <c r="G12" s="873"/>
    </row>
    <row r="13" spans="1:7" x14ac:dyDescent="0.2">
      <c r="A13" s="870" t="s">
        <v>108</v>
      </c>
      <c r="B13" s="871" t="s">
        <v>1991</v>
      </c>
      <c r="C13" s="872"/>
      <c r="D13" s="870" t="s">
        <v>522</v>
      </c>
      <c r="E13" s="869"/>
      <c r="F13" s="1932">
        <f>'Expenditures 15-22'!K342</f>
        <v>160053</v>
      </c>
      <c r="G13" s="874"/>
    </row>
    <row r="14" spans="1:7" ht="12" customHeight="1" thickBot="1" x14ac:dyDescent="0.25">
      <c r="A14" s="1791"/>
      <c r="B14" s="1792"/>
      <c r="C14" s="1793"/>
      <c r="D14" s="1794" t="s">
        <v>522</v>
      </c>
      <c r="E14" s="1795" t="s">
        <v>1015</v>
      </c>
      <c r="F14" s="1796">
        <f>SUM(F8:F13)</f>
        <v>3979549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9-14'!D148,F148)</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277583</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197849</v>
      </c>
      <c r="G52" s="866"/>
    </row>
    <row r="53" spans="1:7" x14ac:dyDescent="0.2">
      <c r="A53" s="870" t="s">
        <v>479</v>
      </c>
      <c r="B53" s="870" t="s">
        <v>1551</v>
      </c>
      <c r="C53" s="890">
        <f>'Expenditures 15-22'!B102</f>
        <v>4000</v>
      </c>
      <c r="D53" s="889" t="str">
        <f>'Expenditures 15-22'!A102</f>
        <v>Total Payments to Other Govt Units</v>
      </c>
      <c r="E53" s="869"/>
      <c r="F53" s="1936">
        <f>'Expenditures 15-22'!K102</f>
        <v>172231</v>
      </c>
      <c r="G53" s="866"/>
    </row>
    <row r="54" spans="1:7" x14ac:dyDescent="0.2">
      <c r="A54" s="870" t="s">
        <v>479</v>
      </c>
      <c r="B54" s="870" t="s">
        <v>1552</v>
      </c>
      <c r="C54" s="890" t="s">
        <v>1039</v>
      </c>
      <c r="D54" s="886" t="s">
        <v>1157</v>
      </c>
      <c r="E54" s="869"/>
      <c r="F54" s="1936">
        <f>'Expenditures 15-22'!G114</f>
        <v>0</v>
      </c>
      <c r="G54" s="866"/>
    </row>
    <row r="55" spans="1:7" x14ac:dyDescent="0.2">
      <c r="A55" s="870" t="s">
        <v>479</v>
      </c>
      <c r="B55" s="870" t="s">
        <v>1553</v>
      </c>
      <c r="C55" s="890" t="s">
        <v>1039</v>
      </c>
      <c r="D55" s="886" t="s">
        <v>309</v>
      </c>
      <c r="E55" s="869"/>
      <c r="F55" s="1936">
        <f>'Expenditures 15-22'!I114</f>
        <v>4870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6">
        <f>'Expenditures 15-22'!K139</f>
        <v>0</v>
      </c>
      <c r="G57" s="866"/>
    </row>
    <row r="58" spans="1:7" x14ac:dyDescent="0.2">
      <c r="A58" s="870" t="s">
        <v>480</v>
      </c>
      <c r="B58" s="870" t="s">
        <v>1993</v>
      </c>
      <c r="C58" s="887" t="s">
        <v>1039</v>
      </c>
      <c r="D58" s="886" t="s">
        <v>1157</v>
      </c>
      <c r="E58" s="869"/>
      <c r="F58" s="1938">
        <f>'Expenditures 15-22'!G151</f>
        <v>0</v>
      </c>
      <c r="G58" s="866"/>
    </row>
    <row r="59" spans="1:7" x14ac:dyDescent="0.2">
      <c r="A59" s="894" t="s">
        <v>480</v>
      </c>
      <c r="B59" s="857" t="s">
        <v>1994</v>
      </c>
      <c r="C59" s="895" t="s">
        <v>1039</v>
      </c>
      <c r="D59" s="857" t="s">
        <v>309</v>
      </c>
      <c r="F59" s="1939">
        <f>'Expenditures 15-22'!I151</f>
        <v>0</v>
      </c>
      <c r="G59" s="866"/>
    </row>
    <row r="60" spans="1:7" x14ac:dyDescent="0.2">
      <c r="A60" s="894" t="s">
        <v>520</v>
      </c>
      <c r="B60" s="857" t="s">
        <v>1995</v>
      </c>
      <c r="C60" s="895">
        <v>4000</v>
      </c>
      <c r="D60" s="857" t="s">
        <v>330</v>
      </c>
      <c r="F60" s="1937">
        <f>'Expenditures 15-22'!K160</f>
        <v>0</v>
      </c>
      <c r="G60" s="866"/>
    </row>
    <row r="61" spans="1:7" x14ac:dyDescent="0.2">
      <c r="A61" s="896" t="s">
        <v>520</v>
      </c>
      <c r="B61" s="896" t="s">
        <v>1996</v>
      </c>
      <c r="C61" s="897" t="str">
        <f>'Expenditures 15-22'!B170</f>
        <v>5300</v>
      </c>
      <c r="D61" s="898" t="s">
        <v>329</v>
      </c>
      <c r="E61" s="880"/>
      <c r="F61" s="1936">
        <f>'Expenditures 15-22'!K170</f>
        <v>0</v>
      </c>
      <c r="G61" s="866"/>
    </row>
    <row r="62" spans="1:7" x14ac:dyDescent="0.2">
      <c r="A62" s="870" t="s">
        <v>481</v>
      </c>
      <c r="B62" s="870" t="s">
        <v>1997</v>
      </c>
      <c r="C62" s="887">
        <f>'Expenditures 15-22'!B185</f>
        <v>3000</v>
      </c>
      <c r="D62" s="877" t="s">
        <v>469</v>
      </c>
      <c r="E62" s="869"/>
      <c r="F62" s="1936">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1999</v>
      </c>
      <c r="C64" s="897" t="str">
        <f>'Expenditures 15-22'!B206</f>
        <v>5300</v>
      </c>
      <c r="D64" s="893" t="s">
        <v>329</v>
      </c>
      <c r="E64" s="869"/>
      <c r="F64" s="1936">
        <f>'Expenditures 15-22'!K206</f>
        <v>0</v>
      </c>
      <c r="G64" s="866"/>
    </row>
    <row r="65" spans="1:8" x14ac:dyDescent="0.2">
      <c r="A65" s="870" t="s">
        <v>481</v>
      </c>
      <c r="B65" s="870" t="s">
        <v>2000</v>
      </c>
      <c r="C65" s="887" t="s">
        <v>1039</v>
      </c>
      <c r="D65" s="886" t="s">
        <v>1157</v>
      </c>
      <c r="E65" s="869"/>
      <c r="F65" s="1936">
        <f>'Expenditures 15-22'!G210</f>
        <v>0</v>
      </c>
      <c r="G65" s="866"/>
    </row>
    <row r="66" spans="1:8" x14ac:dyDescent="0.2">
      <c r="A66" s="870" t="s">
        <v>481</v>
      </c>
      <c r="B66" s="870" t="s">
        <v>2001</v>
      </c>
      <c r="C66" s="887" t="s">
        <v>1039</v>
      </c>
      <c r="D66" s="886" t="s">
        <v>309</v>
      </c>
      <c r="E66" s="869"/>
      <c r="F66" s="1936">
        <f>'Expenditures 15-22'!I210</f>
        <v>5370</v>
      </c>
      <c r="G66" s="866"/>
    </row>
    <row r="67" spans="1:8" x14ac:dyDescent="0.2">
      <c r="A67" s="870" t="s">
        <v>482</v>
      </c>
      <c r="B67" s="870" t="s">
        <v>2002</v>
      </c>
      <c r="C67" s="887" t="str">
        <f>'Expenditures 15-22'!B216</f>
        <v>1125</v>
      </c>
      <c r="D67" s="893" t="str">
        <f>'Expenditures 15-22'!A216</f>
        <v>Pre-K Programs</v>
      </c>
      <c r="E67" s="869"/>
      <c r="F67" s="1936">
        <f>'Expenditures 15-22'!K216</f>
        <v>6715</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2004</v>
      </c>
      <c r="C70" s="887">
        <f>'Expenditures 15-22'!B221</f>
        <v>1300</v>
      </c>
      <c r="D70" s="888" t="str">
        <f>'Expenditures 15-22'!A221</f>
        <v>Adult/Continuing Education Programs</v>
      </c>
      <c r="E70" s="869"/>
      <c r="F70" s="1936">
        <f>'Expenditures 15-22'!K221</f>
        <v>0</v>
      </c>
      <c r="G70" s="866"/>
    </row>
    <row r="71" spans="1:8" x14ac:dyDescent="0.2">
      <c r="A71" s="870" t="s">
        <v>482</v>
      </c>
      <c r="B71" s="870" t="s">
        <v>2005</v>
      </c>
      <c r="C71" s="887">
        <f>'Expenditures 15-22'!B224</f>
        <v>1600</v>
      </c>
      <c r="D71" s="888" t="str">
        <f>'Expenditures 15-22'!A224</f>
        <v>Summer School Programs</v>
      </c>
      <c r="E71" s="869"/>
      <c r="F71" s="1936">
        <f>'Expenditures 15-22'!K224</f>
        <v>0</v>
      </c>
      <c r="G71" s="866"/>
    </row>
    <row r="72" spans="1:8" x14ac:dyDescent="0.2">
      <c r="A72" s="870" t="s">
        <v>482</v>
      </c>
      <c r="B72" s="870" t="s">
        <v>2006</v>
      </c>
      <c r="C72" s="887">
        <f>'Expenditures 15-22'!B280</f>
        <v>3000</v>
      </c>
      <c r="D72" s="877" t="s">
        <v>469</v>
      </c>
      <c r="E72" s="869"/>
      <c r="F72" s="1936">
        <f>'Expenditures 15-22'!K280</f>
        <v>12898</v>
      </c>
      <c r="G72" s="866"/>
    </row>
    <row r="73" spans="1:8" x14ac:dyDescent="0.2">
      <c r="A73" s="870" t="s">
        <v>482</v>
      </c>
      <c r="B73" s="870" t="s">
        <v>2007</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2008</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2009</v>
      </c>
      <c r="E76" s="1795" t="s">
        <v>1015</v>
      </c>
      <c r="F76" s="1799">
        <f>SUM(F18:F74)</f>
        <v>677516</v>
      </c>
      <c r="G76" s="866"/>
    </row>
    <row r="77" spans="1:8" s="894" customFormat="1" ht="12" customHeight="1" thickTop="1" thickBot="1" x14ac:dyDescent="0.25">
      <c r="A77" s="1800"/>
      <c r="B77" s="1797"/>
      <c r="C77" s="1793"/>
      <c r="D77" s="1798" t="s">
        <v>2010</v>
      </c>
      <c r="E77" s="1795"/>
      <c r="F77" s="1801">
        <f>(F14-F76)</f>
        <v>3302033</v>
      </c>
      <c r="G77" s="870"/>
    </row>
    <row r="78" spans="1:8" s="894" customFormat="1" ht="12" customHeight="1" thickTop="1" x14ac:dyDescent="0.2">
      <c r="A78" s="1802"/>
      <c r="B78" s="1797"/>
      <c r="C78" s="1793"/>
      <c r="D78" s="1798" t="s">
        <v>2056</v>
      </c>
      <c r="E78" s="1795"/>
      <c r="F78" s="899">
        <v>152.16999999999999</v>
      </c>
      <c r="G78" s="900"/>
      <c r="H78" s="870"/>
    </row>
    <row r="79" spans="1:8" s="894" customFormat="1" ht="12" customHeight="1" thickBot="1" x14ac:dyDescent="0.25">
      <c r="A79" s="1803"/>
      <c r="B79" s="1797"/>
      <c r="C79" s="1793"/>
      <c r="D79" s="1798" t="s">
        <v>2011</v>
      </c>
      <c r="E79" s="1795" t="s">
        <v>1015</v>
      </c>
      <c r="F79" s="1804">
        <f>IF(F78&gt;0,F77/F78," Complete Line 78")</f>
        <v>21699.631990536902</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483</v>
      </c>
      <c r="G94" s="913"/>
    </row>
    <row r="95" spans="1:7" x14ac:dyDescent="0.2">
      <c r="A95" s="909" t="s">
        <v>142</v>
      </c>
      <c r="B95" s="909" t="s">
        <v>177</v>
      </c>
      <c r="C95" s="911">
        <v>1700</v>
      </c>
      <c r="D95" s="919" t="str">
        <f>'Revenues 9-14'!A82</f>
        <v>Total District/School Activity Income</v>
      </c>
      <c r="E95" s="907"/>
      <c r="F95" s="1810">
        <f>SUM('Revenues 9-14'!C82,'Revenues 9-14'!D82)</f>
        <v>2956</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60000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2275</v>
      </c>
      <c r="G104" s="913"/>
    </row>
    <row r="105" spans="1:7" x14ac:dyDescent="0.2">
      <c r="A105" s="909" t="s">
        <v>524</v>
      </c>
      <c r="B105" s="909" t="s">
        <v>842</v>
      </c>
      <c r="C105" s="914">
        <v>3100</v>
      </c>
      <c r="D105" s="920" t="str">
        <f>'Revenues 9-14'!A131</f>
        <v>Total Special Education</v>
      </c>
      <c r="E105" s="907"/>
      <c r="F105" s="1810">
        <f>SUM('Revenues 9-14'!C131:D131,'Revenues 9-14'!F131)</f>
        <v>102172</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4138</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228666</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2444</v>
      </c>
      <c r="G128" s="931"/>
    </row>
    <row r="129" spans="1:7" x14ac:dyDescent="0.2">
      <c r="A129" s="928" t="s">
        <v>685</v>
      </c>
      <c r="B129" s="928" t="s">
        <v>803</v>
      </c>
      <c r="C129" s="933">
        <v>4200</v>
      </c>
      <c r="D129" s="930" t="str">
        <f>'Revenues 9-14'!A201</f>
        <v>Total Food Service</v>
      </c>
      <c r="E129" s="907"/>
      <c r="F129" s="1810">
        <f>SUM('Revenues 9-14'!C201,'Revenues 9-14'!G201)</f>
        <v>205720</v>
      </c>
      <c r="G129" s="931"/>
    </row>
    <row r="130" spans="1:7" x14ac:dyDescent="0.2">
      <c r="A130" s="928" t="s">
        <v>689</v>
      </c>
      <c r="B130" s="928" t="s">
        <v>804</v>
      </c>
      <c r="C130" s="933">
        <v>4300</v>
      </c>
      <c r="D130" s="934" t="str">
        <f>'Revenues 9-14'!A211</f>
        <v>Total Title I</v>
      </c>
      <c r="E130" s="907"/>
      <c r="F130" s="1810">
        <f>SUM('Revenues 9-14'!C211,'Revenues 9-14'!D211,'Revenues 9-14'!F211,'Revenues 9-14'!G211)</f>
        <v>277453</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1185</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57541</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15922</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3903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1" t="s">
        <v>5</v>
      </c>
      <c r="B175" s="1942" t="s">
        <v>2055</v>
      </c>
      <c r="C175" s="1943">
        <v>3100</v>
      </c>
      <c r="D175" s="1944" t="s">
        <v>2058</v>
      </c>
      <c r="E175" s="907"/>
      <c r="F175" s="1928"/>
      <c r="G175" s="928"/>
    </row>
    <row r="176" spans="1:7" x14ac:dyDescent="0.2">
      <c r="A176" s="1941" t="s">
        <v>685</v>
      </c>
      <c r="B176" s="1942" t="s">
        <v>2055</v>
      </c>
      <c r="C176" s="1943">
        <v>3300</v>
      </c>
      <c r="D176" s="1944" t="s">
        <v>2059</v>
      </c>
      <c r="E176" s="907"/>
      <c r="F176" s="1928"/>
      <c r="G176" s="928"/>
    </row>
    <row r="177" spans="1:7" ht="6" customHeight="1" x14ac:dyDescent="0.2">
      <c r="A177" s="928"/>
      <c r="B177" s="928"/>
      <c r="C177" s="950"/>
      <c r="D177" s="928"/>
      <c r="E177" s="907"/>
      <c r="F177" s="951"/>
      <c r="G177" s="948"/>
    </row>
    <row r="178" spans="1:7" x14ac:dyDescent="0.2">
      <c r="A178" s="1791"/>
      <c r="B178" s="1805"/>
      <c r="C178" s="1806"/>
      <c r="D178" s="1807" t="s">
        <v>2012</v>
      </c>
      <c r="E178" s="1808" t="s">
        <v>1015</v>
      </c>
      <c r="F178" s="1809">
        <f>SUM(F84:F136,F161:F176)</f>
        <v>964858</v>
      </c>
    </row>
    <row r="179" spans="1:7" ht="12" customHeight="1" x14ac:dyDescent="0.2">
      <c r="A179" s="1791"/>
      <c r="B179" s="1805"/>
      <c r="C179" s="1806"/>
      <c r="D179" s="1807" t="s">
        <v>2013</v>
      </c>
      <c r="E179" s="1808"/>
      <c r="F179" s="1810">
        <f>'PCTC-OEPP 27-28'!F77-F178</f>
        <v>2337175</v>
      </c>
    </row>
    <row r="180" spans="1:7" ht="12" customHeight="1" x14ac:dyDescent="0.2">
      <c r="A180" s="1791"/>
      <c r="B180" s="1805"/>
      <c r="C180" s="1806"/>
      <c r="D180" s="1807" t="s">
        <v>1923</v>
      </c>
      <c r="E180" s="1808"/>
      <c r="F180" s="1810">
        <f>'Cap Outlay Deprec 26'!I18</f>
        <v>88544</v>
      </c>
    </row>
    <row r="181" spans="1:7" ht="12" customHeight="1" x14ac:dyDescent="0.2">
      <c r="A181" s="1791"/>
      <c r="B181" s="1805"/>
      <c r="C181" s="1806"/>
      <c r="D181" s="1807" t="s">
        <v>2014</v>
      </c>
      <c r="E181" s="1808"/>
      <c r="F181" s="1810">
        <f>F179+F180</f>
        <v>2425719</v>
      </c>
    </row>
    <row r="182" spans="1:7" ht="12" customHeight="1" x14ac:dyDescent="0.2">
      <c r="A182" s="1791"/>
      <c r="B182" s="1811"/>
      <c r="C182" s="1806"/>
      <c r="D182" s="1807" t="str">
        <f>D78</f>
        <v>9 Month ADA from District Average Daily Attendance/Prior General State Aid Inquiry 2017-2018</v>
      </c>
      <c r="E182" s="1808"/>
      <c r="F182" s="1812">
        <f>'PCTC-OEPP 27-28'!F78</f>
        <v>152.16999999999999</v>
      </c>
      <c r="G182" s="931"/>
    </row>
    <row r="183" spans="1:7" ht="12" customHeight="1" thickBot="1" x14ac:dyDescent="0.25">
      <c r="A183" s="1791"/>
      <c r="B183" s="1811"/>
      <c r="C183" s="1806"/>
      <c r="D183" s="1807" t="s">
        <v>2015</v>
      </c>
      <c r="E183" s="1808" t="s">
        <v>1626</v>
      </c>
      <c r="F183" s="1813">
        <f>F181/F182</f>
        <v>15940.849050404155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50"/>
      <c r="D188" s="931"/>
      <c r="E188" s="950"/>
      <c r="F188" s="931"/>
      <c r="G188" s="931"/>
    </row>
    <row r="189" spans="1:7" x14ac:dyDescent="0.2">
      <c r="A189" s="1949" t="s">
        <v>2061</v>
      </c>
      <c r="B189" s="1950"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6ahwpZtglzK9fA1XZSCMxOyvq2LDgdN6+8Q5V6Su4DeyiqmCQ1XL+iRlE2ywJBHCOt+/Cq2PHB1a5S+f48o7g==" saltValue="u9/GoMUnXYc28JyEO/5GTw=="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8"/>
  <sheetViews>
    <sheetView showGridLines="0" workbookViewId="0">
      <pane ySplit="16" topLeftCell="A17" activePane="bottomLeft" state="frozen"/>
      <selection pane="bottomLeft"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1939</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1924</v>
      </c>
      <c r="B4" s="2288"/>
      <c r="C4" s="2288"/>
      <c r="D4" s="2288"/>
      <c r="E4" s="2288"/>
      <c r="F4" s="2288"/>
      <c r="G4" s="2289"/>
    </row>
    <row r="5" spans="1:7" x14ac:dyDescent="0.25">
      <c r="A5" s="2290"/>
      <c r="B5" s="2291"/>
      <c r="C5" s="2291"/>
      <c r="D5" s="2291"/>
      <c r="E5" s="2291"/>
      <c r="F5" s="2291"/>
      <c r="G5" s="2292"/>
    </row>
    <row r="6" spans="1:7" ht="18.75" x14ac:dyDescent="0.25">
      <c r="A6" s="1556" t="s">
        <v>1925</v>
      </c>
      <c r="B6" s="1557"/>
      <c r="C6" s="1557"/>
      <c r="D6" s="1557"/>
      <c r="E6" s="1557"/>
      <c r="F6" s="1557"/>
      <c r="G6" s="1558"/>
    </row>
    <row r="7" spans="1:7" ht="30.75" customHeight="1" x14ac:dyDescent="0.25">
      <c r="A7" s="2293" t="s">
        <v>2072</v>
      </c>
      <c r="B7" s="2294"/>
      <c r="C7" s="2294"/>
      <c r="D7" s="2294"/>
      <c r="E7" s="2294"/>
      <c r="F7" s="2294"/>
      <c r="G7" s="2295"/>
    </row>
    <row r="8" spans="1:7" ht="15.75" customHeight="1" x14ac:dyDescent="0.25">
      <c r="A8" s="2296" t="s">
        <v>2021</v>
      </c>
      <c r="B8" s="2297"/>
      <c r="C8" s="2297"/>
      <c r="D8" s="2297"/>
      <c r="E8" s="2297"/>
      <c r="F8" s="2297"/>
      <c r="G8" s="2298"/>
    </row>
    <row r="9" spans="1:7" ht="35.25" customHeight="1" x14ac:dyDescent="0.25">
      <c r="A9" s="2293" t="s">
        <v>2075</v>
      </c>
      <c r="B9" s="2294"/>
      <c r="C9" s="2294"/>
      <c r="D9" s="2294"/>
      <c r="E9" s="2294"/>
      <c r="F9" s="2294"/>
      <c r="G9" s="2295"/>
    </row>
    <row r="10" spans="1:7" ht="15" customHeight="1" x14ac:dyDescent="0.25">
      <c r="A10" s="1559" t="s">
        <v>1926</v>
      </c>
      <c r="B10" s="1560"/>
      <c r="C10" s="1560"/>
      <c r="D10" s="1560"/>
      <c r="E10" s="1560"/>
      <c r="F10" s="1560"/>
      <c r="G10" s="1561"/>
    </row>
    <row r="11" spans="1:7" ht="17.25" customHeight="1" x14ac:dyDescent="0.25">
      <c r="A11" s="2293" t="s">
        <v>2074</v>
      </c>
      <c r="B11" s="2294"/>
      <c r="C11" s="2294"/>
      <c r="D11" s="2294"/>
      <c r="E11" s="2294"/>
      <c r="F11" s="2294"/>
      <c r="G11" s="2295"/>
    </row>
    <row r="12" spans="1:7" ht="15" customHeight="1" x14ac:dyDescent="0.25">
      <c r="A12" s="1559" t="s">
        <v>1931</v>
      </c>
      <c r="B12" s="1560"/>
      <c r="C12" s="1560"/>
      <c r="D12" s="1560"/>
      <c r="E12" s="1560"/>
      <c r="F12" s="1560"/>
      <c r="G12" s="1561"/>
    </row>
    <row r="13" spans="1:7" ht="32.25" customHeight="1" x14ac:dyDescent="0.25">
      <c r="A13" s="2284" t="s">
        <v>1932</v>
      </c>
      <c r="B13" s="2285"/>
      <c r="C13" s="2285"/>
      <c r="D13" s="2285"/>
      <c r="E13" s="2285"/>
      <c r="F13" s="2285"/>
      <c r="G13" s="2286"/>
    </row>
    <row r="14" spans="1:7" x14ac:dyDescent="0.25">
      <c r="A14" s="1682" t="s">
        <v>1940</v>
      </c>
      <c r="B14" s="1683"/>
      <c r="C14" s="1683"/>
      <c r="D14" s="1683"/>
      <c r="E14" s="1683"/>
      <c r="F14" s="1683"/>
      <c r="G14" s="1684"/>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1941</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3" t="s">
        <v>2096</v>
      </c>
      <c r="B17" s="1954" t="s">
        <v>2097</v>
      </c>
      <c r="C17" s="1955" t="s">
        <v>2098</v>
      </c>
      <c r="D17" s="1865">
        <v>60396</v>
      </c>
      <c r="E17" s="1562">
        <f t="shared" ref="E17:E28" si="1">IF(D17&lt;=25000,D17,IF(D17&gt;25000,25000,0))</f>
        <v>25000</v>
      </c>
      <c r="F17" s="1814">
        <f t="shared" si="0"/>
        <v>25000</v>
      </c>
      <c r="G17" s="1815">
        <f>IF(F17=0,0,D17-F17)</f>
        <v>35396</v>
      </c>
      <c r="H17" s="1669"/>
    </row>
    <row r="18" spans="1:8" x14ac:dyDescent="0.25">
      <c r="A18" s="1953" t="s">
        <v>2096</v>
      </c>
      <c r="B18" s="1954" t="s">
        <v>2097</v>
      </c>
      <c r="C18" s="1955" t="s">
        <v>2078</v>
      </c>
      <c r="D18" s="1865">
        <v>9500</v>
      </c>
      <c r="E18" s="1562">
        <f t="shared" ref="E18:E27" si="2">IF(D18&lt;=25000,D18,IF(D18&gt;25000,25000,0))</f>
        <v>9500</v>
      </c>
      <c r="F18" s="1814">
        <f t="shared" ref="F18:F2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9500</v>
      </c>
      <c r="G18" s="1815">
        <f t="shared" ref="G18:G27" si="4">IF(F18=0,0,D18-F18)</f>
        <v>0</v>
      </c>
    </row>
    <row r="19" spans="1:8" x14ac:dyDescent="0.25">
      <c r="A19" s="1953" t="s">
        <v>2099</v>
      </c>
      <c r="B19" s="1954" t="s">
        <v>2109</v>
      </c>
      <c r="C19" s="1955" t="s">
        <v>2100</v>
      </c>
      <c r="D19" s="1865">
        <v>15013</v>
      </c>
      <c r="E19" s="1562">
        <f t="shared" si="2"/>
        <v>15013</v>
      </c>
      <c r="F19" s="1814">
        <f t="shared" si="3"/>
        <v>15013</v>
      </c>
      <c r="G19" s="1815">
        <f t="shared" si="4"/>
        <v>0</v>
      </c>
    </row>
    <row r="20" spans="1:8" x14ac:dyDescent="0.25">
      <c r="A20" s="1953" t="s">
        <v>2099</v>
      </c>
      <c r="B20" s="1954" t="s">
        <v>2109</v>
      </c>
      <c r="C20" s="1955" t="s">
        <v>2101</v>
      </c>
      <c r="D20" s="1865">
        <v>120711</v>
      </c>
      <c r="E20" s="1562">
        <f t="shared" si="2"/>
        <v>25000</v>
      </c>
      <c r="F20" s="1814">
        <f t="shared" si="3"/>
        <v>25000</v>
      </c>
      <c r="G20" s="1815">
        <f t="shared" si="4"/>
        <v>95711</v>
      </c>
    </row>
    <row r="21" spans="1:8" x14ac:dyDescent="0.25">
      <c r="A21" s="1953" t="s">
        <v>2102</v>
      </c>
      <c r="B21" s="1954" t="s">
        <v>2103</v>
      </c>
      <c r="C21" s="1955" t="s">
        <v>2104</v>
      </c>
      <c r="D21" s="1865">
        <v>3465</v>
      </c>
      <c r="E21" s="1562">
        <f t="shared" si="2"/>
        <v>3465</v>
      </c>
      <c r="F21" s="1814">
        <f t="shared" si="3"/>
        <v>3465</v>
      </c>
      <c r="G21" s="1815">
        <f t="shared" si="4"/>
        <v>0</v>
      </c>
    </row>
    <row r="22" spans="1:8" x14ac:dyDescent="0.25">
      <c r="A22" s="1953" t="s">
        <v>2102</v>
      </c>
      <c r="B22" s="1954" t="s">
        <v>2103</v>
      </c>
      <c r="C22" s="1955" t="s">
        <v>2105</v>
      </c>
      <c r="D22" s="1865">
        <v>1476</v>
      </c>
      <c r="E22" s="1562">
        <f t="shared" si="2"/>
        <v>1476</v>
      </c>
      <c r="F22" s="1814">
        <f t="shared" si="3"/>
        <v>1476</v>
      </c>
      <c r="G22" s="1815">
        <f t="shared" si="4"/>
        <v>0</v>
      </c>
    </row>
    <row r="23" spans="1:8" x14ac:dyDescent="0.25">
      <c r="A23" s="1953" t="s">
        <v>2106</v>
      </c>
      <c r="B23" s="1954" t="s">
        <v>2107</v>
      </c>
      <c r="C23" s="1955" t="s">
        <v>2108</v>
      </c>
      <c r="D23" s="1865">
        <v>83772</v>
      </c>
      <c r="E23" s="1562">
        <f t="shared" si="2"/>
        <v>25000</v>
      </c>
      <c r="F23" s="1814">
        <f t="shared" si="3"/>
        <v>25000</v>
      </c>
      <c r="G23" s="1815">
        <f t="shared" si="4"/>
        <v>58772</v>
      </c>
    </row>
    <row r="24" spans="1:8" x14ac:dyDescent="0.25">
      <c r="A24" s="1675"/>
      <c r="B24" s="1866"/>
      <c r="C24" s="1677"/>
      <c r="D24" s="1865"/>
      <c r="E24" s="1562">
        <f t="shared" si="2"/>
        <v>0</v>
      </c>
      <c r="F24" s="1814">
        <f t="shared" si="3"/>
        <v>0</v>
      </c>
      <c r="G24" s="1815">
        <f t="shared" si="4"/>
        <v>0</v>
      </c>
    </row>
    <row r="25" spans="1:8" x14ac:dyDescent="0.25">
      <c r="A25" s="1675"/>
      <c r="B25" s="1688"/>
      <c r="C25" s="1676"/>
      <c r="D25" s="1865"/>
      <c r="E25" s="1562">
        <f t="shared" ref="E25:E26" si="5">IF(D25&lt;=25000,D25,IF(D25&gt;25000,25000,0))</f>
        <v>0</v>
      </c>
      <c r="F25" s="1814">
        <f t="shared" ref="F25:F26" si="6">IF(OR(B25="10-1000-100",B25="10-1000-200",B25="10-1000-300",B25="10-1000-400",B25="10-1000-600",B25="10-1000-800",B25="50-1000-200",B25="10-2100-100",B25="10-2100-200",B25="10-2100-300",B25="10-2100-400",B25="10-2100-600",B25="10-2100-800",B25="20-2100-200",B25="20-2190-100",B25="20-2190-200",B25="20-2190-300",B25="20-2190-400",B25="20-2190-600",B25="20-2190-800",B25="40-2190-100",B25="40-2190-200",B25="40-2190-300",B25="40-2190-400",B25="40-2190-600",B25="40-2190-800",B25="50-2190-200",B25="10-2200-100",B25="10-2200-200",B25="10-2200-300",B25="10-2200-400",B25="10-2200-600",B25="10-2200-800",B25="50-2200-200",B25="10-2300-100",B25="10-2300-200",B25="10-2300-300",B25="10-2300-400",B25="10-2300-600",B25="10-2300-800",B25="50-2300-200",B25="80-2300-100",B25="80-2300-200",B25="80-2300-300",B25="80-2300-400",B25="80-2300-600",B25="80-2300-800",B25="10-2400-100",B25="10-2400-200",B25="10-2400-300",B25="10-2400-400",B25="10-2400-600",B25="10-2400-800",B25="50-2400-200",B25="10-2510-100",B25="10-2510-200",B25="10-2510-300",B25="10-2510-400",B25="10-2510-600",B25="10-2510-800",B25="20-2510-100",B25="20-2510-200",B25="20-2510-300",B25="20-2510-400",B25="20-2510-600",B25="20-2510-800",B25="50-2510-200",B25="10-2520-100",B25="10-2520-200",B25="10-2520-300",B25="10-2520-400",B25="10-2520-600",B25="10-2520-800",B25="50-2520-200",B25="10-2540-100",B25="10-2540-200",B25="10-2540-300",B25="10-2540-400",B25="10-2540-600",B25="20-2540-800",B25="20-2540-100",B25="20-2540-200",B25="20-2540-300",B25="20-2540-400",B25="20-2540-600",B25="50-2540-200",B25="90-2540-100",B25="90-2540-200",B25="90-2540-300",B25="90-2540-400",B25="90-2540-600",B25="90-2540-800",B25="90-2540-800",B25="10-2550-100",B25="10-2550-200",B25="10-2550-300",B25="10-2550-400",B25="10-2550-600",B25="10-2550-800",B25="20-2550-100",B25="20-2550-200",B25="20-2550-300",B25="20-2550-400",B25="20-2550-600",B25="20-2550-800",B25="40-2550-100",B25="40-2550-200",B25="40-2550-300",B25="40-2550-400",B25="40-2550-600",B25="40-2550-800",B25="50-2550-200",B25="10-2560-100",B25="10-2560-200",B25="10-2560-300",B25="10-2560-400",B25="10-2560-600",B25="10-2560-800",B25="20-2560-100",B25="20-2560-200",B25="20-2560-300",B25="20-2560-400",B25="20-2560-600",B25="20-2560-800",B25="50-2560-200",B25="10-2570-100",B25="10-2570-200",B25="10-2570-300",B25="10-2570-400",B25="10-2570-600",B25="10-2570-800",B25="50-2570-200",B25="10-2610-100",B25="10-2610-200",B25="10-2610-300",B25="10-2610-400",B25="10-2610-600",B25="10-2610-800",B25="50-2610-200",B25="10-2620-100",B25="10-2620-200",B25="10-2620-300",B25="10-2620-400",B25="10-2620-600",B25="10-2620-800",B25="50-2620-200",B25="10-2630-100",B25="10-2630-200",B25="10-2630-300",B25="10-2630-400",B25="10-2630-600",B25="10-2630-800",B25="50-2630-200",B25="10-2640-100",B25="10-2640-200",B25="10-2640-300",B25="10-2640-400",B25="10-2640-600",B25="10-2640-800",B25="50-2640-200",B25="10-2660-100",B25="10-2660-200",B25="10-2660-300",B25="10-2660-400",B25="10-2660-600",B25="10-2660-800",B25="50-2660-200",B25="10-2900-100",B25="10-2900-200",B25="10-2900-300",B25="10-2900-400",B25="10-2900-600",B25="10-2900-800",B25="20-2900-100",B25="20-2900-200",B25="20-2900-300",B25="20-2900-400",B25="20-2900-600",B25="20-2900-800",B25="40-2900-100",B25="40-2900-200",B25="40-2900-300",B25="40-2900-400",B25="40-2900-600",B25="40-2900-800",B25="50-2900-200",B25="60-2900-100",B25="60-2900-200",B25="60-2900-300",B25="60-2900-400",B25="60-2900-600",B25="60-2900-800",B25="90-2900-100",B25="90-2900-200",B25="90-2900-300",B25="90-2900-400",B25="90-2900-600",B25="90-2900-800",B25="10-3000-100",B25="10-3000-200",B25="10-3000-300",B25="10-3000-400",B25="10-3000-600",B25="10-3000-800",B25="20-3000-100",B25="20-3000-200",B25="20-3000-300",B25="20-3000-400",B25="20-3000-600",B25="20-3000-800",B25="40-3000-100",B25="40-3000-200",B25="40-3000-300",B25="40-3000-400",B25="40-3000-600",B25="40-3000-800",B25="50-3000-200"),E25,0)</f>
        <v>0</v>
      </c>
      <c r="G25" s="1815">
        <f t="shared" ref="G25:G26" si="7">IF(F25=0,0,D25-F25)</f>
        <v>0</v>
      </c>
    </row>
    <row r="26" spans="1:8" x14ac:dyDescent="0.25">
      <c r="A26" s="1675"/>
      <c r="B26" s="1688"/>
      <c r="C26" s="1676"/>
      <c r="D26" s="1865"/>
      <c r="E26" s="1562">
        <f t="shared" si="5"/>
        <v>0</v>
      </c>
      <c r="F26" s="1814">
        <f t="shared" si="6"/>
        <v>0</v>
      </c>
      <c r="G26" s="1815">
        <f t="shared" si="7"/>
        <v>0</v>
      </c>
    </row>
    <row r="27" spans="1:8" x14ac:dyDescent="0.25">
      <c r="A27" s="1675"/>
      <c r="B27" s="1687"/>
      <c r="C27" s="1676"/>
      <c r="D27" s="1865"/>
      <c r="E27" s="1562">
        <f t="shared" si="2"/>
        <v>0</v>
      </c>
      <c r="F27" s="1814">
        <f t="shared" si="3"/>
        <v>0</v>
      </c>
      <c r="G27" s="1815">
        <f t="shared" si="4"/>
        <v>0</v>
      </c>
    </row>
    <row r="28" spans="1:8" x14ac:dyDescent="0.25">
      <c r="A28" s="1818" t="s">
        <v>158</v>
      </c>
      <c r="B28" s="1819"/>
      <c r="C28" s="1820"/>
      <c r="D28" s="1816">
        <f>SUM(D17:D27)</f>
        <v>294333</v>
      </c>
      <c r="E28" s="1563">
        <f t="shared" si="1"/>
        <v>25000</v>
      </c>
      <c r="F28" s="1816">
        <f>SUM(F17:F27)</f>
        <v>104454</v>
      </c>
      <c r="G28" s="1817">
        <f>SUM(G17:G27)</f>
        <v>189879</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7" colorId="8" zoomScale="110" zoomScaleNormal="110" workbookViewId="0">
      <selection activeCell="E28" sqref="E2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1777</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04" t="s">
        <v>1943</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1725909</v>
      </c>
      <c r="F19" s="1821"/>
      <c r="G19" s="1823">
        <f>'Expenditures 15-22'!K33-SUM('Expenditures 15-22'!G33,'Expenditures 15-22'!I33)+'Expenditures 15-22'!D229</f>
        <v>1725909</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60555</v>
      </c>
      <c r="F21" s="1824"/>
      <c r="G21" s="1827">
        <f>'Expenditures 15-22'!K42-SUM('Expenditures 15-22'!G42,'Expenditures 15-22'!I42)+'Expenditures 15-22'!K120-SUM('Expenditures 15-22'!G120,'Expenditures 15-22'!I120)+'Expenditures 15-22'!K180-SUM('Expenditures 15-22'!G180,'Expenditures 15-22'!I180)+'Expenditures 15-22'!D238</f>
        <v>60555</v>
      </c>
      <c r="H21" s="988"/>
      <c r="I21" s="162"/>
    </row>
    <row r="22" spans="1:9" s="669" customFormat="1" ht="12" customHeight="1" x14ac:dyDescent="0.2">
      <c r="A22" s="995" t="s">
        <v>585</v>
      </c>
      <c r="B22" s="996"/>
      <c r="C22" s="994">
        <v>2200</v>
      </c>
      <c r="D22" s="1824"/>
      <c r="E22" s="1826">
        <f>'Expenditures 15-22'!K47-SUM('Expenditures 15-22'!G47,'Expenditures 15-22'!I47)+'Expenditures 15-22'!D243</f>
        <v>127533</v>
      </c>
      <c r="F22" s="1824"/>
      <c r="G22" s="1827">
        <f>'Expenditures 15-22'!K47-SUM('Expenditures 15-22'!G47,'Expenditures 15-22'!I47)+'Expenditures 15-22'!D243</f>
        <v>127533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548896</v>
      </c>
      <c r="F23" s="1824"/>
      <c r="G23" s="1826">
        <f>'Expenditures 15-22'!K53-SUM('Expenditures 15-22'!G53,'Expenditures 15-22'!I53)+'Expenditures 15-22'!D257+'Expenditures 15-22'!K330-SUM('Expenditures 15-22'!G330,'Expenditures 15-22'!I330)</f>
        <v>548896</v>
      </c>
      <c r="H23" s="988"/>
      <c r="I23" s="162"/>
    </row>
    <row r="24" spans="1:9" s="669" customFormat="1" ht="12" customHeight="1" x14ac:dyDescent="0.2">
      <c r="A24" s="995" t="s">
        <v>587</v>
      </c>
      <c r="B24" s="996"/>
      <c r="C24" s="994">
        <v>2400</v>
      </c>
      <c r="D24" s="1824"/>
      <c r="E24" s="1826">
        <f>'Expenditures 15-22'!K57-SUM('Expenditures 15-22'!G57,'Expenditures 15-22'!I57)+'Expenditures 15-22'!D261</f>
        <v>118569</v>
      </c>
      <c r="F24" s="1824"/>
      <c r="G24" s="1827">
        <f>'Expenditures 15-22'!K57-SUM('Expenditures 15-22'!G57,'Expenditures 15-22'!I57)+'Expenditures 15-22'!D261</f>
        <v>118569</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71930</v>
      </c>
      <c r="E27" s="1826">
        <f>E8</f>
        <v>0</v>
      </c>
      <c r="F27" s="1826">
        <f>'Expenditures 15-22'!K60-SUM('Expenditures 15-22'!G60,'Expenditures 15-22'!I60)+'Expenditures 15-22'!D264-E8</f>
        <v>71930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441182</v>
      </c>
      <c r="F28" s="1828">
        <f>'Expenditures 15-22'!K61-SUM('Expenditures 15-22'!G61,'Expenditures 15-22'!I61)+'Expenditures 15-22'!K124-SUM('Expenditures 15-22'!G124,'Expenditures 15-22'!I124)+'Expenditures 15-22'!D266-E9</f>
        <v>441182</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276750</v>
      </c>
      <c r="F29" s="1824"/>
      <c r="G29" s="1827">
        <f>'Expenditures 15-22'!K62-SUM('Expenditures 15-22'!G62,'Expenditures 15-22'!I62)+'Expenditures 15-22'!K125-SUM('Expenditures 15-22'!G125,'Expenditures 15-22'!I125)+'Expenditures 15-22'!K182-SUM('Expenditures 15-22'!G182,'Expenditures 15-22'!I182)+'Expenditures 15-22'!D267</f>
        <v>276750</v>
      </c>
      <c r="H29" s="986"/>
    </row>
    <row r="30" spans="1:9" ht="12" customHeight="1" x14ac:dyDescent="0.2">
      <c r="A30" s="995" t="s">
        <v>102</v>
      </c>
      <c r="B30" s="998"/>
      <c r="C30" s="994">
        <v>2560</v>
      </c>
      <c r="D30" s="1824"/>
      <c r="E30" s="1826">
        <f>'Expenditures 15-22'!K63-SUM('Expenditures 15-22'!G63,'Expenditures 15-22'!I63)+'Expenditures 15-22'!D268-E10</f>
        <v>208961</v>
      </c>
      <c r="F30" s="1824"/>
      <c r="G30" s="1826">
        <f>'Expenditures 15-22'!K63-SUM('Expenditures 15-22'!G63,'Expenditures 15-22'!I63)+'Expenditures 15-22'!D268-E10</f>
        <v>208961</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2395</v>
      </c>
      <c r="E36" s="1826">
        <f>E13</f>
        <v>0</v>
      </c>
      <c r="F36" s="1826">
        <f>'Expenditures 15-22'!K70-SUM('Expenditures 15-22'!G70,'Expenditures 15-22'!I70)+'Expenditures 15-22'!D275-E13</f>
        <v>2395</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3651</v>
      </c>
      <c r="F38" s="1824"/>
      <c r="G38" s="1826">
        <f>'Expenditures 15-22'!K73-SUM('Expenditures 15-22'!G73,'Expenditures 15-22'!I73)+'Expenditures 15-22'!K128-SUM('Expenditures 15-22'!G128,'Expenditures 15-22'!I128)+'Expenditures 15-22'!K183-SUM('Expenditures 15-22'!G183,'Expenditures 15-22'!I183)+'Expenditures 15-22'!D278</f>
        <v>3651</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210747</v>
      </c>
      <c r="F39" s="1824"/>
      <c r="G39" s="1826">
        <f>'Expenditures 15-22'!K75-SUM('Expenditures 15-22'!G75,'Expenditures 15-22'!I75)+'Expenditures 15-22'!K130-SUM('Expenditures 15-22'!G130,'Expenditures 15-22'!I130)+'Expenditures 15-22'!K185-SUM('Expenditures 15-22'!G185,'Expenditures 15-22'!I185)+'Expenditures 15-22'!D280</f>
        <v>210747</v>
      </c>
    </row>
    <row r="40" spans="1:7" ht="12" customHeight="1" x14ac:dyDescent="0.2">
      <c r="A40" s="991" t="s">
        <v>1929</v>
      </c>
      <c r="B40" s="992"/>
      <c r="C40" s="994"/>
      <c r="D40" s="1824"/>
      <c r="E40" s="1828">
        <f>-'Contracts Paid in CY 29'!G28</f>
        <v>-189879</v>
      </c>
      <c r="F40" s="1824"/>
      <c r="G40" s="1828">
        <f>-'Contracts Paid in CY 29'!G28</f>
        <v>-189879</v>
      </c>
    </row>
    <row r="41" spans="1:7" ht="12" customHeight="1" x14ac:dyDescent="0.2">
      <c r="A41" s="999" t="s">
        <v>158</v>
      </c>
      <c r="B41" s="1000"/>
      <c r="C41" s="1001"/>
      <c r="D41" s="1828">
        <f>SUM(D19:D39)</f>
        <v>74325</v>
      </c>
      <c r="E41" s="1828">
        <f>SUM(E19:E40)</f>
        <v>3532874</v>
      </c>
      <c r="F41" s="1828">
        <f>SUM(F19:F39)</f>
        <v>515507</v>
      </c>
      <c r="G41" s="1828">
        <f>SUM(G19:G40)</f>
        <v>3091692</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74325</v>
      </c>
      <c r="F43" s="1829" t="s">
        <v>495</v>
      </c>
      <c r="G43" s="1830">
        <f>F41</f>
        <v>515507</v>
      </c>
    </row>
    <row r="44" spans="1:7" ht="12" customHeight="1" x14ac:dyDescent="0.2">
      <c r="A44" s="988"/>
      <c r="B44" s="162"/>
      <c r="C44" s="1002"/>
      <c r="D44" s="1829" t="s">
        <v>494</v>
      </c>
      <c r="E44" s="1830">
        <f>E41</f>
        <v>3532874</v>
      </c>
      <c r="F44" s="1829" t="s">
        <v>494</v>
      </c>
      <c r="G44" s="1830">
        <f>G41</f>
        <v>3091692</v>
      </c>
    </row>
    <row r="45" spans="1:7" ht="12" customHeight="1" x14ac:dyDescent="0.2">
      <c r="A45" s="988"/>
      <c r="B45" s="162"/>
      <c r="C45" s="162"/>
      <c r="D45" s="1831" t="s">
        <v>1063</v>
      </c>
      <c r="E45" s="1832">
        <f>(E43/E44)</f>
        <v>2.1038112313091269E-2</v>
      </c>
      <c r="F45" s="1831" t="s">
        <v>1063</v>
      </c>
      <c r="G45" s="1832">
        <f>(G43/G44)</f>
        <v>0.16673944235066107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E10" sqref="E10"/>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0" t="s">
        <v>1446</v>
      </c>
      <c r="B1" s="2310"/>
      <c r="C1" s="2310"/>
      <c r="D1" s="2310"/>
      <c r="E1" s="2310"/>
      <c r="F1" s="2310"/>
    </row>
    <row r="2" spans="1:10" x14ac:dyDescent="0.2">
      <c r="A2" s="1909" t="s">
        <v>2045</v>
      </c>
      <c r="B2" s="1870"/>
      <c r="C2" s="1909"/>
      <c r="D2" s="1870"/>
      <c r="E2" s="1870"/>
      <c r="F2" s="1871"/>
    </row>
    <row r="3" spans="1:10" x14ac:dyDescent="0.2">
      <c r="A3" s="1909" t="s">
        <v>1699</v>
      </c>
      <c r="B3" s="1870"/>
      <c r="C3" s="1909"/>
      <c r="D3" s="1870"/>
      <c r="E3" s="1870"/>
      <c r="F3" s="1871"/>
    </row>
    <row r="4" spans="1:10" ht="3.75" customHeight="1" x14ac:dyDescent="0.2">
      <c r="A4" s="1870"/>
      <c r="B4" s="1870"/>
      <c r="C4" s="1870"/>
      <c r="D4" s="1870"/>
      <c r="E4" s="1870"/>
      <c r="F4" s="1871"/>
    </row>
    <row r="5" spans="1:10" ht="15" x14ac:dyDescent="0.25">
      <c r="A5" s="2311" t="s">
        <v>1627</v>
      </c>
      <c r="B5" s="2312"/>
      <c r="C5" s="2313"/>
      <c r="D5" s="2313"/>
      <c r="E5" s="2313"/>
      <c r="F5" s="2313"/>
    </row>
    <row r="6" spans="1:10" ht="12" customHeight="1" x14ac:dyDescent="0.25">
      <c r="A6" s="1872"/>
      <c r="B6" s="1873"/>
      <c r="C6" s="2314" t="str">
        <f>COVER!A17</f>
        <v>Pembroke CCSD 259</v>
      </c>
      <c r="D6" s="2314"/>
      <c r="E6" s="2314"/>
      <c r="F6" s="1874"/>
    </row>
    <row r="7" spans="1:10" ht="11.25" customHeight="1" thickBot="1" x14ac:dyDescent="0.3">
      <c r="A7" s="1872"/>
      <c r="B7" s="1873"/>
      <c r="C7" s="2315">
        <f>COVER!A13</f>
        <v>32046259004</v>
      </c>
      <c r="D7" s="2315"/>
      <c r="E7" s="2315"/>
      <c r="F7" s="1874"/>
    </row>
    <row r="8" spans="1:10" ht="25.5" customHeight="1" thickBot="1" x14ac:dyDescent="0.25">
      <c r="A8" s="1915" t="s">
        <v>2022</v>
      </c>
      <c r="B8" s="1875" t="s">
        <v>2077</v>
      </c>
      <c r="C8" s="1911" t="s">
        <v>1779</v>
      </c>
      <c r="D8" s="1910" t="s">
        <v>1780</v>
      </c>
      <c r="E8" s="1912" t="s">
        <v>1447</v>
      </c>
      <c r="F8" s="1910" t="s">
        <v>1781</v>
      </c>
      <c r="H8" s="1876" t="b">
        <v>0</v>
      </c>
    </row>
    <row r="9" spans="1:10" ht="15.75" customHeight="1" x14ac:dyDescent="0.2">
      <c r="A9" s="1877" t="s">
        <v>1623</v>
      </c>
      <c r="B9" s="1878"/>
      <c r="C9" s="1879"/>
      <c r="D9" s="1879"/>
      <c r="E9" s="1880"/>
      <c r="F9" s="1881"/>
    </row>
    <row r="10" spans="1:10" ht="27.75" customHeight="1" x14ac:dyDescent="0.2">
      <c r="A10" s="1882" t="s">
        <v>1778</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c r="D26" s="1887"/>
      <c r="E26" s="1890"/>
      <c r="F26" s="1889"/>
      <c r="H26" s="1900">
        <f t="shared" si="0"/>
        <v>0</v>
      </c>
      <c r="I26" s="1900">
        <f t="shared" si="1"/>
        <v>0</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0</v>
      </c>
      <c r="I34" s="1900">
        <f>SUM(I11:I32)</f>
        <v>0</v>
      </c>
      <c r="J34" s="1900">
        <f>SUM(J11:J32)</f>
        <v>0</v>
      </c>
      <c r="K34" s="1900">
        <f>SUM(H34:J34)</f>
        <v>0</v>
      </c>
    </row>
    <row r="35" spans="1:11" ht="12" customHeight="1" x14ac:dyDescent="0.2">
      <c r="A35" s="1893" t="s">
        <v>1459</v>
      </c>
      <c r="B35" s="1894"/>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5"/>
      <c r="B39" s="1895"/>
      <c r="C39" s="1895"/>
      <c r="D39" s="1895"/>
      <c r="E39" s="1895"/>
      <c r="F39" s="1895"/>
    </row>
    <row r="40" spans="1:11" s="1892" customFormat="1" ht="12" customHeight="1" x14ac:dyDescent="0.25">
      <c r="A40" s="1896" t="s">
        <v>1458</v>
      </c>
      <c r="B40" s="1897"/>
      <c r="C40" s="2324"/>
      <c r="D40" s="2324"/>
      <c r="E40" s="2324"/>
      <c r="F40" s="2325"/>
      <c r="H40" s="1901"/>
      <c r="I40" s="1901"/>
      <c r="J40" s="1901"/>
      <c r="K40" s="1901"/>
    </row>
    <row r="41" spans="1:11" s="1892" customFormat="1" ht="12" customHeight="1" x14ac:dyDescent="0.25">
      <c r="A41" s="2326"/>
      <c r="B41" s="2327"/>
      <c r="C41" s="2327"/>
      <c r="D41" s="2327"/>
      <c r="E41" s="2327"/>
      <c r="F41" s="2328"/>
      <c r="H41" s="1901"/>
      <c r="I41" s="1901"/>
      <c r="J41" s="1901"/>
      <c r="K41" s="1901"/>
    </row>
    <row r="42" spans="1:11" s="1892" customFormat="1" ht="12" customHeight="1" x14ac:dyDescent="0.25">
      <c r="A42" s="2326"/>
      <c r="B42" s="2327"/>
      <c r="C42" s="2327"/>
      <c r="D42" s="2327"/>
      <c r="E42" s="2327"/>
      <c r="F42" s="2328"/>
      <c r="H42" s="1901"/>
      <c r="I42" s="1901"/>
      <c r="J42" s="1901"/>
      <c r="K42" s="1901"/>
    </row>
    <row r="43" spans="1:11" s="1892" customFormat="1" ht="15" x14ac:dyDescent="0.25">
      <c r="A43" s="2318"/>
      <c r="B43" s="2319"/>
      <c r="C43" s="2319"/>
      <c r="D43" s="2319"/>
      <c r="E43" s="2319"/>
      <c r="F43" s="2320"/>
      <c r="H43" s="1901"/>
      <c r="I43" s="1901"/>
      <c r="J43" s="1901"/>
      <c r="K43" s="1901"/>
    </row>
    <row r="44" spans="1:11" s="1892" customFormat="1" ht="12" hidden="1" customHeight="1" x14ac:dyDescent="0.25">
      <c r="A44" s="2318"/>
      <c r="B44" s="2319"/>
      <c r="C44" s="2319"/>
      <c r="D44" s="2319"/>
      <c r="E44" s="2319"/>
      <c r="F44" s="232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4" t="str">
        <f>COVER!A17</f>
        <v>Pembroke CCSD 259</v>
      </c>
      <c r="J6" s="2335"/>
      <c r="Q6" s="1685"/>
    </row>
    <row r="7" spans="1:17" x14ac:dyDescent="0.2">
      <c r="A7" s="2336" t="s">
        <v>924</v>
      </c>
      <c r="B7" s="2337"/>
      <c r="C7" s="2337"/>
      <c r="D7" s="2337"/>
      <c r="E7" s="2338"/>
      <c r="F7" s="1018"/>
      <c r="G7" s="1010"/>
      <c r="H7" s="1017" t="s">
        <v>390</v>
      </c>
      <c r="I7" s="2339">
        <f>COVER!A13</f>
        <v>32046259004</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1700</v>
      </c>
      <c r="F9" s="1024"/>
      <c r="G9" s="1024"/>
      <c r="H9" s="1918" t="s">
        <v>1701</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239572</v>
      </c>
      <c r="F12" s="1040"/>
      <c r="G12" s="1833">
        <f t="shared" ref="G12:G18" si="0">SUM(E12:F12)</f>
        <v>239572</v>
      </c>
      <c r="H12" s="1041">
        <v>235955</v>
      </c>
      <c r="I12" s="1040"/>
      <c r="J12" s="1833">
        <f t="shared" ref="J12:J18" si="1">SUM(H12:I12)</f>
        <v>235955</v>
      </c>
    </row>
    <row r="13" spans="1:17" ht="15" customHeight="1" x14ac:dyDescent="0.2">
      <c r="A13" s="1036">
        <v>2</v>
      </c>
      <c r="B13" s="1037" t="s">
        <v>44</v>
      </c>
      <c r="C13" s="1038"/>
      <c r="D13" s="1039">
        <v>2330</v>
      </c>
      <c r="E13" s="1833">
        <f>'Expenditures 15-22'!K51</f>
        <v>99651</v>
      </c>
      <c r="F13" s="1040"/>
      <c r="G13" s="1833">
        <f t="shared" si="0"/>
        <v>99651</v>
      </c>
      <c r="H13" s="1041">
        <v>96500</v>
      </c>
      <c r="I13" s="1040"/>
      <c r="J13" s="1833">
        <f t="shared" si="1"/>
        <v>96500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339223</v>
      </c>
      <c r="F19" s="1835">
        <f t="shared" si="2"/>
        <v>0</v>
      </c>
      <c r="G19" s="1835">
        <f t="shared" si="2"/>
        <v>339223</v>
      </c>
      <c r="H19" s="1835">
        <f t="shared" si="2"/>
        <v>332455</v>
      </c>
      <c r="I19" s="1835">
        <f t="shared" si="2"/>
        <v>0</v>
      </c>
      <c r="J19" s="1835">
        <f t="shared" si="2"/>
        <v>332455</v>
      </c>
    </row>
    <row r="20" spans="1:10" ht="13.5" thickTop="1" x14ac:dyDescent="0.2">
      <c r="A20" s="1036">
        <v>9</v>
      </c>
      <c r="B20" s="2346" t="s">
        <v>1702</v>
      </c>
      <c r="C20" s="2346"/>
      <c r="D20" s="2347"/>
      <c r="E20" s="1047"/>
      <c r="F20" s="1047"/>
      <c r="G20" s="1047"/>
      <c r="H20" s="1047"/>
      <c r="I20" s="1047"/>
      <c r="J20" s="1836">
        <f>IF(AND(G19&gt;0,J19&gt;0),(((J19-G19)/G19)),"Enter Budget Data")</f>
        <v>-1.9951477346760095E-2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t="s">
        <v>2091</v>
      </c>
      <c r="D28" s="2350"/>
      <c r="E28" s="1055"/>
      <c r="F28" s="2350" t="s">
        <v>2093</v>
      </c>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1942</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2"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5"/>
  <sheetViews>
    <sheetView showGridLines="0" zoomScale="110" zoomScaleNormal="110" workbookViewId="0">
      <selection activeCell="D30" sqref="D3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Pembroke CCSD 259</v>
      </c>
    </row>
    <row r="65" spans="2:2" x14ac:dyDescent="0.2">
      <c r="B65" s="1071">
        <f>COVER!A13</f>
        <v>32046259004</v>
      </c>
    </row>
  </sheetData>
  <phoneticPr fontId="13" type="noConversion"/>
  <pageMargins left="0.2" right="0.2" top="1.17" bottom="0.75" header="0.19" footer="0.16"/>
  <pageSetup scale="58" firstPageNumber="32" orientation="landscape"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1707</v>
      </c>
    </row>
    <row r="22" spans="1:5" x14ac:dyDescent="0.2">
      <c r="A22" s="168"/>
      <c r="B22" s="162" t="s">
        <v>1966</v>
      </c>
      <c r="C22" s="162" t="s">
        <v>1231</v>
      </c>
      <c r="D22" s="167" t="s">
        <v>1968</v>
      </c>
      <c r="E22" s="1858" t="s">
        <v>1708</v>
      </c>
    </row>
    <row r="23" spans="1:5" x14ac:dyDescent="0.2">
      <c r="A23" s="168"/>
      <c r="B23" s="162" t="s">
        <v>1967</v>
      </c>
      <c r="D23" s="167" t="s">
        <v>658</v>
      </c>
      <c r="E23" s="1858" t="s">
        <v>1016</v>
      </c>
    </row>
    <row r="24" spans="1:5" x14ac:dyDescent="0.2">
      <c r="A24" s="168" t="s">
        <v>1706</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1705</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99" fitToHeight="0"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Normal="10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1782</v>
      </c>
    </row>
    <row r="17" spans="1:2" ht="6" customHeight="1" x14ac:dyDescent="0.2"/>
    <row r="18" spans="1:2" ht="24.75" customHeight="1" x14ac:dyDescent="0.2">
      <c r="A18" s="2353" t="s">
        <v>1783</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8" r:id="rId4">
          <objectPr defaultSize="0" r:id="rId5">
            <anchor moveWithCells="1">
              <from>
                <xdr:col>1</xdr:col>
                <xdr:colOff>2266950</xdr:colOff>
                <xdr:row>5</xdr:row>
                <xdr:rowOff>28575</xdr:rowOff>
              </from>
              <to>
                <xdr:col>1</xdr:col>
                <xdr:colOff>3181350</xdr:colOff>
                <xdr:row>9</xdr:row>
                <xdr:rowOff>66675</xdr:rowOff>
              </to>
            </anchor>
          </objectPr>
        </oleObject>
      </mc:Choice>
      <mc:Fallback>
        <oleObject progId="Acrobat Document" dvAspect="DVASPECT_ICON" shapeId="50178"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1789</v>
      </c>
      <c r="B1" s="2355"/>
      <c r="C1" s="2355"/>
      <c r="D1" s="2355"/>
      <c r="E1" s="2355"/>
      <c r="F1" s="2356"/>
    </row>
    <row r="2" spans="1:8" ht="45" customHeight="1" x14ac:dyDescent="0.2">
      <c r="A2" s="2364" t="s">
        <v>1790</v>
      </c>
      <c r="B2" s="2365"/>
      <c r="C2" s="2365"/>
      <c r="D2" s="2365"/>
      <c r="E2" s="2365"/>
      <c r="F2" s="2366"/>
      <c r="G2" s="1075"/>
      <c r="H2" s="1075"/>
    </row>
    <row r="3" spans="1:8" ht="57" customHeight="1" x14ac:dyDescent="0.2">
      <c r="A3" s="2367" t="s">
        <v>1785</v>
      </c>
      <c r="B3" s="2368"/>
      <c r="C3" s="2368"/>
      <c r="D3" s="2368"/>
      <c r="E3" s="2368"/>
      <c r="F3" s="2369"/>
      <c r="G3" s="1075"/>
      <c r="H3" s="1075"/>
    </row>
    <row r="4" spans="1:8" ht="14.25" customHeight="1" x14ac:dyDescent="0.2">
      <c r="A4" s="2373" t="s">
        <v>2053</v>
      </c>
      <c r="B4" s="2374"/>
      <c r="C4" s="2374"/>
      <c r="D4" s="2374"/>
      <c r="E4" s="2374"/>
      <c r="F4" s="2375"/>
      <c r="G4" s="1075"/>
      <c r="H4" s="1075"/>
    </row>
    <row r="5" spans="1:8" ht="14.25" customHeight="1" x14ac:dyDescent="0.2">
      <c r="A5" s="2376" t="s">
        <v>2054</v>
      </c>
      <c r="B5" s="2377"/>
      <c r="C5" s="2377"/>
      <c r="D5" s="2377"/>
      <c r="E5" s="2377"/>
      <c r="F5" s="2378"/>
      <c r="G5" s="1075"/>
      <c r="H5" s="1075"/>
    </row>
    <row r="6" spans="1:8" s="1076" customFormat="1" ht="41.25" customHeight="1" x14ac:dyDescent="0.2">
      <c r="A6" s="2370" t="s">
        <v>1791</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3104201</v>
      </c>
      <c r="C8" s="1837">
        <f>'Acct Summary 7-8'!D8</f>
        <v>428658</v>
      </c>
      <c r="D8" s="1837">
        <f>'Acct Summary 7-8'!F8</f>
        <v>329589</v>
      </c>
      <c r="E8" s="1837">
        <f>'Acct Summary 7-8'!I8</f>
        <v>6416</v>
      </c>
      <c r="F8" s="1837">
        <f>SUM(B8:E8)</f>
        <v>3868864</v>
      </c>
    </row>
    <row r="9" spans="1:8" s="1080" customFormat="1" ht="14.25" customHeight="1" thickBot="1" x14ac:dyDescent="0.25">
      <c r="A9" s="1079" t="s">
        <v>1436</v>
      </c>
      <c r="B9" s="1838">
        <f>'Acct Summary 7-8'!C17</f>
        <v>3052425</v>
      </c>
      <c r="C9" s="1838">
        <f>'Acct Summary 7-8'!D17</f>
        <v>418745</v>
      </c>
      <c r="D9" s="1838">
        <f>'Acct Summary 7-8'!F17</f>
        <v>273184</v>
      </c>
      <c r="E9" s="1837"/>
      <c r="F9" s="1837">
        <f>SUM(B9:E9)</f>
        <v>3744354</v>
      </c>
    </row>
    <row r="10" spans="1:8" s="1080" customFormat="1" ht="14.25" thickTop="1" thickBot="1" x14ac:dyDescent="0.25">
      <c r="A10" s="1081" t="s">
        <v>1437</v>
      </c>
      <c r="B10" s="1839">
        <f>(B8-B9)</f>
        <v>51776</v>
      </c>
      <c r="C10" s="1839">
        <f>(C8-C9)</f>
        <v>9913</v>
      </c>
      <c r="D10" s="1839">
        <f>(D8-D9)</f>
        <v>56405</v>
      </c>
      <c r="E10" s="1838">
        <f>(E8-E9)</f>
        <v>6416</v>
      </c>
      <c r="F10" s="1840">
        <f>SUM(F8-F9)</f>
        <v>124510</v>
      </c>
    </row>
    <row r="11" spans="1:8" s="1080" customFormat="1" ht="14.25" thickTop="1" thickBot="1" x14ac:dyDescent="0.25">
      <c r="A11" s="1082" t="s">
        <v>1784</v>
      </c>
      <c r="B11" s="1841">
        <f>'Acct Summary 7-8'!C81</f>
        <v>158903</v>
      </c>
      <c r="C11" s="1841">
        <f>'Acct Summary 7-8'!D81</f>
        <v>4613</v>
      </c>
      <c r="D11" s="1841">
        <f>'Acct Summary 7-8'!F81</f>
        <v>246199</v>
      </c>
      <c r="E11" s="1841">
        <f>'Acct Summary 7-8'!I81</f>
        <v>34934</v>
      </c>
      <c r="F11" s="1842">
        <f>SUM(B11:E11)</f>
        <v>444649</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1786</v>
      </c>
      <c r="B16" s="2357"/>
      <c r="C16" s="2357"/>
      <c r="D16" s="2357"/>
      <c r="E16" s="2357"/>
      <c r="F16" s="310" t="s">
        <v>1438</v>
      </c>
    </row>
    <row r="17" spans="1:6" hidden="1" x14ac:dyDescent="0.2">
      <c r="A17" s="316" t="s">
        <v>1787</v>
      </c>
      <c r="F17" s="1087" t="s">
        <v>1439</v>
      </c>
    </row>
    <row r="18" spans="1:6" hidden="1" x14ac:dyDescent="0.2">
      <c r="A18" s="316" t="s">
        <v>1788</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79" t="s">
        <v>686</v>
      </c>
      <c r="B3" s="2380"/>
      <c r="C3" s="2380"/>
      <c r="D3" s="2381"/>
    </row>
    <row r="4" spans="1:4" x14ac:dyDescent="0.2">
      <c r="A4" s="1153" t="s">
        <v>1792</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88" t="s">
        <v>1796</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2052</v>
      </c>
      <c r="D80" s="1132" t="str">
        <f>IF('Contracts Paid in CY 29'!D28&gt;0,"OK","PLEASE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32046259004</v>
      </c>
    </row>
    <row r="3" spans="1:2" x14ac:dyDescent="0.2">
      <c r="A3" t="s">
        <v>1013</v>
      </c>
      <c r="B3" s="138" t="str">
        <f>COVER!A15</f>
        <v>Kankakee</v>
      </c>
    </row>
    <row r="4" spans="1:2" x14ac:dyDescent="0.2">
      <c r="A4" t="s">
        <v>1064</v>
      </c>
      <c r="B4" s="138" t="str">
        <f>COVER!A17</f>
        <v>Pembroke CCSD 259</v>
      </c>
    </row>
    <row r="5" spans="1:2" x14ac:dyDescent="0.2">
      <c r="A5" t="s">
        <v>728</v>
      </c>
      <c r="B5" s="138" t="str">
        <f>COVER!A38</f>
        <v>Dr. Marcus Alexander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65.023278000000005</v>
      </c>
    </row>
    <row r="16" spans="1:2" x14ac:dyDescent="0.2">
      <c r="A16" t="s">
        <v>442</v>
      </c>
      <c r="B16" s="138" t="str">
        <f>COVER!T13</f>
        <v>Jodi K. Gill, CPA</v>
      </c>
    </row>
    <row r="17" spans="1:2" x14ac:dyDescent="0.2">
      <c r="A17" t="s">
        <v>939</v>
      </c>
      <c r="B17" s="138" t="str">
        <f>COVER!T15</f>
        <v>Jodi Gill</v>
      </c>
    </row>
    <row r="18" spans="1:2" x14ac:dyDescent="0.2">
      <c r="A18" t="s">
        <v>1212</v>
      </c>
      <c r="B18" s="138" t="str">
        <f>COVER!T17</f>
        <v>33 N. Main Street Ste. #1</v>
      </c>
    </row>
    <row r="19" spans="1:2" x14ac:dyDescent="0.2">
      <c r="A19" t="s">
        <v>941</v>
      </c>
      <c r="B19" s="138" t="str">
        <f>COVER!T25</f>
        <v>jodi@jodigillcpa.com</v>
      </c>
    </row>
    <row r="20" spans="1:2" x14ac:dyDescent="0.2">
      <c r="A20" t="s">
        <v>942</v>
      </c>
      <c r="B20" s="138" t="str">
        <f>COVER!T19</f>
        <v>Manteno</v>
      </c>
    </row>
    <row r="21" spans="1:2" x14ac:dyDescent="0.2">
      <c r="A21" t="s">
        <v>500</v>
      </c>
      <c r="B21" s="138" t="str">
        <f>COVER!X19</f>
        <v>Il</v>
      </c>
    </row>
    <row r="22" spans="1:2" x14ac:dyDescent="0.2">
      <c r="A22" t="s">
        <v>943</v>
      </c>
      <c r="B22" s="138">
        <f>COVER!Z19</f>
        <v>60950</v>
      </c>
    </row>
    <row r="23" spans="1:2" x14ac:dyDescent="0.2">
      <c r="A23" t="s">
        <v>1214</v>
      </c>
      <c r="B23" s="138" t="str">
        <f>COVER!T21</f>
        <v>815-468-8802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158903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158903</v>
      </c>
      <c r="D92" s="2" t="str">
        <f t="shared" si="0"/>
        <v>Error?</v>
      </c>
    </row>
    <row r="93" spans="1:4" x14ac:dyDescent="0.2">
      <c r="A93" s="5">
        <v>32</v>
      </c>
      <c r="B93" s="138">
        <f>'Assets-Liab 5-6'!C41</f>
        <v>158903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12238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7625</v>
      </c>
      <c r="C122" s="2" t="s">
        <v>594</v>
      </c>
      <c r="D122" s="2" t="str">
        <f t="shared" si="0"/>
        <v>Error?</v>
      </c>
    </row>
    <row r="123" spans="1:4" x14ac:dyDescent="0.2">
      <c r="A123" s="5">
        <v>62</v>
      </c>
      <c r="B123" s="138">
        <f>'Assets-Liab 5-6'!D39</f>
        <v>4613</v>
      </c>
      <c r="D123" s="2" t="str">
        <f t="shared" si="0"/>
        <v>Error?</v>
      </c>
    </row>
    <row r="124" spans="1:4" x14ac:dyDescent="0.2">
      <c r="A124" s="5">
        <v>63</v>
      </c>
      <c r="B124" s="138">
        <f>'Assets-Liab 5-6'!D41</f>
        <v>12238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246199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246199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1673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2179</v>
      </c>
      <c r="C188" s="2" t="s">
        <v>594</v>
      </c>
      <c r="D188" s="2" t="str">
        <f t="shared" si="1"/>
        <v>Error?</v>
      </c>
    </row>
    <row r="189" spans="1:4" x14ac:dyDescent="0.2">
      <c r="A189" s="5">
        <v>128</v>
      </c>
      <c r="B189" s="138">
        <f>'Assets-Liab 5-6'!G39</f>
        <v>-506</v>
      </c>
      <c r="D189" s="2" t="str">
        <f t="shared" si="1"/>
        <v>Error?</v>
      </c>
    </row>
    <row r="190" spans="1:4" x14ac:dyDescent="0.2">
      <c r="A190" s="5">
        <v>129</v>
      </c>
      <c r="B190" s="138">
        <f>'Assets-Liab 5-6'!G41</f>
        <v>1673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19000</v>
      </c>
      <c r="D273" s="2" t="str">
        <f t="shared" si="3"/>
        <v>Error?</v>
      </c>
    </row>
    <row r="274" spans="1:4" x14ac:dyDescent="0.2">
      <c r="A274" s="5">
        <v>213</v>
      </c>
      <c r="B274" s="138">
        <f>'Assets-Liab 5-6'!M17</f>
        <v>1918023</v>
      </c>
      <c r="D274" s="2" t="str">
        <f t="shared" si="3"/>
        <v>Error?</v>
      </c>
    </row>
    <row r="275" spans="1:4" x14ac:dyDescent="0.2">
      <c r="A275" s="5">
        <v>214</v>
      </c>
      <c r="B275" s="138">
        <f>'Assets-Liab 5-6'!M18</f>
        <v>534996</v>
      </c>
      <c r="D275" s="2" t="str">
        <f t="shared" si="3"/>
        <v>Error?</v>
      </c>
    </row>
    <row r="276" spans="1:4" x14ac:dyDescent="0.2">
      <c r="A276" s="5">
        <v>215</v>
      </c>
      <c r="B276" s="138">
        <f>'Assets-Liab 5-6'!M19</f>
        <v>2969985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5442004</v>
      </c>
      <c r="C279" s="2" t="s">
        <v>594</v>
      </c>
      <c r="D279" s="2" t="str">
        <f t="shared" si="3"/>
        <v>Error?</v>
      </c>
    </row>
    <row r="280" spans="1:4" x14ac:dyDescent="0.2">
      <c r="A280" s="5">
        <v>219</v>
      </c>
      <c r="B280" s="138">
        <f>'Assets-Liab 5-6'!M40</f>
        <v>5442004</v>
      </c>
      <c r="D280" s="2" t="str">
        <f t="shared" si="3"/>
        <v>Error?</v>
      </c>
    </row>
    <row r="281" spans="1:4" x14ac:dyDescent="0.2">
      <c r="A281" s="5">
        <v>220</v>
      </c>
      <c r="B281" s="138">
        <f>'Assets-Liab 5-6'!M41</f>
        <v>5442004</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716401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11787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1109867</v>
      </c>
      <c r="C720" s="2" t="s">
        <v>594</v>
      </c>
      <c r="D720" s="2" t="str">
        <f t="shared" si="10"/>
        <v>Error?</v>
      </c>
    </row>
    <row r="721" spans="1:4" x14ac:dyDescent="0.2">
      <c r="A721" s="5">
        <v>660</v>
      </c>
      <c r="B721" s="138">
        <f>'Expenditures 15-22'!C36</f>
        <v>3996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25924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29920</v>
      </c>
      <c r="C727" s="2" t="s">
        <v>594</v>
      </c>
      <c r="D727" s="2" t="str">
        <f t="shared" si="10"/>
        <v>Error?</v>
      </c>
    </row>
    <row r="728" spans="1:4" x14ac:dyDescent="0.2">
      <c r="A728" s="5">
        <v>667</v>
      </c>
      <c r="B728" s="138">
        <f>'Expenditures 15-22'!C44</f>
        <v>25298</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25298</v>
      </c>
      <c r="C731" s="2" t="s">
        <v>594</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177874</v>
      </c>
      <c r="D733" s="2" t="str">
        <f t="shared" si="10"/>
        <v>Error?</v>
      </c>
    </row>
    <row r="734" spans="1:4" x14ac:dyDescent="0.2">
      <c r="A734" s="5">
        <v>673</v>
      </c>
      <c r="B734" s="138">
        <f>'Expenditures 15-22'!C53</f>
        <v>260659</v>
      </c>
      <c r="C734" s="2" t="s">
        <v>594</v>
      </c>
      <c r="D734" s="2" t="str">
        <f t="shared" si="10"/>
        <v>Error?</v>
      </c>
    </row>
    <row r="735" spans="1:4" x14ac:dyDescent="0.2">
      <c r="A735" s="5">
        <v>674</v>
      </c>
      <c r="B735" s="138">
        <f>'Expenditures 15-22'!C55</f>
        <v>90067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90067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10498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59076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69574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3310</v>
      </c>
      <c r="D754" s="2" t="str">
        <f t="shared" si="10"/>
        <v>Error?</v>
      </c>
    </row>
    <row r="755" spans="1:4" x14ac:dyDescent="0.2">
      <c r="A755" s="5">
        <v>694</v>
      </c>
      <c r="B755" s="138">
        <f>'Expenditures 15-22'!C74</f>
        <v>478828</v>
      </c>
      <c r="C755" s="2" t="s">
        <v>594</v>
      </c>
      <c r="D755" s="2" t="str">
        <f t="shared" si="10"/>
        <v>Error?</v>
      </c>
    </row>
    <row r="756" spans="1:4" x14ac:dyDescent="0.2">
      <c r="A756" s="5">
        <v>695</v>
      </c>
      <c r="B756" s="138">
        <f>'Expenditures 15-22'!C75</f>
        <v>151006</v>
      </c>
      <c r="D756" s="2" t="str">
        <f t="shared" si="10"/>
        <v>Error?</v>
      </c>
    </row>
    <row r="757" spans="1:4" x14ac:dyDescent="0.2">
      <c r="A757" s="5">
        <v>696</v>
      </c>
      <c r="B757" s="138">
        <f>'Expenditures 15-22'!C114</f>
        <v>1739701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116927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199498</v>
      </c>
      <c r="C778" s="2" t="s">
        <v>594</v>
      </c>
      <c r="D778" s="2" t="str">
        <f t="shared" si="11"/>
        <v>Error?</v>
      </c>
    </row>
    <row r="779" spans="1:4" x14ac:dyDescent="0.2">
      <c r="A779" s="5">
        <v>718</v>
      </c>
      <c r="B779" s="138">
        <f>'Expenditures 15-22'!D36</f>
        <v>133</v>
      </c>
      <c r="D779" s="2" t="str">
        <f t="shared" si="11"/>
        <v>Error?</v>
      </c>
    </row>
    <row r="780" spans="1:4" x14ac:dyDescent="0.2">
      <c r="A780" s="5">
        <v>719</v>
      </c>
      <c r="B780" s="138">
        <f>'Expenditures 15-22'!D37</f>
        <v>0</v>
      </c>
      <c r="D780" s="2" t="str">
        <f t="shared" si="11"/>
        <v>Error?</v>
      </c>
    </row>
    <row r="781" spans="1:4" x14ac:dyDescent="0.2">
      <c r="A781" s="5">
        <v>720</v>
      </c>
      <c r="B781" s="138">
        <f>'Expenditures 15-22'!D38</f>
        <v>431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564</v>
      </c>
      <c r="C785" s="2" t="s">
        <v>594</v>
      </c>
      <c r="D785" s="2" t="str">
        <f t="shared" si="11"/>
        <v>Error?</v>
      </c>
    </row>
    <row r="786" spans="1:4" x14ac:dyDescent="0.2">
      <c r="A786" s="5">
        <v>725</v>
      </c>
      <c r="B786" s="138">
        <f>'Expenditures 15-22'!D44</f>
        <v>1057</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1057</v>
      </c>
      <c r="C789" s="2" t="s">
        <v>594</v>
      </c>
      <c r="D789" s="2" t="str">
        <f t="shared" si="11"/>
        <v>Error?</v>
      </c>
    </row>
    <row r="790" spans="1:4" x14ac:dyDescent="0.2">
      <c r="A790" s="5">
        <v>729</v>
      </c>
      <c r="B790" s="138">
        <f>'Expenditures 15-22'!D49</f>
        <v>58</v>
      </c>
      <c r="D790" s="2" t="str">
        <f t="shared" si="11"/>
        <v>Error?</v>
      </c>
    </row>
    <row r="791" spans="1:4" x14ac:dyDescent="0.2">
      <c r="A791" s="5">
        <v>730</v>
      </c>
      <c r="B791" s="138">
        <f>'Expenditures 15-22'!D50</f>
        <v>53564</v>
      </c>
      <c r="D791" s="2" t="str">
        <f t="shared" si="11"/>
        <v>Error?</v>
      </c>
    </row>
    <row r="792" spans="1:4" x14ac:dyDescent="0.2">
      <c r="A792" s="5">
        <v>731</v>
      </c>
      <c r="B792" s="138">
        <f>'Expenditures 15-22'!D53</f>
        <v>74638</v>
      </c>
      <c r="C792" s="2" t="s">
        <v>594</v>
      </c>
      <c r="D792" s="2" t="str">
        <f t="shared" si="11"/>
        <v>Error?</v>
      </c>
    </row>
    <row r="793" spans="1:4" x14ac:dyDescent="0.2">
      <c r="A793" s="5">
        <v>732</v>
      </c>
      <c r="B793" s="138">
        <f>'Expenditures 15-22'!D55</f>
        <v>25472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25472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179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2153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60</v>
      </c>
      <c r="D812" s="2" t="str">
        <f t="shared" si="11"/>
        <v>Error?</v>
      </c>
    </row>
    <row r="813" spans="1:4" x14ac:dyDescent="0.2">
      <c r="A813" s="5">
        <v>752</v>
      </c>
      <c r="B813" s="138">
        <f>'Expenditures 15-22'!D74</f>
        <v>104123</v>
      </c>
      <c r="C813" s="2" t="s">
        <v>594</v>
      </c>
      <c r="D813" s="2" t="str">
        <f t="shared" si="11"/>
        <v>Error?</v>
      </c>
    </row>
    <row r="814" spans="1:4" x14ac:dyDescent="0.2">
      <c r="A814" s="5">
        <v>753</v>
      </c>
      <c r="B814" s="138">
        <f>'Expenditures 15-22'!D75</f>
        <v>24420</v>
      </c>
      <c r="D814" s="2" t="str">
        <f t="shared" si="11"/>
        <v>Error?</v>
      </c>
    </row>
    <row r="815" spans="1:4" x14ac:dyDescent="0.2">
      <c r="A815" s="5">
        <v>754</v>
      </c>
      <c r="B815" s="138">
        <f>'Expenditures 15-22'!D114</f>
        <v>328041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116684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9126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212382</v>
      </c>
      <c r="C836" s="2" t="s">
        <v>594</v>
      </c>
      <c r="D836" s="2" t="str">
        <f t="shared" si="12"/>
        <v>Error?</v>
      </c>
    </row>
    <row r="837" spans="1:4" x14ac:dyDescent="0.2">
      <c r="A837" s="5">
        <v>776</v>
      </c>
      <c r="B837" s="138">
        <f>'Expenditures 15-22'!E36</f>
        <v>4800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765</v>
      </c>
      <c r="D839" s="2" t="str">
        <f t="shared" si="12"/>
        <v>Error?</v>
      </c>
    </row>
    <row r="840" spans="1:4" x14ac:dyDescent="0.2">
      <c r="A840" s="5">
        <v>779</v>
      </c>
      <c r="B840" s="138">
        <f>'Expenditures 15-22'!E39</f>
        <v>22010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27575</v>
      </c>
      <c r="C843" s="2" t="s">
        <v>594</v>
      </c>
      <c r="D843" s="2" t="str">
        <f t="shared" si="12"/>
        <v>Error?</v>
      </c>
    </row>
    <row r="844" spans="1:4" x14ac:dyDescent="0.2">
      <c r="A844" s="5">
        <v>783</v>
      </c>
      <c r="B844" s="138">
        <f>'Expenditures 15-22'!E44</f>
        <v>98353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98353</v>
      </c>
      <c r="C847" s="2" t="s">
        <v>594</v>
      </c>
      <c r="D847" s="2" t="str">
        <f t="shared" si="12"/>
        <v>Error?</v>
      </c>
    </row>
    <row r="848" spans="1:4" x14ac:dyDescent="0.2">
      <c r="A848" s="5">
        <v>787</v>
      </c>
      <c r="B848" s="138">
        <f>'Expenditures 15-22'!E49</f>
        <v>31897</v>
      </c>
      <c r="D848" s="2" t="str">
        <f t="shared" si="12"/>
        <v>Error?</v>
      </c>
    </row>
    <row r="849" spans="1:4" x14ac:dyDescent="0.2">
      <c r="A849" s="5">
        <v>788</v>
      </c>
      <c r="B849" s="138">
        <f>'Expenditures 15-22'!E50</f>
        <v>8134</v>
      </c>
      <c r="D849" s="2" t="str">
        <f t="shared" si="12"/>
        <v>Error?</v>
      </c>
    </row>
    <row r="850" spans="1:4" x14ac:dyDescent="0.2">
      <c r="A850" s="5">
        <v>789</v>
      </c>
      <c r="B850" s="138">
        <f>'Expenditures 15-22'!E53</f>
        <v>46556</v>
      </c>
      <c r="C850" s="2" t="s">
        <v>594</v>
      </c>
      <c r="D850" s="2" t="str">
        <f t="shared" si="12"/>
        <v>Error?</v>
      </c>
    </row>
    <row r="851" spans="1:4" x14ac:dyDescent="0.2">
      <c r="A851" s="5">
        <v>790</v>
      </c>
      <c r="B851" s="138">
        <f>'Expenditures 15-22'!E55</f>
        <v>990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990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70988</v>
      </c>
      <c r="D855" s="2" t="str">
        <f t="shared" si="12"/>
        <v>Error?</v>
      </c>
    </row>
    <row r="856" spans="1:4" x14ac:dyDescent="0.2">
      <c r="A856" s="5">
        <v>795</v>
      </c>
      <c r="B856" s="138">
        <f>'Expenditures 15-22'!E61</f>
        <v>133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73473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2395</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2395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249342</v>
      </c>
      <c r="C871" s="2" t="s">
        <v>594</v>
      </c>
      <c r="D871" s="2" t="str">
        <f t="shared" si="12"/>
        <v>Error?</v>
      </c>
    </row>
    <row r="872" spans="1:4" x14ac:dyDescent="0.2">
      <c r="A872" s="5">
        <v>811</v>
      </c>
      <c r="B872" s="138">
        <f>'Expenditures 15-22'!E75</f>
        <v>16518</v>
      </c>
      <c r="D872" s="2" t="str">
        <f t="shared" si="12"/>
        <v>Error?</v>
      </c>
    </row>
    <row r="873" spans="1:4" x14ac:dyDescent="0.2">
      <c r="A873" s="5">
        <v>812</v>
      </c>
      <c r="B873" s="138">
        <f>'Expenditures 15-22'!E114</f>
        <v>650473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118390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140636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207</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207</v>
      </c>
      <c r="C901" s="2" t="s">
        <v>594</v>
      </c>
      <c r="D901" s="2" t="str">
        <f t="shared" si="13"/>
        <v>Error?</v>
      </c>
    </row>
    <row r="902" spans="1:4" x14ac:dyDescent="0.2">
      <c r="A902" s="5">
        <v>841</v>
      </c>
      <c r="B902" s="138">
        <f>'Expenditures 15-22'!F44</f>
        <v>2439</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2439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192</v>
      </c>
      <c r="D913" s="2" t="str">
        <f t="shared" si="13"/>
        <v>Error?</v>
      </c>
    </row>
    <row r="914" spans="1:4" x14ac:dyDescent="0.2">
      <c r="A914" s="5">
        <v>853</v>
      </c>
      <c r="B914" s="138">
        <f>'Expenditures 15-22'!F61</f>
        <v>167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139870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140229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142875</v>
      </c>
      <c r="C929" s="2" t="s">
        <v>594</v>
      </c>
      <c r="D929" s="2" t="str">
        <f t="shared" si="13"/>
        <v>Error?</v>
      </c>
    </row>
    <row r="930" spans="1:4" x14ac:dyDescent="0.2">
      <c r="A930" s="5">
        <v>869</v>
      </c>
      <c r="B930" s="138">
        <f>'Expenditures 15-22'!F75</f>
        <v>5905</v>
      </c>
      <c r="D930" s="2" t="str">
        <f t="shared" si="13"/>
        <v>Error?</v>
      </c>
    </row>
    <row r="931" spans="1:4" x14ac:dyDescent="0.2">
      <c r="A931" s="5">
        <v>870</v>
      </c>
      <c r="B931" s="138">
        <f>'Expenditures 15-22'!F114</f>
        <v>289416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2486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38574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1350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1350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39924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1070888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21067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1700957</v>
      </c>
      <c r="C1108" s="2" t="s">
        <v>594</v>
      </c>
      <c r="D1108" s="2" t="str">
        <f t="shared" si="16"/>
        <v>Error?</v>
      </c>
    </row>
    <row r="1109" spans="1:4" x14ac:dyDescent="0.2">
      <c r="A1109" s="5">
        <v>1048</v>
      </c>
      <c r="B1109" s="138">
        <f>'Expenditures 15-22'!K36</f>
        <v>8929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27120</v>
      </c>
      <c r="C1111" s="2" t="s">
        <v>594</v>
      </c>
      <c r="D1111" s="2" t="str">
        <f t="shared" si="16"/>
        <v>Error?</v>
      </c>
    </row>
    <row r="1112" spans="1:4" x14ac:dyDescent="0.2">
      <c r="A1112" s="5">
        <v>1051</v>
      </c>
      <c r="B1112" s="138">
        <f>'Expenditures 15-22'!K39</f>
        <v>22217</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58266</v>
      </c>
      <c r="C1115" s="2" t="s">
        <v>594</v>
      </c>
      <c r="D1115" s="2" t="str">
        <f t="shared" si="16"/>
        <v>Error?</v>
      </c>
    </row>
    <row r="1116" spans="1:4" x14ac:dyDescent="0.2">
      <c r="A1116" s="5">
        <v>1055</v>
      </c>
      <c r="B1116" s="138">
        <f>'Expenditures 15-22'!K44</f>
        <v>127147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127147</v>
      </c>
      <c r="C1119" s="2" t="s">
        <v>594</v>
      </c>
      <c r="D1119" s="2" t="str">
        <f t="shared" si="16"/>
        <v>Error?</v>
      </c>
    </row>
    <row r="1120" spans="1:4" x14ac:dyDescent="0.2">
      <c r="A1120" s="5">
        <v>1059</v>
      </c>
      <c r="B1120" s="138">
        <f>'Expenditures 15-22'!K49</f>
        <v>36955</v>
      </c>
      <c r="C1120" s="2" t="s">
        <v>594</v>
      </c>
      <c r="D1120" s="2" t="str">
        <f t="shared" si="16"/>
        <v>Error?</v>
      </c>
    </row>
    <row r="1121" spans="1:4" x14ac:dyDescent="0.2">
      <c r="A1121" s="5">
        <v>1060</v>
      </c>
      <c r="B1121" s="138">
        <f>'Expenditures 15-22'!K50</f>
        <v>239572</v>
      </c>
      <c r="C1121" s="2" t="s">
        <v>594</v>
      </c>
      <c r="D1121" s="2" t="str">
        <f t="shared" si="16"/>
        <v>Error?</v>
      </c>
    </row>
    <row r="1122" spans="1:4" x14ac:dyDescent="0.2">
      <c r="A1122" s="5">
        <v>1061</v>
      </c>
      <c r="B1122" s="138">
        <f>'Expenditures 15-22'!K53</f>
        <v>381853</v>
      </c>
      <c r="C1122" s="2" t="s">
        <v>594</v>
      </c>
      <c r="D1122" s="2" t="str">
        <f t="shared" si="16"/>
        <v>Error?</v>
      </c>
    </row>
    <row r="1123" spans="1:4" x14ac:dyDescent="0.2">
      <c r="A1123" s="5">
        <v>1062</v>
      </c>
      <c r="B1123" s="138">
        <f>'Expenditures 15-22'!K55</f>
        <v>116529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116529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71930</v>
      </c>
      <c r="C1127" s="2" t="s">
        <v>594</v>
      </c>
      <c r="D1127" s="2" t="str">
        <f t="shared" si="16"/>
        <v>Error?</v>
      </c>
    </row>
    <row r="1128" spans="1:4" x14ac:dyDescent="0.2">
      <c r="A1128" s="5">
        <v>1067</v>
      </c>
      <c r="B1128" s="138">
        <f>'Expenditures 15-22'!K61</f>
        <v>10977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208921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291828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2395</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2395</v>
      </c>
      <c r="C1141" s="2" t="s">
        <v>594</v>
      </c>
      <c r="D1141" s="2" t="str">
        <f t="shared" si="16"/>
        <v>Error?</v>
      </c>
    </row>
    <row r="1142" spans="1:4" x14ac:dyDescent="0.2">
      <c r="A1142" s="5">
        <v>1081</v>
      </c>
      <c r="B1142" s="138">
        <f>'Expenditures 15-22'!K73</f>
        <v>3370</v>
      </c>
      <c r="C1142" s="2" t="s">
        <v>594</v>
      </c>
      <c r="D1142" s="2" t="str">
        <f t="shared" si="16"/>
        <v>Error?</v>
      </c>
    </row>
    <row r="1143" spans="1:4" x14ac:dyDescent="0.2">
      <c r="A1143" s="5">
        <v>1082</v>
      </c>
      <c r="B1143" s="138">
        <f>'Expenditures 15-22'!K74</f>
        <v>981388</v>
      </c>
      <c r="C1143" s="2" t="s">
        <v>594</v>
      </c>
      <c r="D1143" s="2" t="str">
        <f t="shared" si="16"/>
        <v>Error?</v>
      </c>
    </row>
    <row r="1144" spans="1:4" x14ac:dyDescent="0.2">
      <c r="A1144" s="5">
        <v>1083</v>
      </c>
      <c r="B1144" s="138">
        <f>'Expenditures 15-22'!K75</f>
        <v>197849</v>
      </c>
      <c r="C1144" s="2" t="s">
        <v>594</v>
      </c>
      <c r="D1144" s="2" t="str">
        <f t="shared" si="16"/>
        <v>Error?</v>
      </c>
    </row>
    <row r="1145" spans="1:4" x14ac:dyDescent="0.2">
      <c r="A1145" s="5">
        <v>1084</v>
      </c>
      <c r="B1145" s="138">
        <f>'Expenditures 15-22'!K102</f>
        <v>172231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3052425</v>
      </c>
      <c r="C1152" s="2" t="s">
        <v>594</v>
      </c>
      <c r="D1152" s="2" t="str">
        <f t="shared" si="17"/>
        <v>Error?</v>
      </c>
    </row>
    <row r="1153" spans="1:4" x14ac:dyDescent="0.2">
      <c r="A1153" s="5">
        <v>1092</v>
      </c>
      <c r="B1153" s="138">
        <f>'Expenditures 15-22'!K115</f>
        <v>51776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124228</v>
      </c>
      <c r="D1221" s="2" t="str">
        <f t="shared" si="18"/>
        <v>Error?</v>
      </c>
    </row>
    <row r="1222" spans="1:4" x14ac:dyDescent="0.2">
      <c r="A1222" s="10">
        <v>1161</v>
      </c>
      <c r="D1222" s="2" t="str">
        <f t="shared" si="18"/>
        <v>OK</v>
      </c>
    </row>
    <row r="1223" spans="1:4" x14ac:dyDescent="0.2">
      <c r="A1223" s="5">
        <v>1162</v>
      </c>
      <c r="B1223" s="138">
        <f>'Expenditures 15-22'!C127</f>
        <v>124228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124228</v>
      </c>
      <c r="C1225" s="2" t="s">
        <v>594</v>
      </c>
      <c r="D1225" s="2" t="str">
        <f t="shared" si="18"/>
        <v>Error?</v>
      </c>
    </row>
    <row r="1226" spans="1:4" x14ac:dyDescent="0.2">
      <c r="A1226" s="5">
        <v>1165</v>
      </c>
      <c r="B1226" s="138">
        <f>'Expenditures 15-22'!C151</f>
        <v>124228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35301</v>
      </c>
      <c r="D1229" s="2" t="str">
        <f t="shared" si="18"/>
        <v>Error?</v>
      </c>
    </row>
    <row r="1230" spans="1:4" x14ac:dyDescent="0.2">
      <c r="A1230" s="10">
        <v>1169</v>
      </c>
      <c r="D1230" s="2" t="str">
        <f t="shared" si="18"/>
        <v>OK</v>
      </c>
    </row>
    <row r="1231" spans="1:4" x14ac:dyDescent="0.2">
      <c r="A1231" s="5">
        <v>1170</v>
      </c>
      <c r="B1231" s="138">
        <f>'Expenditures 15-22'!D127</f>
        <v>35301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35301</v>
      </c>
      <c r="C1233" s="2" t="s">
        <v>594</v>
      </c>
      <c r="D1233" s="2" t="str">
        <f t="shared" si="18"/>
        <v>Error?</v>
      </c>
    </row>
    <row r="1234" spans="1:4" x14ac:dyDescent="0.2">
      <c r="A1234" s="5">
        <v>1173</v>
      </c>
      <c r="B1234" s="138">
        <f>'Expenditures 15-22'!D151</f>
        <v>35301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142448</v>
      </c>
      <c r="D1237" s="2" t="str">
        <f t="shared" si="18"/>
        <v>Error?</v>
      </c>
    </row>
    <row r="1238" spans="1:4" x14ac:dyDescent="0.2">
      <c r="A1238" s="10">
        <v>1177</v>
      </c>
      <c r="D1238" s="2" t="str">
        <f t="shared" si="18"/>
        <v>OK</v>
      </c>
    </row>
    <row r="1239" spans="1:4" x14ac:dyDescent="0.2">
      <c r="A1239" s="5">
        <v>1178</v>
      </c>
      <c r="B1239" s="138">
        <f>'Expenditures 15-22'!E127</f>
        <v>142448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142448</v>
      </c>
      <c r="C1241" s="2" t="s">
        <v>594</v>
      </c>
      <c r="D1241" s="2" t="str">
        <f t="shared" si="18"/>
        <v>Error?</v>
      </c>
    </row>
    <row r="1242" spans="1:4" x14ac:dyDescent="0.2">
      <c r="A1242" s="5">
        <v>1181</v>
      </c>
      <c r="B1242" s="138">
        <f>'Expenditures 15-22'!E151</f>
        <v>142448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116768</v>
      </c>
      <c r="D1245" s="2" t="str">
        <f t="shared" si="18"/>
        <v>Error?</v>
      </c>
    </row>
    <row r="1246" spans="1:4" x14ac:dyDescent="0.2">
      <c r="A1246" s="10">
        <v>1185</v>
      </c>
      <c r="D1246" s="2" t="str">
        <f t="shared" si="18"/>
        <v>OK</v>
      </c>
    </row>
    <row r="1247" spans="1:4" x14ac:dyDescent="0.2">
      <c r="A1247" s="5">
        <v>1186</v>
      </c>
      <c r="B1247" s="138">
        <f>'Expenditures 15-22'!F127</f>
        <v>116768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116768</v>
      </c>
      <c r="C1249" s="2" t="s">
        <v>594</v>
      </c>
      <c r="D1249" s="2" t="str">
        <f t="shared" si="18"/>
        <v>Error?</v>
      </c>
    </row>
    <row r="1250" spans="1:4" x14ac:dyDescent="0.2">
      <c r="A1250" s="5">
        <v>1189</v>
      </c>
      <c r="B1250" s="138">
        <f>'Expenditures 15-22'!F151</f>
        <v>116768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418745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418745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418745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418745</v>
      </c>
      <c r="C1288" s="2" t="s">
        <v>594</v>
      </c>
      <c r="D1288" s="2" t="str">
        <f t="shared" si="19"/>
        <v>Error?</v>
      </c>
    </row>
    <row r="1289" spans="1:4" x14ac:dyDescent="0.2">
      <c r="A1289" s="5">
        <v>1228</v>
      </c>
      <c r="B1289" s="138">
        <f>'Expenditures 15-22'!K152</f>
        <v>9913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111148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111148</v>
      </c>
      <c r="C1339" s="2" t="s">
        <v>594</v>
      </c>
      <c r="D1339" s="2" t="str">
        <f t="shared" si="19"/>
        <v>Error?</v>
      </c>
    </row>
    <row r="1340" spans="1:4" x14ac:dyDescent="0.2">
      <c r="A1340" s="5">
        <v>1279</v>
      </c>
      <c r="B1340" s="138">
        <f>'Expenditures 15-22'!C210</f>
        <v>111148</v>
      </c>
      <c r="C1340" s="2" t="s">
        <v>594</v>
      </c>
      <c r="D1340" s="2" t="str">
        <f t="shared" si="19"/>
        <v>Error?</v>
      </c>
    </row>
    <row r="1341" spans="1:4" x14ac:dyDescent="0.2">
      <c r="A1341" s="5">
        <v>1280</v>
      </c>
      <c r="B1341" s="138">
        <f>'Expenditures 15-22'!D182</f>
        <v>7995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7995</v>
      </c>
      <c r="C1345" s="2" t="s">
        <v>594</v>
      </c>
      <c r="D1345" s="2" t="str">
        <f t="shared" si="20"/>
        <v>Error?</v>
      </c>
    </row>
    <row r="1346" spans="1:4" x14ac:dyDescent="0.2">
      <c r="A1346" s="5">
        <v>1285</v>
      </c>
      <c r="B1346" s="138">
        <f>'Expenditures 15-22'!D210</f>
        <v>7995</v>
      </c>
      <c r="C1346" s="2" t="s">
        <v>594</v>
      </c>
      <c r="D1346" s="2" t="str">
        <f t="shared" si="20"/>
        <v>Error?</v>
      </c>
    </row>
    <row r="1347" spans="1:4" x14ac:dyDescent="0.2">
      <c r="A1347" s="5">
        <v>1286</v>
      </c>
      <c r="B1347" s="138">
        <f>'Expenditures 15-22'!E182</f>
        <v>93532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93532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93532</v>
      </c>
      <c r="C1353" s="2" t="s">
        <v>594</v>
      </c>
      <c r="D1353" s="2" t="str">
        <f t="shared" si="20"/>
        <v>Error?</v>
      </c>
    </row>
    <row r="1354" spans="1:4" x14ac:dyDescent="0.2">
      <c r="A1354" s="5">
        <v>1293</v>
      </c>
      <c r="B1354" s="138">
        <f>'Expenditures 15-22'!F182</f>
        <v>53253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53253</v>
      </c>
      <c r="C1358" s="2" t="s">
        <v>594</v>
      </c>
      <c r="D1358" s="2" t="str">
        <f t="shared" si="20"/>
        <v>Error?</v>
      </c>
    </row>
    <row r="1359" spans="1:4" x14ac:dyDescent="0.2">
      <c r="A1359" s="5">
        <v>1298</v>
      </c>
      <c r="B1359" s="138">
        <f>'Expenditures 15-22'!F210</f>
        <v>53253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1886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1886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1886</v>
      </c>
      <c r="C1376" s="2" t="s">
        <v>594</v>
      </c>
      <c r="D1376" s="2" t="str">
        <f t="shared" si="20"/>
        <v>Error?</v>
      </c>
    </row>
    <row r="1377" spans="1:4" x14ac:dyDescent="0.2">
      <c r="A1377" s="5">
        <v>1316</v>
      </c>
      <c r="B1377" s="138">
        <f>'Expenditures 15-22'!K182</f>
        <v>273184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273184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273184</v>
      </c>
      <c r="C1388" s="2" t="s">
        <v>594</v>
      </c>
      <c r="D1388" s="2" t="str">
        <f t="shared" si="20"/>
        <v>Error?</v>
      </c>
    </row>
    <row r="1389" spans="1:4" x14ac:dyDescent="0.2">
      <c r="A1389" s="5">
        <v>1328</v>
      </c>
      <c r="B1389" s="138">
        <f>'Expenditures 15-22'!K211</f>
        <v>56405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24952</v>
      </c>
      <c r="C1410" s="2" t="s">
        <v>594</v>
      </c>
      <c r="D1410" s="2" t="str">
        <f t="shared" si="21"/>
        <v>Error?</v>
      </c>
    </row>
    <row r="1411" spans="1:4" x14ac:dyDescent="0.2">
      <c r="A1411" s="5">
        <v>1350</v>
      </c>
      <c r="B1411" s="138">
        <f>'Expenditures 15-22'!D232</f>
        <v>306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1983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2289</v>
      </c>
      <c r="C1417" s="2" t="s">
        <v>594</v>
      </c>
      <c r="D1417" s="2" t="str">
        <f t="shared" si="21"/>
        <v>Error?</v>
      </c>
    </row>
    <row r="1418" spans="1:4" x14ac:dyDescent="0.2">
      <c r="A1418" s="5">
        <v>1357</v>
      </c>
      <c r="B1418" s="138">
        <f>'Expenditures 15-22'!D240</f>
        <v>386</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386</v>
      </c>
      <c r="C1421" s="2" t="s">
        <v>594</v>
      </c>
      <c r="D1421" s="2" t="str">
        <f t="shared" si="21"/>
        <v>Error?</v>
      </c>
    </row>
    <row r="1422" spans="1:4" x14ac:dyDescent="0.2">
      <c r="A1422" s="5">
        <v>1361</v>
      </c>
      <c r="B1422" s="138">
        <f>'Expenditures 15-22'!D245</f>
        <v>426</v>
      </c>
      <c r="D1422" s="2" t="str">
        <f t="shared" si="21"/>
        <v>Error?</v>
      </c>
    </row>
    <row r="1423" spans="1:4" x14ac:dyDescent="0.2">
      <c r="A1423" s="5">
        <v>1362</v>
      </c>
      <c r="B1423" s="138">
        <f>'Expenditures 15-22'!D246</f>
        <v>5436</v>
      </c>
      <c r="D1423" s="2" t="str">
        <f t="shared" si="21"/>
        <v>Error?</v>
      </c>
    </row>
    <row r="1424" spans="1:4" x14ac:dyDescent="0.2">
      <c r="A1424" s="5">
        <v>1363</v>
      </c>
      <c r="B1424" s="138">
        <f>'Expenditures 15-22'!D257</f>
        <v>6990</v>
      </c>
      <c r="C1424" s="2" t="s">
        <v>594</v>
      </c>
      <c r="D1424" s="2" t="str">
        <f t="shared" si="21"/>
        <v>Error?</v>
      </c>
    </row>
    <row r="1425" spans="1:4" x14ac:dyDescent="0.2">
      <c r="A1425" s="5">
        <v>1364</v>
      </c>
      <c r="B1425" s="138">
        <f>'Expenditures 15-22'!D259</f>
        <v>2040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2040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11460</v>
      </c>
      <c r="D1431" s="2" t="str">
        <f t="shared" si="21"/>
        <v>Error?</v>
      </c>
    </row>
    <row r="1432" spans="1:4" x14ac:dyDescent="0.2">
      <c r="A1432" s="5">
        <v>1371</v>
      </c>
      <c r="B1432" s="138">
        <f>'Expenditures 15-22'!D267</f>
        <v>8936</v>
      </c>
      <c r="D1432" s="2" t="str">
        <f t="shared" si="21"/>
        <v>Error?</v>
      </c>
    </row>
    <row r="1433" spans="1:4" x14ac:dyDescent="0.2">
      <c r="A1433" s="5">
        <v>1372</v>
      </c>
      <c r="B1433" s="138">
        <f>'Expenditures 15-22'!D268</f>
        <v>4910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25306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281</v>
      </c>
      <c r="D1445" s="2" t="str">
        <f t="shared" si="21"/>
        <v>Error?</v>
      </c>
    </row>
    <row r="1446" spans="1:4" x14ac:dyDescent="0.2">
      <c r="A1446" s="5">
        <v>1385</v>
      </c>
      <c r="B1446" s="138">
        <f>'Expenditures 15-22'!D279</f>
        <v>37292</v>
      </c>
      <c r="C1446" s="2" t="s">
        <v>594</v>
      </c>
      <c r="D1446" s="2" t="str">
        <f t="shared" si="21"/>
        <v>Error?</v>
      </c>
    </row>
    <row r="1447" spans="1:4" x14ac:dyDescent="0.2">
      <c r="A1447" s="5">
        <v>1386</v>
      </c>
      <c r="B1447" s="138">
        <f>'Expenditures 15-22'!D280</f>
        <v>12898</v>
      </c>
      <c r="D1447" s="2" t="str">
        <f t="shared" si="21"/>
        <v>Error?</v>
      </c>
    </row>
    <row r="1448" spans="1:4" x14ac:dyDescent="0.2">
      <c r="A1448" s="5">
        <v>1387</v>
      </c>
      <c r="B1448" s="138">
        <f>'Expenditures 15-22'!D295</f>
        <v>75142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24952</v>
      </c>
      <c r="C1474" s="2" t="s">
        <v>594</v>
      </c>
      <c r="D1474" s="2" t="str">
        <f t="shared" si="22"/>
        <v>Error?</v>
      </c>
    </row>
    <row r="1475" spans="1:4" x14ac:dyDescent="0.2">
      <c r="A1475" s="5">
        <v>1414</v>
      </c>
      <c r="B1475" s="138">
        <f>'Expenditures 15-22'!K232</f>
        <v>306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1983</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2289</v>
      </c>
      <c r="C1481" s="2" t="s">
        <v>594</v>
      </c>
      <c r="D1481" s="2" t="str">
        <f t="shared" si="22"/>
        <v>Error?</v>
      </c>
    </row>
    <row r="1482" spans="1:4" x14ac:dyDescent="0.2">
      <c r="A1482" s="5">
        <v>1421</v>
      </c>
      <c r="B1482" s="138">
        <f>'Expenditures 15-22'!K240</f>
        <v>386</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386</v>
      </c>
      <c r="C1485" s="2" t="s">
        <v>594</v>
      </c>
      <c r="D1485" s="2" t="str">
        <f t="shared" si="22"/>
        <v>Error?</v>
      </c>
    </row>
    <row r="1486" spans="1:4" x14ac:dyDescent="0.2">
      <c r="A1486" s="5">
        <v>1425</v>
      </c>
      <c r="B1486" s="138">
        <f>'Expenditures 15-22'!K245</f>
        <v>426</v>
      </c>
      <c r="C1486" s="2" t="s">
        <v>594</v>
      </c>
      <c r="D1486" s="2" t="str">
        <f t="shared" si="22"/>
        <v>Error?</v>
      </c>
    </row>
    <row r="1487" spans="1:4" x14ac:dyDescent="0.2">
      <c r="A1487" s="5">
        <v>1426</v>
      </c>
      <c r="B1487" s="138">
        <f>'Expenditures 15-22'!K246</f>
        <v>5436</v>
      </c>
      <c r="C1487" s="2" t="s">
        <v>594</v>
      </c>
      <c r="D1487" s="2" t="str">
        <f t="shared" si="22"/>
        <v>Error?</v>
      </c>
    </row>
    <row r="1488" spans="1:4" x14ac:dyDescent="0.2">
      <c r="A1488" s="5">
        <v>1427</v>
      </c>
      <c r="B1488" s="138">
        <f>'Expenditures 15-22'!K257</f>
        <v>6990</v>
      </c>
      <c r="C1488" s="2" t="s">
        <v>594</v>
      </c>
      <c r="D1488" s="2" t="str">
        <f t="shared" si="22"/>
        <v>Error?</v>
      </c>
    </row>
    <row r="1489" spans="1:4" x14ac:dyDescent="0.2">
      <c r="A1489" s="5">
        <v>1428</v>
      </c>
      <c r="B1489" s="138">
        <f>'Expenditures 15-22'!K259</f>
        <v>2040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2040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11460</v>
      </c>
      <c r="C1495" s="2" t="s">
        <v>594</v>
      </c>
      <c r="D1495" s="2" t="str">
        <f t="shared" si="22"/>
        <v>Error?</v>
      </c>
    </row>
    <row r="1496" spans="1:4" x14ac:dyDescent="0.2">
      <c r="A1496" s="5">
        <v>1435</v>
      </c>
      <c r="B1496" s="138">
        <f>'Expenditures 15-22'!K267</f>
        <v>8936</v>
      </c>
      <c r="C1496" s="2" t="s">
        <v>594</v>
      </c>
      <c r="D1496" s="2" t="str">
        <f t="shared" si="22"/>
        <v>Error?</v>
      </c>
    </row>
    <row r="1497" spans="1:4" x14ac:dyDescent="0.2">
      <c r="A1497" s="5">
        <v>1436</v>
      </c>
      <c r="B1497" s="138">
        <f>'Expenditures 15-22'!K268</f>
        <v>4910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25306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281</v>
      </c>
      <c r="C1509" s="2" t="s">
        <v>594</v>
      </c>
      <c r="D1509" s="2" t="str">
        <f t="shared" si="22"/>
        <v>Error?</v>
      </c>
    </row>
    <row r="1510" spans="1:4" x14ac:dyDescent="0.2">
      <c r="A1510" s="5">
        <v>1449</v>
      </c>
      <c r="B1510" s="138">
        <f>'Expenditures 15-22'!K279</f>
        <v>37292</v>
      </c>
      <c r="C1510" s="2" t="s">
        <v>594</v>
      </c>
      <c r="D1510" s="2" t="str">
        <f t="shared" si="22"/>
        <v>Error?</v>
      </c>
    </row>
    <row r="1511" spans="1:4" x14ac:dyDescent="0.2">
      <c r="A1511" s="5">
        <v>1450</v>
      </c>
      <c r="B1511" s="138">
        <f>'Expenditures 15-22'!K280</f>
        <v>12898</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75142</v>
      </c>
      <c r="C1517" s="2" t="s">
        <v>594</v>
      </c>
      <c r="D1517" s="2" t="str">
        <f t="shared" si="22"/>
        <v>Error?</v>
      </c>
    </row>
    <row r="1518" spans="1:4" x14ac:dyDescent="0.2">
      <c r="A1518" s="5">
        <v>1457</v>
      </c>
      <c r="B1518" s="138">
        <f>'Expenditures 15-22'!K296</f>
        <v>977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107127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158903</v>
      </c>
      <c r="C1630" s="2" t="s">
        <v>594</v>
      </c>
      <c r="D1630" s="2" t="str">
        <f t="shared" si="24"/>
        <v>Error?</v>
      </c>
    </row>
    <row r="1631" spans="1:4" x14ac:dyDescent="0.2">
      <c r="A1631" s="5">
        <v>1570</v>
      </c>
      <c r="B1631" s="138">
        <f>'Acct Summary 7-8'!D79</f>
        <v>-5300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4613</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189794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246199</v>
      </c>
      <c r="C1672" s="2" t="s">
        <v>594</v>
      </c>
      <c r="D1672" s="2" t="str">
        <f t="shared" si="25"/>
        <v>Error?</v>
      </c>
    </row>
    <row r="1673" spans="1:4" x14ac:dyDescent="0.2">
      <c r="A1673" s="5">
        <v>1612</v>
      </c>
      <c r="B1673" s="138">
        <f>'Acct Summary 7-8'!G79</f>
        <v>-1483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-506</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142629</v>
      </c>
      <c r="C1744" s="2" t="s">
        <v>594</v>
      </c>
      <c r="D1744" s="2" t="str">
        <f t="shared" si="26"/>
        <v>Error?</v>
      </c>
    </row>
    <row r="1745" spans="1:5" x14ac:dyDescent="0.2">
      <c r="A1745" s="5">
        <v>1684</v>
      </c>
      <c r="B1745" s="138">
        <f>'Tax Sched 23'!B5</f>
        <v>32129</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15410</v>
      </c>
      <c r="C1747" s="2" t="s">
        <v>594</v>
      </c>
      <c r="D1747" s="2" t="str">
        <f t="shared" si="26"/>
        <v>Error?</v>
      </c>
    </row>
    <row r="1748" spans="1:5" x14ac:dyDescent="0.2">
      <c r="A1748" s="5">
        <v>1687</v>
      </c>
      <c r="B1748" s="138">
        <f>'Tax Sched 23'!B8</f>
        <v>33626</v>
      </c>
      <c r="C1748" s="2" t="s">
        <v>594</v>
      </c>
      <c r="D1748" s="2" t="str">
        <f t="shared" si="26"/>
        <v>Error?</v>
      </c>
    </row>
    <row r="1749" spans="1:5" x14ac:dyDescent="0.2">
      <c r="A1749" s="5">
        <v>1688</v>
      </c>
      <c r="B1749" s="138">
        <f>'Tax Sched 23'!B10</f>
        <v>6416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42799</v>
      </c>
      <c r="C1752" s="2" t="s">
        <v>594</v>
      </c>
      <c r="D1752" s="2" t="str">
        <f t="shared" si="26"/>
        <v>Error?</v>
      </c>
    </row>
    <row r="1753" spans="1:5" x14ac:dyDescent="0.2">
      <c r="A1753" s="5">
        <v>1692</v>
      </c>
      <c r="B1753" s="138">
        <f>'Tax Sched 23'!B12</f>
        <v>6416</v>
      </c>
      <c r="C1753" s="2" t="s">
        <v>594</v>
      </c>
      <c r="D1753" s="2" t="str">
        <f t="shared" si="26"/>
        <v>Error?</v>
      </c>
    </row>
    <row r="1754" spans="1:5" x14ac:dyDescent="0.2">
      <c r="A1754" s="5">
        <v>1693</v>
      </c>
      <c r="B1754" s="138">
        <f>'Tax Sched 23'!B14</f>
        <v>2566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330900</v>
      </c>
      <c r="C1759" s="2" t="s">
        <v>594</v>
      </c>
      <c r="D1759" s="2" t="str">
        <f t="shared" si="26"/>
        <v>Error?</v>
      </c>
    </row>
    <row r="1760" spans="1:5" x14ac:dyDescent="0.2">
      <c r="A1760" s="5">
        <v>1699</v>
      </c>
      <c r="B1760" s="138">
        <f>'Tax Sched 23'!D4</f>
        <v>142629</v>
      </c>
      <c r="C1760" s="2" t="s">
        <v>594</v>
      </c>
      <c r="D1760" s="2" t="str">
        <f t="shared" si="26"/>
        <v>Error?</v>
      </c>
    </row>
    <row r="1761" spans="1:5" x14ac:dyDescent="0.2">
      <c r="A1761" s="5">
        <v>1700</v>
      </c>
      <c r="B1761" s="138">
        <f>'Tax Sched 23'!D5</f>
        <v>32129</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15410</v>
      </c>
      <c r="C1763" s="2" t="s">
        <v>594</v>
      </c>
      <c r="D1763" s="2" t="str">
        <f t="shared" si="26"/>
        <v>Error?</v>
      </c>
    </row>
    <row r="1764" spans="1:5" x14ac:dyDescent="0.2">
      <c r="A1764" s="5">
        <v>1703</v>
      </c>
      <c r="B1764" s="138">
        <f>'Tax Sched 23'!D8</f>
        <v>33626</v>
      </c>
      <c r="C1764" s="2" t="s">
        <v>594</v>
      </c>
      <c r="D1764" s="2" t="str">
        <f t="shared" si="26"/>
        <v>Error?</v>
      </c>
    </row>
    <row r="1765" spans="1:5" x14ac:dyDescent="0.2">
      <c r="A1765" s="5">
        <v>1704</v>
      </c>
      <c r="B1765" s="138">
        <f>'Tax Sched 23'!D10</f>
        <v>6416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42799</v>
      </c>
      <c r="C1768" s="2" t="s">
        <v>594</v>
      </c>
      <c r="D1768" s="2" t="str">
        <f t="shared" si="26"/>
        <v>Error?</v>
      </c>
    </row>
    <row r="1769" spans="1:5" x14ac:dyDescent="0.2">
      <c r="A1769" s="5">
        <v>1708</v>
      </c>
      <c r="B1769" s="138">
        <f>'Tax Sched 23'!D12</f>
        <v>6416</v>
      </c>
      <c r="C1769" s="2" t="s">
        <v>594</v>
      </c>
      <c r="D1769" s="2" t="str">
        <f t="shared" si="26"/>
        <v>Error?</v>
      </c>
    </row>
    <row r="1770" spans="1:5" x14ac:dyDescent="0.2">
      <c r="A1770" s="5">
        <v>1709</v>
      </c>
      <c r="B1770" s="138">
        <f>'Tax Sched 23'!D14</f>
        <v>2566</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330900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153316</v>
      </c>
      <c r="C1792" s="2" t="s">
        <v>594</v>
      </c>
      <c r="D1792" s="2" t="str">
        <f t="shared" si="27"/>
        <v>Error?</v>
      </c>
    </row>
    <row r="1793" spans="1:4" x14ac:dyDescent="0.2">
      <c r="A1793" s="5">
        <v>1732</v>
      </c>
      <c r="B1793" s="138">
        <f>'Tax Sched 23'!F5</f>
        <v>34541</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16569</v>
      </c>
      <c r="C1795" s="2" t="s">
        <v>594</v>
      </c>
      <c r="D1795" s="2" t="str">
        <f t="shared" si="27"/>
        <v>Error?</v>
      </c>
    </row>
    <row r="1796" spans="1:4" x14ac:dyDescent="0.2">
      <c r="A1796" s="5">
        <v>1735</v>
      </c>
      <c r="B1796" s="138">
        <f>'Tax Sched 23'!F8</f>
        <v>81860</v>
      </c>
      <c r="C1796" s="2" t="s">
        <v>594</v>
      </c>
      <c r="D1796" s="2" t="str">
        <f t="shared" si="27"/>
        <v>Error?</v>
      </c>
    </row>
    <row r="1797" spans="1:4" x14ac:dyDescent="0.2">
      <c r="A1797" s="5">
        <v>1736</v>
      </c>
      <c r="B1797" s="138">
        <f>'Tax Sched 23'!F10</f>
        <v>6908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45999</v>
      </c>
      <c r="C1800" s="2" t="s">
        <v>594</v>
      </c>
      <c r="D1800" s="2" t="str">
        <f t="shared" si="27"/>
        <v>Error?</v>
      </c>
    </row>
    <row r="1801" spans="1:4" x14ac:dyDescent="0.2">
      <c r="A1801" s="5">
        <v>1740</v>
      </c>
      <c r="B1801" s="138">
        <f>'Tax Sched 23'!F12</f>
        <v>6908</v>
      </c>
      <c r="C1801" s="2" t="s">
        <v>594</v>
      </c>
      <c r="D1801" s="2" t="str">
        <f t="shared" si="27"/>
        <v>Error?</v>
      </c>
    </row>
    <row r="1802" spans="1:4" x14ac:dyDescent="0.2">
      <c r="A1802" s="5">
        <v>1741</v>
      </c>
      <c r="B1802" s="138">
        <f>'Tax Sched 23'!F14</f>
        <v>2766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355775</v>
      </c>
      <c r="C1807" s="2" t="s">
        <v>594</v>
      </c>
      <c r="D1807" s="2" t="str">
        <f t="shared" si="27"/>
        <v>Error?</v>
      </c>
    </row>
    <row r="1808" spans="1:4" x14ac:dyDescent="0.2">
      <c r="A1808" s="5">
        <v>1747</v>
      </c>
      <c r="B1808" s="138">
        <f>'Tax Sched 23'!E4</f>
        <v>153316</v>
      </c>
      <c r="D1808" s="2" t="str">
        <f t="shared" si="27"/>
        <v>Error?</v>
      </c>
    </row>
    <row r="1809" spans="1:4" x14ac:dyDescent="0.2">
      <c r="A1809" s="5">
        <v>1748</v>
      </c>
      <c r="B1809" s="138">
        <f>'Tax Sched 23'!E5</f>
        <v>34541</v>
      </c>
      <c r="D1809" s="2" t="str">
        <f t="shared" si="27"/>
        <v>Error?</v>
      </c>
    </row>
    <row r="1810" spans="1:4" x14ac:dyDescent="0.2">
      <c r="A1810" s="5">
        <v>1749</v>
      </c>
      <c r="B1810" s="138">
        <f>'Tax Sched 23'!E6</f>
        <v>0</v>
      </c>
      <c r="D1810" s="2" t="str">
        <f t="shared" si="27"/>
        <v>Error?</v>
      </c>
    </row>
    <row r="1811" spans="1:4" x14ac:dyDescent="0.2">
      <c r="A1811" s="5">
        <v>1750</v>
      </c>
      <c r="B1811" s="138">
        <f>'Tax Sched 23'!E7</f>
        <v>16569</v>
      </c>
      <c r="D1811" s="2" t="str">
        <f t="shared" si="27"/>
        <v>Error?</v>
      </c>
    </row>
    <row r="1812" spans="1:4" x14ac:dyDescent="0.2">
      <c r="A1812" s="5">
        <v>1751</v>
      </c>
      <c r="B1812" s="138">
        <f>'Tax Sched 23'!E8</f>
        <v>81860</v>
      </c>
      <c r="D1812" s="2" t="str">
        <f t="shared" si="27"/>
        <v>Error?</v>
      </c>
    </row>
    <row r="1813" spans="1:4" x14ac:dyDescent="0.2">
      <c r="A1813" s="5">
        <v>1752</v>
      </c>
      <c r="B1813" s="138">
        <f>'Tax Sched 23'!E10</f>
        <v>6908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45999</v>
      </c>
      <c r="D1816" s="2" t="str">
        <f t="shared" si="27"/>
        <v>Error?</v>
      </c>
    </row>
    <row r="1817" spans="1:4" x14ac:dyDescent="0.2">
      <c r="A1817" s="5">
        <v>1756</v>
      </c>
      <c r="B1817" s="138">
        <f>'Tax Sched 23'!E12</f>
        <v>6908</v>
      </c>
      <c r="D1817" s="2" t="str">
        <f t="shared" si="27"/>
        <v>Error?</v>
      </c>
    </row>
    <row r="1818" spans="1:4" x14ac:dyDescent="0.2">
      <c r="A1818" s="5">
        <v>1757</v>
      </c>
      <c r="B1818" s="138">
        <f>'Tax Sched 23'!E14</f>
        <v>2766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355775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2566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2566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2566</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19000</v>
      </c>
      <c r="D2008" s="2" t="str">
        <f t="shared" si="30"/>
        <v>Error?</v>
      </c>
    </row>
    <row r="2009" spans="1:4" x14ac:dyDescent="0.2">
      <c r="A2009" s="5">
        <v>1948</v>
      </c>
      <c r="B2009" s="138">
        <f>'Cap Outlay Deprec 26'!C8</f>
        <v>1918023</v>
      </c>
      <c r="D2009" s="2" t="str">
        <f t="shared" si="30"/>
        <v>Error?</v>
      </c>
    </row>
    <row r="2010" spans="1:4" x14ac:dyDescent="0.2">
      <c r="A2010" s="5">
        <v>1949</v>
      </c>
      <c r="B2010" s="138">
        <f>'Cap Outlay Deprec 26'!C10</f>
        <v>534996</v>
      </c>
      <c r="D2010" s="2" t="str">
        <f t="shared" si="30"/>
        <v>Error?</v>
      </c>
    </row>
    <row r="2011" spans="1:4" x14ac:dyDescent="0.2">
      <c r="A2011" s="5">
        <v>1950</v>
      </c>
      <c r="B2011" s="138">
        <f>'Cap Outlay Deprec 26'!C12</f>
        <v>1852373</v>
      </c>
      <c r="D2011" s="2" t="str">
        <f t="shared" si="30"/>
        <v>Error?</v>
      </c>
    </row>
    <row r="2012" spans="1:4" x14ac:dyDescent="0.2">
      <c r="A2012" s="5">
        <v>1951</v>
      </c>
      <c r="B2012" s="138">
        <f>'Cap Outlay Deprec 26'!C13</f>
        <v>1117612</v>
      </c>
      <c r="D2012" s="2" t="str">
        <f t="shared" si="30"/>
        <v>Error?</v>
      </c>
    </row>
    <row r="2013" spans="1:4" x14ac:dyDescent="0.2">
      <c r="A2013" s="5">
        <v>1952</v>
      </c>
      <c r="B2013" s="138">
        <f>'Cap Outlay Deprec 26'!C16</f>
        <v>5442004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19000</v>
      </c>
      <c r="C2026" s="2" t="s">
        <v>594</v>
      </c>
      <c r="D2026" s="2" t="str">
        <f t="shared" si="30"/>
        <v>Error?</v>
      </c>
    </row>
    <row r="2027" spans="1:4" x14ac:dyDescent="0.2">
      <c r="A2027" s="5">
        <v>1966</v>
      </c>
      <c r="B2027" s="138">
        <f>'Cap Outlay Deprec 26'!F8</f>
        <v>1918023</v>
      </c>
      <c r="C2027" s="2" t="s">
        <v>594</v>
      </c>
      <c r="D2027" s="2" t="str">
        <f t="shared" si="30"/>
        <v>Error?</v>
      </c>
    </row>
    <row r="2028" spans="1:4" x14ac:dyDescent="0.2">
      <c r="A2028" s="5">
        <v>1967</v>
      </c>
      <c r="B2028" s="138">
        <f>'Cap Outlay Deprec 26'!F10</f>
        <v>534996</v>
      </c>
      <c r="C2028" s="2" t="s">
        <v>594</v>
      </c>
      <c r="D2028" s="2" t="str">
        <f t="shared" si="30"/>
        <v>Error?</v>
      </c>
    </row>
    <row r="2029" spans="1:4" x14ac:dyDescent="0.2">
      <c r="A2029" s="5">
        <v>1968</v>
      </c>
      <c r="B2029" s="138">
        <f>'Cap Outlay Deprec 26'!F12</f>
        <v>1852373</v>
      </c>
      <c r="C2029" s="2" t="s">
        <v>594</v>
      </c>
      <c r="D2029" s="2" t="str">
        <f t="shared" si="30"/>
        <v>Error?</v>
      </c>
    </row>
    <row r="2030" spans="1:4" x14ac:dyDescent="0.2">
      <c r="A2030" s="5">
        <v>1969</v>
      </c>
      <c r="B2030" s="138">
        <f>'Cap Outlay Deprec 26'!F13</f>
        <v>1117612</v>
      </c>
      <c r="C2030" s="2" t="s">
        <v>594</v>
      </c>
      <c r="D2030" s="2" t="str">
        <f t="shared" si="30"/>
        <v>Error?</v>
      </c>
    </row>
    <row r="2031" spans="1:4" x14ac:dyDescent="0.2">
      <c r="A2031" s="5">
        <v>1970</v>
      </c>
      <c r="B2031" s="138">
        <f>'Cap Outlay Deprec 26'!F16</f>
        <v>5442004</v>
      </c>
      <c r="C2031" s="2" t="s">
        <v>594</v>
      </c>
      <c r="D2031" s="2" t="str">
        <f t="shared" si="30"/>
        <v>Error?</v>
      </c>
    </row>
    <row r="2032" spans="1:4" x14ac:dyDescent="0.2">
      <c r="A2032" s="10">
        <v>1971</v>
      </c>
      <c r="D2032" s="2" t="str">
        <f t="shared" si="30"/>
        <v>OK</v>
      </c>
    </row>
    <row r="2033" spans="1:4" x14ac:dyDescent="0.2">
      <c r="A2033" s="5">
        <v>1972</v>
      </c>
      <c r="B2033" s="138">
        <f>'Cap Outlay Deprec 26'!H8</f>
        <v>1413017</v>
      </c>
      <c r="D2033" s="2" t="str">
        <f t="shared" si="30"/>
        <v>Error?</v>
      </c>
    </row>
    <row r="2034" spans="1:4" x14ac:dyDescent="0.2">
      <c r="A2034" s="5">
        <v>1973</v>
      </c>
      <c r="B2034" s="138">
        <f>'Cap Outlay Deprec 26'!H10</f>
        <v>224091</v>
      </c>
      <c r="D2034" s="2" t="str">
        <f t="shared" si="30"/>
        <v>Error?</v>
      </c>
    </row>
    <row r="2035" spans="1:4" x14ac:dyDescent="0.2">
      <c r="A2035" s="5">
        <v>1974</v>
      </c>
      <c r="B2035" s="138">
        <f>'Cap Outlay Deprec 26'!H12</f>
        <v>1758701</v>
      </c>
      <c r="D2035" s="2" t="str">
        <f t="shared" si="30"/>
        <v>Error?</v>
      </c>
    </row>
    <row r="2036" spans="1:4" x14ac:dyDescent="0.2">
      <c r="A2036" s="5">
        <v>1975</v>
      </c>
      <c r="B2036" s="138">
        <f>'Cap Outlay Deprec 26'!H13</f>
        <v>1062323</v>
      </c>
      <c r="D2036" s="2" t="str">
        <f t="shared" si="30"/>
        <v>Error?</v>
      </c>
    </row>
    <row r="2037" spans="1:4" x14ac:dyDescent="0.2">
      <c r="A2037" s="5">
        <v>1976</v>
      </c>
      <c r="B2037" s="138">
        <f>'Cap Outlay Deprec 26'!H16</f>
        <v>4458132</v>
      </c>
      <c r="C2037" s="2" t="s">
        <v>594</v>
      </c>
      <c r="D2037" s="2" t="str">
        <f t="shared" si="30"/>
        <v>Error?</v>
      </c>
    </row>
    <row r="2038" spans="1:4" x14ac:dyDescent="0.2">
      <c r="A2038" s="10">
        <v>1977</v>
      </c>
      <c r="D2038" s="2" t="str">
        <f t="shared" si="30"/>
        <v>OK</v>
      </c>
    </row>
    <row r="2039" spans="1:4" x14ac:dyDescent="0.2">
      <c r="A2039" s="5">
        <v>1978</v>
      </c>
      <c r="B2039" s="138">
        <f>'Cap Outlay Deprec 26'!I8</f>
        <v>38360</v>
      </c>
      <c r="D2039" s="2" t="str">
        <f t="shared" si="30"/>
        <v>Error?</v>
      </c>
    </row>
    <row r="2040" spans="1:4" x14ac:dyDescent="0.2">
      <c r="A2040" s="5">
        <v>1979</v>
      </c>
      <c r="B2040" s="138">
        <f>'Cap Outlay Deprec 26'!I10</f>
        <v>17487</v>
      </c>
      <c r="D2040" s="2" t="str">
        <f t="shared" si="30"/>
        <v>Error?</v>
      </c>
    </row>
    <row r="2041" spans="1:4" x14ac:dyDescent="0.2">
      <c r="A2041" s="5">
        <v>1980</v>
      </c>
      <c r="B2041" s="138">
        <f>'Cap Outlay Deprec 26'!I12</f>
        <v>14422</v>
      </c>
      <c r="D2041" s="2" t="str">
        <f t="shared" si="30"/>
        <v>Error?</v>
      </c>
    </row>
    <row r="2042" spans="1:4" x14ac:dyDescent="0.2">
      <c r="A2042" s="5">
        <v>1981</v>
      </c>
      <c r="B2042" s="138">
        <f>'Cap Outlay Deprec 26'!I13</f>
        <v>17251</v>
      </c>
      <c r="D2042" s="2" t="str">
        <f t="shared" si="30"/>
        <v>Error?</v>
      </c>
    </row>
    <row r="2043" spans="1:4" x14ac:dyDescent="0.2">
      <c r="A2043" s="5">
        <v>1982</v>
      </c>
      <c r="B2043" s="138">
        <f>'Cap Outlay Deprec 26'!I16</f>
        <v>87520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1451377</v>
      </c>
      <c r="C2051" s="2" t="s">
        <v>594</v>
      </c>
      <c r="D2051" s="2" t="str">
        <f t="shared" si="31"/>
        <v>Error?</v>
      </c>
    </row>
    <row r="2052" spans="1:4" x14ac:dyDescent="0.2">
      <c r="A2052" s="5">
        <v>1991</v>
      </c>
      <c r="B2052" s="138">
        <f>'Cap Outlay Deprec 26'!K10</f>
        <v>241578</v>
      </c>
      <c r="C2052" s="2" t="s">
        <v>594</v>
      </c>
      <c r="D2052" s="2" t="str">
        <f t="shared" si="31"/>
        <v>Error?</v>
      </c>
    </row>
    <row r="2053" spans="1:4" x14ac:dyDescent="0.2">
      <c r="A2053" s="5">
        <v>1992</v>
      </c>
      <c r="B2053" s="138">
        <f>'Cap Outlay Deprec 26'!K12</f>
        <v>1773123</v>
      </c>
      <c r="C2053" s="2" t="s">
        <v>594</v>
      </c>
      <c r="D2053" s="2" t="str">
        <f t="shared" si="31"/>
        <v>Error?</v>
      </c>
    </row>
    <row r="2054" spans="1:4" x14ac:dyDescent="0.2">
      <c r="A2054" s="5">
        <v>1993</v>
      </c>
      <c r="B2054" s="138">
        <f>'Cap Outlay Deprec 26'!K13</f>
        <v>1079574</v>
      </c>
      <c r="C2054" s="2" t="s">
        <v>594</v>
      </c>
      <c r="D2054" s="2" t="str">
        <f t="shared" si="31"/>
        <v>Error?</v>
      </c>
    </row>
    <row r="2055" spans="1:4" x14ac:dyDescent="0.2">
      <c r="A2055" s="5">
        <v>1994</v>
      </c>
      <c r="B2055" s="138">
        <f>'Cap Outlay Deprec 26'!K16</f>
        <v>4545652</v>
      </c>
      <c r="C2055" s="2" t="s">
        <v>594</v>
      </c>
      <c r="D2055" s="2" t="str">
        <f t="shared" si="31"/>
        <v>Error?</v>
      </c>
    </row>
    <row r="2056" spans="1:4" x14ac:dyDescent="0.2">
      <c r="A2056" s="5">
        <v>1995</v>
      </c>
      <c r="B2056" s="138">
        <f>'Cap Outlay Deprec 26'!L5</f>
        <v>19000</v>
      </c>
      <c r="C2056" s="2" t="s">
        <v>594</v>
      </c>
      <c r="D2056" s="2" t="str">
        <f t="shared" si="31"/>
        <v>Error?</v>
      </c>
    </row>
    <row r="2057" spans="1:4" x14ac:dyDescent="0.2">
      <c r="A2057" s="5">
        <v>1996</v>
      </c>
      <c r="B2057" s="138">
        <f>'Cap Outlay Deprec 26'!L8</f>
        <v>466646</v>
      </c>
      <c r="C2057" s="2" t="s">
        <v>594</v>
      </c>
      <c r="D2057" s="2" t="str">
        <f t="shared" si="31"/>
        <v>Error?</v>
      </c>
    </row>
    <row r="2058" spans="1:4" x14ac:dyDescent="0.2">
      <c r="A2058" s="5">
        <v>1997</v>
      </c>
      <c r="B2058" s="138">
        <f>'Cap Outlay Deprec 26'!L10</f>
        <v>293418</v>
      </c>
      <c r="C2058" s="2" t="s">
        <v>594</v>
      </c>
      <c r="D2058" s="2" t="str">
        <f t="shared" si="31"/>
        <v>Error?</v>
      </c>
    </row>
    <row r="2059" spans="1:4" x14ac:dyDescent="0.2">
      <c r="A2059" s="5">
        <v>1998</v>
      </c>
      <c r="B2059" s="138">
        <f>'Cap Outlay Deprec 26'!L12</f>
        <v>79250</v>
      </c>
      <c r="C2059" s="2" t="s">
        <v>594</v>
      </c>
      <c r="D2059" s="2" t="str">
        <f t="shared" si="31"/>
        <v>Error?</v>
      </c>
    </row>
    <row r="2060" spans="1:4" x14ac:dyDescent="0.2">
      <c r="A2060" s="5">
        <v>1999</v>
      </c>
      <c r="B2060" s="138">
        <f>'Cap Outlay Deprec 26'!L13</f>
        <v>38038</v>
      </c>
      <c r="C2060" s="2" t="s">
        <v>594</v>
      </c>
      <c r="D2060" s="2" t="str">
        <f t="shared" si="31"/>
        <v>Error?</v>
      </c>
    </row>
    <row r="2061" spans="1:4" x14ac:dyDescent="0.2">
      <c r="A2061" s="5">
        <v>2000</v>
      </c>
      <c r="B2061" s="138">
        <f>'Cap Outlay Deprec 26'!L16</f>
        <v>896352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172231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246199</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328460</v>
      </c>
      <c r="C2551" s="2" t="s">
        <v>594</v>
      </c>
      <c r="D2551" s="2" t="str">
        <f t="shared" si="38"/>
        <v>Error?</v>
      </c>
    </row>
    <row r="2552" spans="1:4" x14ac:dyDescent="0.2">
      <c r="A2552" s="10">
        <v>2491</v>
      </c>
      <c r="D2552" s="2" t="str">
        <f t="shared" si="38"/>
        <v>OK</v>
      </c>
    </row>
    <row r="2553" spans="1:4" x14ac:dyDescent="0.2">
      <c r="A2553" s="5">
        <v>2492</v>
      </c>
      <c r="B2553" s="138">
        <f>'Acct Summary 7-8'!C6</f>
        <v>2146073</v>
      </c>
      <c r="C2553" s="2" t="s">
        <v>594</v>
      </c>
      <c r="D2553" s="2" t="str">
        <f t="shared" si="38"/>
        <v>Error?</v>
      </c>
    </row>
    <row r="2554" spans="1:4" x14ac:dyDescent="0.2">
      <c r="A2554" s="5">
        <v>2493</v>
      </c>
      <c r="B2554" s="138">
        <f>'Acct Summary 7-8'!C7</f>
        <v>629668</v>
      </c>
      <c r="C2554" s="2" t="s">
        <v>594</v>
      </c>
      <c r="D2554" s="2" t="str">
        <f t="shared" si="38"/>
        <v>Error?</v>
      </c>
    </row>
    <row r="2555" spans="1:4" x14ac:dyDescent="0.2">
      <c r="A2555" s="5">
        <v>2494</v>
      </c>
      <c r="B2555" s="138">
        <f>'Acct Summary 7-8'!C8</f>
        <v>3104201</v>
      </c>
      <c r="C2555" s="2" t="s">
        <v>594</v>
      </c>
      <c r="D2555" s="2" t="str">
        <f t="shared" si="38"/>
        <v>Error?</v>
      </c>
    </row>
    <row r="2556" spans="1:4" x14ac:dyDescent="0.2">
      <c r="A2556" s="5">
        <v>2495</v>
      </c>
      <c r="B2556" s="138">
        <f>'Acct Summary 7-8'!C12</f>
        <v>1700957</v>
      </c>
      <c r="C2556" s="2" t="s">
        <v>594</v>
      </c>
      <c r="D2556" s="2" t="str">
        <f t="shared" si="38"/>
        <v>Error?</v>
      </c>
    </row>
    <row r="2557" spans="1:4" x14ac:dyDescent="0.2">
      <c r="A2557" s="5">
        <v>2496</v>
      </c>
      <c r="B2557" s="138">
        <f>'Acct Summary 7-8'!C13</f>
        <v>981388</v>
      </c>
      <c r="C2557" s="2" t="s">
        <v>594</v>
      </c>
      <c r="D2557" s="2" t="str">
        <f t="shared" si="38"/>
        <v>Error?</v>
      </c>
    </row>
    <row r="2558" spans="1:4" x14ac:dyDescent="0.2">
      <c r="A2558" s="5">
        <v>2497</v>
      </c>
      <c r="B2558" s="138">
        <f>'Acct Summary 7-8'!C14</f>
        <v>197849</v>
      </c>
      <c r="C2558" s="2" t="s">
        <v>594</v>
      </c>
      <c r="D2558" s="2" t="str">
        <f t="shared" si="38"/>
        <v>Error?</v>
      </c>
    </row>
    <row r="2559" spans="1:4" x14ac:dyDescent="0.2">
      <c r="A2559" s="5">
        <v>2498</v>
      </c>
      <c r="B2559" s="138">
        <f>'Acct Summary 7-8'!C15</f>
        <v>172231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3052425</v>
      </c>
      <c r="C2561" s="2" t="s">
        <v>594</v>
      </c>
      <c r="D2561" s="2" t="str">
        <f t="shared" si="39"/>
        <v>Error?</v>
      </c>
    </row>
    <row r="2562" spans="1:4" x14ac:dyDescent="0.2">
      <c r="A2562" s="5">
        <v>2501</v>
      </c>
      <c r="B2562" s="138">
        <f>'Acct Summary 7-8'!C20</f>
        <v>51776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78487</v>
      </c>
      <c r="C2564" s="2" t="s">
        <v>594</v>
      </c>
      <c r="D2564" s="2" t="str">
        <f t="shared" si="39"/>
        <v>Error?</v>
      </c>
    </row>
    <row r="2565" spans="1:4" x14ac:dyDescent="0.2">
      <c r="A2565" s="10">
        <v>2504</v>
      </c>
      <c r="D2565" s="2" t="str">
        <f t="shared" si="39"/>
        <v>OK</v>
      </c>
    </row>
    <row r="2566" spans="1:4" x14ac:dyDescent="0.2">
      <c r="A2566" s="5">
        <v>2505</v>
      </c>
      <c r="B2566" s="138">
        <f>'Acct Summary 7-8'!D6</f>
        <v>350171</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428658</v>
      </c>
      <c r="C2568" s="2" t="s">
        <v>594</v>
      </c>
      <c r="D2568" s="2" t="str">
        <f t="shared" si="39"/>
        <v>Error?</v>
      </c>
    </row>
    <row r="2569" spans="1:4" x14ac:dyDescent="0.2">
      <c r="A2569" s="5">
        <v>2508</v>
      </c>
      <c r="B2569" s="138">
        <f>'Acct Summary 7-8'!D13</f>
        <v>418745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418745</v>
      </c>
      <c r="C2573" s="2" t="s">
        <v>594</v>
      </c>
      <c r="D2573" s="2" t="str">
        <f t="shared" si="39"/>
        <v>Error?</v>
      </c>
    </row>
    <row r="2574" spans="1:4" x14ac:dyDescent="0.2">
      <c r="A2574" s="5">
        <v>2513</v>
      </c>
      <c r="B2574" s="138">
        <f>'Acct Summary 7-8'!D20</f>
        <v>9913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15411</v>
      </c>
      <c r="C2591" s="2" t="s">
        <v>594</v>
      </c>
      <c r="D2591" s="2" t="str">
        <f t="shared" si="39"/>
        <v>Error?</v>
      </c>
    </row>
    <row r="2592" spans="1:4" x14ac:dyDescent="0.2">
      <c r="A2592" s="10">
        <v>2531</v>
      </c>
      <c r="D2592" s="2" t="str">
        <f t="shared" si="39"/>
        <v>OK</v>
      </c>
    </row>
    <row r="2593" spans="1:4" x14ac:dyDescent="0.2">
      <c r="A2593" s="5">
        <v>2532</v>
      </c>
      <c r="B2593" s="138">
        <f>'Acct Summary 7-8'!F6</f>
        <v>314178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329589</v>
      </c>
      <c r="C2595" s="2" t="s">
        <v>594</v>
      </c>
      <c r="D2595" s="2" t="str">
        <f t="shared" si="39"/>
        <v>Error?</v>
      </c>
    </row>
    <row r="2596" spans="1:4" x14ac:dyDescent="0.2">
      <c r="A2596" s="5">
        <v>2535</v>
      </c>
      <c r="B2596" s="138">
        <f>'Acct Summary 7-8'!F13</f>
        <v>273184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273184</v>
      </c>
      <c r="C2600" s="2" t="s">
        <v>594</v>
      </c>
      <c r="D2600" s="2" t="str">
        <f t="shared" si="39"/>
        <v>Error?</v>
      </c>
    </row>
    <row r="2601" spans="1:4" x14ac:dyDescent="0.2">
      <c r="A2601" s="5">
        <v>2540</v>
      </c>
      <c r="B2601" s="138">
        <f>'Acct Summary 7-8'!F20</f>
        <v>56405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76119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76119</v>
      </c>
      <c r="C2606" s="2" t="s">
        <v>594</v>
      </c>
      <c r="D2606" s="2" t="str">
        <f t="shared" si="39"/>
        <v>Error?</v>
      </c>
    </row>
    <row r="2607" spans="1:4" x14ac:dyDescent="0.2">
      <c r="A2607" s="5">
        <v>2546</v>
      </c>
      <c r="B2607" s="138">
        <f>'Acct Summary 7-8'!G12</f>
        <v>24952</v>
      </c>
      <c r="C2607" s="2" t="s">
        <v>594</v>
      </c>
      <c r="D2607" s="2" t="str">
        <f t="shared" si="39"/>
        <v>Error?</v>
      </c>
    </row>
    <row r="2608" spans="1:4" x14ac:dyDescent="0.2">
      <c r="A2608" s="5">
        <v>2547</v>
      </c>
      <c r="B2608" s="138">
        <f>'Acct Summary 7-8'!G13</f>
        <v>37292</v>
      </c>
      <c r="C2608" s="2" t="s">
        <v>594</v>
      </c>
      <c r="D2608" s="2" t="str">
        <f t="shared" si="39"/>
        <v>Error?</v>
      </c>
    </row>
    <row r="2609" spans="1:4" x14ac:dyDescent="0.2">
      <c r="A2609" s="5">
        <v>2548</v>
      </c>
      <c r="B2609" s="138">
        <f>'Acct Summary 7-8'!G14</f>
        <v>12898</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75142</v>
      </c>
      <c r="C2612" s="2" t="s">
        <v>594</v>
      </c>
      <c r="D2612" s="2" t="str">
        <f t="shared" si="39"/>
        <v>Error?</v>
      </c>
    </row>
    <row r="2613" spans="1:4" x14ac:dyDescent="0.2">
      <c r="A2613" s="5">
        <v>2552</v>
      </c>
      <c r="B2613" s="138">
        <f>'Acct Summary 7-8'!G20</f>
        <v>977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77785</v>
      </c>
      <c r="D2718" s="2" t="str">
        <f t="shared" si="41"/>
        <v>Error?</v>
      </c>
    </row>
    <row r="2719" spans="1:4" x14ac:dyDescent="0.2">
      <c r="A2719" s="5">
        <v>2658</v>
      </c>
      <c r="B2719" s="138">
        <f>'Expenditures 15-22'!D51</f>
        <v>21016</v>
      </c>
      <c r="D2719" s="2" t="str">
        <f t="shared" si="41"/>
        <v>Error?</v>
      </c>
    </row>
    <row r="2720" spans="1:4" x14ac:dyDescent="0.2">
      <c r="A2720" s="5">
        <v>2659</v>
      </c>
      <c r="B2720" s="138">
        <f>'Expenditures 15-22'!E51</f>
        <v>850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99651</v>
      </c>
      <c r="C2724" s="2" t="s">
        <v>594</v>
      </c>
      <c r="D2724" s="2" t="str">
        <f t="shared" si="41"/>
        <v>Error?</v>
      </c>
    </row>
    <row r="2725" spans="1:4" x14ac:dyDescent="0.2">
      <c r="A2725" s="5">
        <v>2664</v>
      </c>
      <c r="B2725" s="138">
        <f>'Expenditures 15-22'!D247</f>
        <v>1128</v>
      </c>
      <c r="D2725" s="2" t="str">
        <f t="shared" si="41"/>
        <v>Error?</v>
      </c>
    </row>
    <row r="2726" spans="1:4" x14ac:dyDescent="0.2">
      <c r="A2726" s="5">
        <v>2665</v>
      </c>
      <c r="B2726" s="138">
        <f>'Expenditures 15-22'!K247</f>
        <v>1128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172231</v>
      </c>
      <c r="C2789" s="2" t="s">
        <v>594</v>
      </c>
      <c r="D2789" s="2" t="str">
        <f t="shared" si="42"/>
        <v>Error?</v>
      </c>
    </row>
    <row r="2790" spans="1:4" x14ac:dyDescent="0.2">
      <c r="A2790" s="5">
        <v>2729</v>
      </c>
      <c r="B2790" s="138">
        <f>'Expenditures 15-22'!E102</f>
        <v>172231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34934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34934</v>
      </c>
      <c r="D2912" s="2" t="str">
        <f t="shared" si="44"/>
        <v>Error?</v>
      </c>
    </row>
    <row r="2913" spans="1:4" x14ac:dyDescent="0.2">
      <c r="A2913" s="5">
        <v>2852</v>
      </c>
      <c r="B2913" s="138">
        <f>'Assets-Liab 5-6'!I41</f>
        <v>34934</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172231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172231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63838</v>
      </c>
      <c r="D3055" s="2" t="str">
        <f t="shared" si="46"/>
        <v>Error?</v>
      </c>
    </row>
    <row r="3056" spans="1:4" x14ac:dyDescent="0.2">
      <c r="A3056" s="5">
        <v>2995</v>
      </c>
      <c r="B3056" s="138">
        <f>'Expenditures 15-22'!D10</f>
        <v>13231</v>
      </c>
      <c r="D3056" s="2" t="str">
        <f t="shared" si="46"/>
        <v>Error?</v>
      </c>
    </row>
    <row r="3057" spans="1:4" x14ac:dyDescent="0.2">
      <c r="A3057" s="5">
        <v>2996</v>
      </c>
      <c r="B3057" s="138">
        <f>'Expenditures 15-22'!E10</f>
        <v>36236</v>
      </c>
      <c r="D3057" s="2" t="str">
        <f t="shared" si="46"/>
        <v>Error?</v>
      </c>
    </row>
    <row r="3058" spans="1:4" x14ac:dyDescent="0.2">
      <c r="A3058" s="5">
        <v>2997</v>
      </c>
      <c r="B3058" s="138">
        <f>'Expenditures 15-22'!F10</f>
        <v>12752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126057</v>
      </c>
      <c r="C3062" s="2" t="s">
        <v>594</v>
      </c>
      <c r="D3062" s="2" t="str">
        <f t="shared" si="46"/>
        <v>Error?</v>
      </c>
    </row>
    <row r="3063" spans="1:4" x14ac:dyDescent="0.2">
      <c r="A3063" s="10">
        <v>3002</v>
      </c>
      <c r="D3063" s="2" t="str">
        <f t="shared" si="46"/>
        <v>OK</v>
      </c>
    </row>
    <row r="3064" spans="1:4" x14ac:dyDescent="0.2">
      <c r="A3064" s="5">
        <v>3003</v>
      </c>
      <c r="B3064" s="138">
        <f>'Expenditures 15-22'!D219</f>
        <v>5453</v>
      </c>
      <c r="D3064" s="2" t="str">
        <f t="shared" si="46"/>
        <v>Error?</v>
      </c>
    </row>
    <row r="3065" spans="1:4" x14ac:dyDescent="0.2">
      <c r="A3065" s="5">
        <v>3004</v>
      </c>
      <c r="B3065" s="138">
        <f>'Expenditures 15-22'!K219</f>
        <v>5453</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6416</v>
      </c>
      <c r="C3225" s="2" t="s">
        <v>594</v>
      </c>
      <c r="D3225" s="2" t="str">
        <f t="shared" si="49"/>
        <v>Error?</v>
      </c>
    </row>
    <row r="3226" spans="1:4" x14ac:dyDescent="0.2">
      <c r="A3226" s="5">
        <v>3165</v>
      </c>
      <c r="B3226" s="138">
        <f>'Acct Summary 7-8'!I8</f>
        <v>6416</v>
      </c>
      <c r="C3226" s="2" t="s">
        <v>594</v>
      </c>
      <c r="D3226" s="2" t="str">
        <f t="shared" si="49"/>
        <v>Error?</v>
      </c>
    </row>
    <row r="3227" spans="1:4" x14ac:dyDescent="0.2">
      <c r="A3227" s="5">
        <v>3166</v>
      </c>
      <c r="B3227" s="138">
        <f>'Acct Summary 7-8'!I20</f>
        <v>6416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51776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9913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56405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977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6416</v>
      </c>
      <c r="C3320" s="2" t="s">
        <v>594</v>
      </c>
      <c r="D3320" s="2" t="str">
        <f t="shared" si="50"/>
        <v>Error?</v>
      </c>
    </row>
    <row r="3321" spans="1:4" x14ac:dyDescent="0.2">
      <c r="A3321" s="5">
        <v>3260</v>
      </c>
      <c r="B3321" s="138">
        <f>'Acct Summary 7-8'!I79</f>
        <v>28518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34934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100263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16519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47546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4946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36088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205362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11330</v>
      </c>
      <c r="D3387" s="2" t="str">
        <f t="shared" si="51"/>
        <v>Error?</v>
      </c>
    </row>
    <row r="3388" spans="1:4" x14ac:dyDescent="0.2">
      <c r="A3388" s="5">
        <v>3327</v>
      </c>
      <c r="B3388" s="138">
        <f>'Expenditures 15-22'!D217</f>
        <v>1454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11330</v>
      </c>
      <c r="C3390" s="2" t="s">
        <v>594</v>
      </c>
      <c r="D3390" s="2" t="str">
        <f t="shared" si="51"/>
        <v>Error?</v>
      </c>
    </row>
    <row r="3391" spans="1:4" x14ac:dyDescent="0.2">
      <c r="A3391" s="5">
        <v>3330</v>
      </c>
      <c r="B3391" s="138">
        <f>'Expenditures 15-22'!K217</f>
        <v>1454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132933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12238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76075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1673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12437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42493</v>
      </c>
      <c r="C3446" s="2" t="s">
        <v>594</v>
      </c>
      <c r="D3446" s="2" t="str">
        <f t="shared" si="52"/>
        <v>Error?</v>
      </c>
    </row>
    <row r="3447" spans="1:4" x14ac:dyDescent="0.2">
      <c r="A3447" s="5">
        <v>3386</v>
      </c>
      <c r="B3447" s="138">
        <f>'Tax Sched 23'!D16</f>
        <v>42493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12437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182056</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-169619</v>
      </c>
      <c r="D3567" s="2" t="str">
        <f t="shared" si="54"/>
        <v>Error?</v>
      </c>
    </row>
    <row r="3568" spans="1:4" x14ac:dyDescent="0.2">
      <c r="A3568" s="5">
        <v>3507</v>
      </c>
      <c r="B3568" s="138">
        <f>'Assets-Liab 5-6'!K41</f>
        <v>12437</v>
      </c>
      <c r="C3568" s="2" t="s">
        <v>594</v>
      </c>
      <c r="D3568" s="2" t="str">
        <f t="shared" si="54"/>
        <v>Error?</v>
      </c>
    </row>
    <row r="3569" spans="1:4" x14ac:dyDescent="0.2">
      <c r="A3569" s="5">
        <v>3508</v>
      </c>
      <c r="B3569" s="138">
        <f>'Acct Summary 7-8'!K4</f>
        <v>6416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6416</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6416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6416</v>
      </c>
      <c r="C3588" s="2" t="s">
        <v>594</v>
      </c>
      <c r="D3588" s="2" t="str">
        <f t="shared" si="55"/>
        <v>Error?</v>
      </c>
    </row>
    <row r="3589" spans="1:4" x14ac:dyDescent="0.2">
      <c r="A3589" s="5">
        <v>3528</v>
      </c>
      <c r="B3589" s="138">
        <f>'Acct Summary 7-8'!K79</f>
        <v>-176035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-169619</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6416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6416</v>
      </c>
      <c r="C3725" s="2" t="s">
        <v>594</v>
      </c>
      <c r="D3725" s="2" t="str">
        <f t="shared" si="57"/>
        <v>Error?</v>
      </c>
    </row>
    <row r="3726" spans="1:4" x14ac:dyDescent="0.2">
      <c r="A3726" s="5">
        <v>3665</v>
      </c>
      <c r="B3726" s="138">
        <f>'Tax Sched 23'!D13</f>
        <v>6416</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6908</v>
      </c>
      <c r="C3728" s="2" t="s">
        <v>594</v>
      </c>
      <c r="D3728" s="2" t="str">
        <f t="shared" si="57"/>
        <v>Error?</v>
      </c>
    </row>
    <row r="3729" spans="1:4" x14ac:dyDescent="0.2">
      <c r="A3729" s="5">
        <v>3668</v>
      </c>
      <c r="B3729" s="138">
        <f>'Tax Sched 23'!E13</f>
        <v>6908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977192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4081393</v>
      </c>
      <c r="C4122" s="2" t="s">
        <v>594</v>
      </c>
      <c r="D4122" s="2" t="str">
        <f t="shared" si="63"/>
        <v>Error?</v>
      </c>
    </row>
    <row r="4123" spans="1:4" x14ac:dyDescent="0.2">
      <c r="A4123" s="5">
        <v>4062</v>
      </c>
      <c r="B4123" s="138">
        <f>'Acct Summary 7-8'!D10</f>
        <v>428658</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329589</v>
      </c>
      <c r="C4125" s="2" t="s">
        <v>594</v>
      </c>
      <c r="D4125" s="2" t="str">
        <f t="shared" si="63"/>
        <v>Error?</v>
      </c>
    </row>
    <row r="4126" spans="1:4" x14ac:dyDescent="0.2">
      <c r="A4126" s="5">
        <v>4065</v>
      </c>
      <c r="B4126" s="138">
        <f>'Acct Summary 7-8'!G10</f>
        <v>76119</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6416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6416</v>
      </c>
      <c r="C4130" s="2" t="s">
        <v>594</v>
      </c>
      <c r="D4130" s="2" t="str">
        <f t="shared" si="63"/>
        <v>Error?</v>
      </c>
    </row>
    <row r="4131" spans="1:4" x14ac:dyDescent="0.2">
      <c r="A4131" s="5">
        <v>4070</v>
      </c>
      <c r="B4131" s="138">
        <f>'Acct Summary 7-8'!C18</f>
        <v>977192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4029617</v>
      </c>
      <c r="C4136" s="2" t="s">
        <v>594</v>
      </c>
      <c r="D4136" s="2" t="str">
        <f t="shared" si="63"/>
        <v>Error?</v>
      </c>
    </row>
    <row r="4137" spans="1:4" x14ac:dyDescent="0.2">
      <c r="A4137" s="5">
        <v>4076</v>
      </c>
      <c r="B4137" s="138">
        <f>'Acct Summary 7-8'!D19</f>
        <v>418745</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273184</v>
      </c>
      <c r="C4139" s="2" t="s">
        <v>594</v>
      </c>
      <c r="D4139" s="2" t="str">
        <f t="shared" si="63"/>
        <v>Error?</v>
      </c>
    </row>
    <row r="4140" spans="1:4" x14ac:dyDescent="0.2">
      <c r="A4140" s="5">
        <v>4079</v>
      </c>
      <c r="B4140" s="138">
        <f>'Acct Summary 7-8'!G19</f>
        <v>75142</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1091.9000000000001</v>
      </c>
      <c r="C4265" s="2" t="s">
        <v>594</v>
      </c>
      <c r="D4265" s="2" t="str">
        <f t="shared" si="65"/>
        <v>Error?</v>
      </c>
      <c r="E4265" s="128"/>
    </row>
    <row r="4266" spans="1:5" x14ac:dyDescent="0.2">
      <c r="A4266" s="12">
        <v>4205</v>
      </c>
      <c r="B4266" s="138">
        <f>('FP Info 3'!F10)*100000</f>
        <v>246</v>
      </c>
      <c r="C4266" s="2" t="s">
        <v>594</v>
      </c>
      <c r="D4266" s="2" t="str">
        <f t="shared" si="65"/>
        <v>Error?</v>
      </c>
      <c r="E4266" s="128"/>
    </row>
    <row r="4267" spans="1:5" x14ac:dyDescent="0.2">
      <c r="A4267" s="12">
        <v>4206</v>
      </c>
      <c r="B4267" s="138">
        <f>('FP Info 3'!H10)*100000</f>
        <v>118</v>
      </c>
      <c r="C4267" s="2" t="s">
        <v>594</v>
      </c>
      <c r="D4267" s="2" t="str">
        <f t="shared" si="65"/>
        <v>Error?</v>
      </c>
      <c r="E4267" s="128"/>
    </row>
    <row r="4268" spans="1:5" x14ac:dyDescent="0.2">
      <c r="A4268" s="12">
        <v>4207</v>
      </c>
      <c r="B4268" s="138">
        <f>('FP Info 3'!J10)*100000</f>
        <v>1456</v>
      </c>
      <c r="C4268" s="2" t="s">
        <v>594</v>
      </c>
      <c r="D4268" s="2" t="str">
        <f t="shared" si="65"/>
        <v>Error?</v>
      </c>
    </row>
    <row r="4269" spans="1:5" x14ac:dyDescent="0.2">
      <c r="A4269" s="12">
        <v>4208</v>
      </c>
      <c r="B4269" s="138">
        <f>'FP Info 3'!J16</f>
        <v>444649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3903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2444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2444</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1185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15922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14302537</v>
      </c>
      <c r="D4995" s="2" t="str">
        <f t="shared" si="77"/>
        <v>Error?</v>
      </c>
    </row>
    <row r="4996" spans="1:4" x14ac:dyDescent="0.2">
      <c r="A4996" s="12">
        <v>4935</v>
      </c>
      <c r="B4996" s="138">
        <f>'FP Info 3'!H31</f>
        <v>986875.05300000007</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6416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142629</v>
      </c>
      <c r="D5061" s="2" t="str">
        <f t="shared" si="78"/>
        <v>Error?</v>
      </c>
    </row>
    <row r="5062" spans="1:4" x14ac:dyDescent="0.2">
      <c r="A5062" s="10">
        <v>5001</v>
      </c>
      <c r="D5062" s="2" t="str">
        <f t="shared" si="78"/>
        <v>OK</v>
      </c>
    </row>
    <row r="5063" spans="1:4" x14ac:dyDescent="0.2">
      <c r="A5063" s="5">
        <v>5002</v>
      </c>
      <c r="B5063" s="138">
        <f>'Revenues 9-14'!C7</f>
        <v>2566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151611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119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483</v>
      </c>
      <c r="C5096" s="2" t="s">
        <v>594</v>
      </c>
      <c r="D5096" s="2" t="str">
        <f t="shared" si="78"/>
        <v>Error?</v>
      </c>
    </row>
    <row r="5097" spans="1:4" x14ac:dyDescent="0.2">
      <c r="A5097" s="5">
        <v>5036</v>
      </c>
      <c r="B5097" s="138">
        <f>'Revenues 9-14'!C77</f>
        <v>986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1740</v>
      </c>
      <c r="D5099" s="2" t="str">
        <f t="shared" si="78"/>
        <v>Error?</v>
      </c>
    </row>
    <row r="5100" spans="1:4" x14ac:dyDescent="0.2">
      <c r="A5100" s="5">
        <v>5039</v>
      </c>
      <c r="B5100" s="138">
        <f>'Revenues 9-14'!C80</f>
        <v>170</v>
      </c>
      <c r="D5100" s="2" t="str">
        <f t="shared" si="78"/>
        <v>Error?</v>
      </c>
    </row>
    <row r="5101" spans="1:4" x14ac:dyDescent="0.2">
      <c r="A5101" s="5">
        <v>5040</v>
      </c>
      <c r="B5101" s="138">
        <f>'Revenues 9-14'!C81</f>
        <v>60</v>
      </c>
      <c r="D5101" s="2" t="str">
        <f t="shared" si="78"/>
        <v>Error?</v>
      </c>
    </row>
    <row r="5102" spans="1:4" x14ac:dyDescent="0.2">
      <c r="A5102" s="5">
        <v>5041</v>
      </c>
      <c r="B5102" s="138">
        <f>'Revenues 9-14'!C82</f>
        <v>2956</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60000</v>
      </c>
      <c r="D5113" s="2" t="str">
        <f t="shared" si="78"/>
        <v>Error?</v>
      </c>
    </row>
    <row r="5114" spans="1:4" x14ac:dyDescent="0.2">
      <c r="A5114" s="5">
        <v>5053</v>
      </c>
      <c r="B5114" s="138">
        <f>'Revenues 9-14'!C96</f>
        <v>37404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10680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2275</v>
      </c>
      <c r="D5118" s="2" t="str">
        <f t="shared" si="78"/>
        <v>Error?</v>
      </c>
    </row>
    <row r="5119" spans="1:4" x14ac:dyDescent="0.2">
      <c r="A5119" s="5">
        <v>5058</v>
      </c>
      <c r="B5119" s="138">
        <f>'Revenues 9-14'!C107</f>
        <v>62932</v>
      </c>
      <c r="D5119" s="2" t="str">
        <f t="shared" ref="D5119:D5182" si="79">IF(ISBLANK(B5119),"OK",IF(A5119-B5119=0,"OK","Error?"))</f>
        <v>Error?</v>
      </c>
    </row>
    <row r="5120" spans="1:4" x14ac:dyDescent="0.2">
      <c r="A5120" s="5">
        <v>5059</v>
      </c>
      <c r="B5120" s="138">
        <f>'Revenues 9-14'!C108</f>
        <v>173291</v>
      </c>
      <c r="C5120" s="2" t="s">
        <v>594</v>
      </c>
      <c r="D5120" s="2" t="str">
        <f t="shared" si="79"/>
        <v>Error?</v>
      </c>
    </row>
    <row r="5121" spans="1:4" x14ac:dyDescent="0.2">
      <c r="A5121" s="5">
        <v>5060</v>
      </c>
      <c r="B5121" s="138">
        <f>'Revenues 9-14'!C109</f>
        <v>328460</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1526395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1526395</v>
      </c>
      <c r="C5132" s="2" t="s">
        <v>594</v>
      </c>
      <c r="D5132" s="2" t="str">
        <f t="shared" si="79"/>
        <v>Error?</v>
      </c>
    </row>
    <row r="5133" spans="1:4" x14ac:dyDescent="0.2">
      <c r="A5133" s="5">
        <v>5072</v>
      </c>
      <c r="B5133" s="138">
        <f>'Revenues 9-14'!C124</f>
        <v>46264</v>
      </c>
      <c r="D5133" s="2" t="str">
        <f t="shared" si="79"/>
        <v>Error?</v>
      </c>
    </row>
    <row r="5134" spans="1:4" x14ac:dyDescent="0.2">
      <c r="A5134" s="5">
        <v>5073</v>
      </c>
      <c r="B5134" s="138">
        <f>'Revenues 9-14'!C125</f>
        <v>19054</v>
      </c>
      <c r="D5134" s="2" t="str">
        <f t="shared" si="79"/>
        <v>Error?</v>
      </c>
    </row>
    <row r="5135" spans="1:4" x14ac:dyDescent="0.2">
      <c r="A5135" s="5">
        <v>5074</v>
      </c>
      <c r="B5135" s="138">
        <f>'Revenues 9-14'!C126</f>
        <v>32484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4370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102172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4138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513368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619678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2146073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123583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70340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205720</v>
      </c>
      <c r="C5246" s="2" t="s">
        <v>594</v>
      </c>
      <c r="D5246" s="2" t="str">
        <f t="shared" si="80"/>
        <v>Error?</v>
      </c>
    </row>
    <row r="5247" spans="1:4" x14ac:dyDescent="0.2">
      <c r="A5247" s="5">
        <v>5186</v>
      </c>
      <c r="B5247" s="138">
        <f>'Revenues 9-14'!C203</f>
        <v>277453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1185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277453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65500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57541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123041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629668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629668</v>
      </c>
      <c r="C5326" s="2" t="s">
        <v>594</v>
      </c>
      <c r="D5326" s="2" t="str">
        <f t="shared" si="82"/>
        <v>Error?</v>
      </c>
    </row>
    <row r="5327" spans="1:4" x14ac:dyDescent="0.2">
      <c r="A5327" s="5">
        <v>5266</v>
      </c>
      <c r="B5327" s="138">
        <f>'Revenues 9-14'!C275</f>
        <v>3104201</v>
      </c>
      <c r="C5327" s="2" t="s">
        <v>594</v>
      </c>
      <c r="D5327" s="2" t="str">
        <f t="shared" si="82"/>
        <v>Error?</v>
      </c>
    </row>
    <row r="5328" spans="1:4" x14ac:dyDescent="0.2">
      <c r="A5328" s="5">
        <v>5267</v>
      </c>
      <c r="B5328" s="138">
        <f>'Revenues 9-14'!D5</f>
        <v>32129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32129</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39214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39214</v>
      </c>
      <c r="C5339" s="2" t="s">
        <v>594</v>
      </c>
      <c r="D5339" s="2" t="str">
        <f t="shared" si="82"/>
        <v>Error?</v>
      </c>
    </row>
    <row r="5340" spans="1:4" x14ac:dyDescent="0.2">
      <c r="A5340" s="5">
        <v>5279</v>
      </c>
      <c r="B5340" s="138">
        <f>'Revenues 9-14'!D65</f>
        <v>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7141</v>
      </c>
      <c r="D5354" s="2" t="str">
        <f t="shared" si="82"/>
        <v>Error?</v>
      </c>
    </row>
    <row r="5355" spans="1:4" x14ac:dyDescent="0.2">
      <c r="A5355" s="5">
        <v>5294</v>
      </c>
      <c r="B5355" s="138">
        <f>'Revenues 9-14'!D108</f>
        <v>7141</v>
      </c>
      <c r="C5355" s="2" t="s">
        <v>594</v>
      </c>
      <c r="D5355" s="2" t="str">
        <f t="shared" si="82"/>
        <v>Error?</v>
      </c>
    </row>
    <row r="5356" spans="1:4" x14ac:dyDescent="0.2">
      <c r="A5356" s="5">
        <v>5295</v>
      </c>
      <c r="B5356" s="138">
        <f>'Revenues 9-14'!D109</f>
        <v>78487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350171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350171</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350171</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428658</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15410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15410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15411</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85512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85512</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207371</v>
      </c>
      <c r="D5615" s="2" t="str">
        <f t="shared" si="86"/>
        <v>Error?</v>
      </c>
    </row>
    <row r="5616" spans="1:4" x14ac:dyDescent="0.2">
      <c r="A5616" s="10">
        <v>5555</v>
      </c>
      <c r="D5616" s="2" t="str">
        <f t="shared" si="86"/>
        <v>OK</v>
      </c>
    </row>
    <row r="5617" spans="1:4" x14ac:dyDescent="0.2">
      <c r="A5617" s="5">
        <v>5556</v>
      </c>
      <c r="B5617" s="138">
        <f>'Revenues 9-14'!F152</f>
        <v>21295</v>
      </c>
      <c r="D5617" s="2" t="str">
        <f t="shared" si="86"/>
        <v>Error?</v>
      </c>
    </row>
    <row r="5618" spans="1:4" x14ac:dyDescent="0.2">
      <c r="A5618" s="5">
        <v>5557</v>
      </c>
      <c r="B5618" s="138">
        <f>'Revenues 9-14'!F154</f>
        <v>228666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228666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314178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329589</v>
      </c>
      <c r="C5720" s="2" t="s">
        <v>594</v>
      </c>
      <c r="D5720" s="2" t="str">
        <f t="shared" si="88"/>
        <v>Error?</v>
      </c>
    </row>
    <row r="5721" spans="1:4" x14ac:dyDescent="0.2">
      <c r="A5721" s="5">
        <v>5660</v>
      </c>
      <c r="B5721" s="138">
        <f>'Revenues 9-14'!G5</f>
        <v>33626</v>
      </c>
      <c r="D5721" s="2" t="str">
        <f t="shared" si="88"/>
        <v>Error?</v>
      </c>
    </row>
    <row r="5722" spans="1:4" x14ac:dyDescent="0.2">
      <c r="A5722" s="5">
        <v>5661</v>
      </c>
      <c r="B5722" s="138">
        <f>'Revenues 9-14'!G7</f>
        <v>0</v>
      </c>
      <c r="D5722" s="2" t="str">
        <f t="shared" si="88"/>
        <v>Error?</v>
      </c>
    </row>
    <row r="5723" spans="1:4" x14ac:dyDescent="0.2">
      <c r="A5723" s="5">
        <v>5662</v>
      </c>
      <c r="B5723" s="138">
        <f>'Revenues 9-14'!G8</f>
        <v>42493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76119</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76119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6416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6416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6416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6416</v>
      </c>
      <c r="C6023" s="2" t="s">
        <v>594</v>
      </c>
      <c r="D6023" s="2" t="str">
        <f t="shared" si="93"/>
        <v>Error?</v>
      </c>
    </row>
    <row r="6024" spans="1:5" x14ac:dyDescent="0.2">
      <c r="A6024" s="5">
        <v>5963</v>
      </c>
      <c r="B6024" s="138">
        <f>'Revenues 9-14'!G109</f>
        <v>76119</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6416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6416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152.16999999999999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25970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170124</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22497</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56302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7625</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2179</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26730</v>
      </c>
      <c r="D6131" s="2" t="str">
        <f t="shared" si="94"/>
        <v>Error?</v>
      </c>
      <c r="E6131" s="2" t="s">
        <v>199</v>
      </c>
    </row>
    <row r="6132" spans="1:5" x14ac:dyDescent="0.2">
      <c r="A6132">
        <v>6071</v>
      </c>
      <c r="B6132" s="138">
        <f>'Assets-Liab 5-6'!K25</f>
        <v>182056</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26730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29572</v>
      </c>
      <c r="D6215" s="2" t="str">
        <f t="shared" si="96"/>
        <v>Error?</v>
      </c>
      <c r="E6215" s="2" t="s">
        <v>199</v>
      </c>
    </row>
    <row r="6216" spans="1:5" x14ac:dyDescent="0.2">
      <c r="A6216">
        <v>6155</v>
      </c>
      <c r="B6216" s="138">
        <f>'Assets-Liab 5-6'!J41</f>
        <v>56302</v>
      </c>
      <c r="D6216" s="2" t="str">
        <f t="shared" si="96"/>
        <v>Error?</v>
      </c>
      <c r="E6216" s="2" t="s">
        <v>199</v>
      </c>
    </row>
    <row r="6217" spans="1:5" x14ac:dyDescent="0.2">
      <c r="A6217">
        <v>6156</v>
      </c>
      <c r="B6217" s="138">
        <f>'Assets-Liab 5-6'!J4</f>
        <v>56302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42799</v>
      </c>
      <c r="D6220" s="2" t="str">
        <f t="shared" si="96"/>
        <v>Error?</v>
      </c>
      <c r="E6220" s="2" t="s">
        <v>199</v>
      </c>
    </row>
    <row r="6221" spans="1:5" x14ac:dyDescent="0.2">
      <c r="A6221">
        <v>6160</v>
      </c>
      <c r="B6221" s="138">
        <f>'Acct Summary 7-8'!J6</f>
        <v>160000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202799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202799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160053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160053</v>
      </c>
      <c r="D6229" s="2" t="str">
        <f t="shared" si="96"/>
        <v>Error?</v>
      </c>
      <c r="E6229" s="2" t="s">
        <v>199</v>
      </c>
    </row>
    <row r="6230" spans="1:5" x14ac:dyDescent="0.2">
      <c r="A6230">
        <v>6169</v>
      </c>
      <c r="B6230" s="138">
        <f>'Acct Summary 7-8'!J20</f>
        <v>42746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42746</v>
      </c>
      <c r="D6263" s="2" t="str">
        <f t="shared" si="96"/>
        <v>Error?</v>
      </c>
      <c r="E6263" s="2" t="s">
        <v>199</v>
      </c>
    </row>
    <row r="6264" spans="1:5" x14ac:dyDescent="0.2">
      <c r="A6264">
        <v>6203</v>
      </c>
      <c r="B6264" s="138">
        <f>'Acct Summary 7-8'!J79</f>
        <v>-13174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29572</v>
      </c>
      <c r="D6266" s="2" t="str">
        <f t="shared" si="96"/>
        <v>Error?</v>
      </c>
      <c r="E6266" s="2" t="s">
        <v>199</v>
      </c>
    </row>
    <row r="6267" spans="1:5" x14ac:dyDescent="0.2">
      <c r="A6267">
        <v>6206</v>
      </c>
      <c r="B6267" s="138">
        <f>'Acct Summary 7-8'!C82</f>
        <v>51776</v>
      </c>
      <c r="D6267" s="2" t="str">
        <f t="shared" si="96"/>
        <v>Error?</v>
      </c>
      <c r="E6267" s="2" t="s">
        <v>199</v>
      </c>
    </row>
    <row r="6268" spans="1:5" x14ac:dyDescent="0.2">
      <c r="A6268">
        <v>6207</v>
      </c>
      <c r="B6268" s="138">
        <f>'Acct Summary 7-8'!D82</f>
        <v>9913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56405</v>
      </c>
      <c r="D6270" s="2" t="str">
        <f t="shared" si="96"/>
        <v>Error?</v>
      </c>
      <c r="E6270" s="2" t="s">
        <v>199</v>
      </c>
    </row>
    <row r="6271" spans="1:5" x14ac:dyDescent="0.2">
      <c r="A6271">
        <v>6210</v>
      </c>
      <c r="B6271" s="138">
        <f>'Acct Summary 7-8'!G82</f>
        <v>977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6416</v>
      </c>
      <c r="D6273" s="2" t="str">
        <f t="shared" si="97"/>
        <v>Error?</v>
      </c>
      <c r="E6273" s="2" t="s">
        <v>199</v>
      </c>
    </row>
    <row r="6274" spans="1:5" x14ac:dyDescent="0.2">
      <c r="A6274">
        <v>6213</v>
      </c>
      <c r="B6274" s="138">
        <f>'Acct Summary 7-8'!J82</f>
        <v>42746</v>
      </c>
      <c r="D6274" s="2" t="str">
        <f t="shared" si="97"/>
        <v>Error?</v>
      </c>
      <c r="E6274" s="2" t="s">
        <v>199</v>
      </c>
    </row>
    <row r="6275" spans="1:5" x14ac:dyDescent="0.2">
      <c r="A6275">
        <v>6214</v>
      </c>
      <c r="B6275" s="138">
        <f>'Acct Summary 7-8'!K82</f>
        <v>6416</v>
      </c>
      <c r="D6275" s="2" t="str">
        <f t="shared" si="97"/>
        <v>Error?</v>
      </c>
      <c r="E6275" s="2" t="s">
        <v>199</v>
      </c>
    </row>
    <row r="6276" spans="1:5" x14ac:dyDescent="0.2">
      <c r="A6276">
        <v>6215</v>
      </c>
      <c r="B6276" s="138">
        <f>'Acct Summary 7-8'!C83</f>
        <v>0.32583399935809898</v>
      </c>
      <c r="D6276" s="2" t="str">
        <f t="shared" si="97"/>
        <v>Error?</v>
      </c>
      <c r="E6276" s="2" t="s">
        <v>199</v>
      </c>
    </row>
    <row r="6277" spans="1:5" x14ac:dyDescent="0.2">
      <c r="A6277">
        <v>6216</v>
      </c>
      <c r="B6277" s="138">
        <f>'Acct Summary 7-8'!D83</f>
        <v>2.148926945588554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0.22910328636590727</v>
      </c>
      <c r="D6279" s="2" t="str">
        <f t="shared" si="97"/>
        <v>Error?</v>
      </c>
      <c r="E6279" s="2" t="s">
        <v>199</v>
      </c>
    </row>
    <row r="6280" spans="1:5" x14ac:dyDescent="0.2">
      <c r="A6280">
        <v>6219</v>
      </c>
      <c r="B6280" s="138">
        <f>'Acct Summary 7-8'!G83</f>
        <v>-1.9308300395256917</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0.18366061716379459</v>
      </c>
      <c r="D6282" s="2" t="str">
        <f t="shared" si="97"/>
        <v>Error?</v>
      </c>
      <c r="E6282" s="2" t="s">
        <v>199</v>
      </c>
    </row>
    <row r="6283" spans="1:5" x14ac:dyDescent="0.2">
      <c r="A6283">
        <v>6222</v>
      </c>
      <c r="B6283" s="138">
        <f>'Acct Summary 7-8'!J83</f>
        <v>1.4454889760584337</v>
      </c>
      <c r="D6283" s="2" t="str">
        <f t="shared" si="97"/>
        <v>Error?</v>
      </c>
      <c r="E6283" s="2" t="s">
        <v>199</v>
      </c>
    </row>
    <row r="6284" spans="1:5" x14ac:dyDescent="0.2">
      <c r="A6284">
        <v>6223</v>
      </c>
      <c r="B6284" s="138">
        <f>'Acct Summary 7-8'!K83</f>
        <v>-3.7825951102176056E-2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42799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42799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42799</v>
      </c>
      <c r="D6352" s="2" t="str">
        <f t="shared" si="98"/>
        <v>Error?</v>
      </c>
      <c r="E6352" s="2" t="s">
        <v>199</v>
      </c>
    </row>
    <row r="6353" spans="1:5" x14ac:dyDescent="0.2">
      <c r="A6353">
        <v>6292</v>
      </c>
      <c r="B6353" s="138">
        <f>'Revenues 9-14'!J117</f>
        <v>160000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160000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160000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217578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277583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5675</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5675</v>
      </c>
      <c r="D6940" s="2" t="str">
        <f t="shared" si="107"/>
        <v>Error?</v>
      </c>
    </row>
    <row r="6941" spans="1:4" x14ac:dyDescent="0.2">
      <c r="A6941">
        <v>6880</v>
      </c>
      <c r="B6941" s="138">
        <f>'Expenditures 15-22'!L52</f>
        <v>90000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4870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4870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4870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4870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160053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202799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5370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5370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5370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6715</v>
      </c>
      <c r="D7073" s="2" t="str">
        <f t="shared" si="109"/>
        <v>Error?</v>
      </c>
    </row>
    <row r="7074" spans="1:4" x14ac:dyDescent="0.2">
      <c r="A7074">
        <v>7013</v>
      </c>
      <c r="B7074" s="138">
        <f>'Expenditures 15-22'!K216</f>
        <v>6715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115890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115890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34379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34379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9784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9784</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160053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160053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160053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160053</v>
      </c>
      <c r="D7224" s="2" t="str">
        <f t="shared" si="111"/>
        <v>Error?</v>
      </c>
    </row>
    <row r="7225" spans="1:4" x14ac:dyDescent="0.2">
      <c r="A7225">
        <v>7164</v>
      </c>
      <c r="B7225" s="138">
        <f>'Expenditures 15-22'!K343</f>
        <v>42746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52821</v>
      </c>
      <c r="D7246" s="2" t="str">
        <f t="shared" si="112"/>
        <v>Error?</v>
      </c>
    </row>
    <row r="7247" spans="1:4" x14ac:dyDescent="0.2">
      <c r="A7247">
        <f t="shared" si="113"/>
        <v>7186</v>
      </c>
      <c r="B7247" s="138">
        <f>'Expenditures 15-22'!E7</f>
        <v>2790</v>
      </c>
      <c r="D7247" s="2" t="str">
        <f t="shared" si="112"/>
        <v>Error?</v>
      </c>
    </row>
    <row r="7248" spans="1:4" x14ac:dyDescent="0.2">
      <c r="A7248">
        <f t="shared" si="113"/>
        <v>7187</v>
      </c>
      <c r="B7248" s="138">
        <f>'Expenditures 15-22'!F7</f>
        <v>4394</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10240</v>
      </c>
      <c r="D7624" s="2" t="str">
        <f t="shared" si="124"/>
        <v>Error?</v>
      </c>
      <c r="E7624" s="2" t="s">
        <v>19</v>
      </c>
    </row>
    <row r="7625" spans="1:5" x14ac:dyDescent="0.2">
      <c r="A7625">
        <f t="shared" si="123"/>
        <v>7564</v>
      </c>
      <c r="B7625" s="138">
        <f>'Cap Outlay Deprec 26'!I17</f>
        <v>1024</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88544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11797</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2566</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29'!D28</f>
        <v>294333</v>
      </c>
      <c r="D7797" s="2" t="str">
        <f t="shared" si="127"/>
        <v>Error?</v>
      </c>
      <c r="E7797" s="4" t="s">
        <v>2018</v>
      </c>
    </row>
    <row r="7798" spans="1:5" x14ac:dyDescent="0.2">
      <c r="A7798">
        <v>7737</v>
      </c>
      <c r="B7798" s="138">
        <f>'Contracts Paid in CY 29'!F28</f>
        <v>104454</v>
      </c>
      <c r="D7798" s="2" t="str">
        <f t="shared" si="127"/>
        <v>Error?</v>
      </c>
      <c r="E7798" s="4" t="s">
        <v>2018</v>
      </c>
    </row>
    <row r="7799" spans="1:5" x14ac:dyDescent="0.2">
      <c r="A7799">
        <v>7738</v>
      </c>
      <c r="B7799" s="138">
        <f>'Contracts Paid in CY 29'!G28</f>
        <v>189879</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1798</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Pembroke CCSD 259</v>
      </c>
      <c r="B7" s="2421"/>
      <c r="C7" s="2421"/>
      <c r="D7" s="2422"/>
      <c r="E7" s="2423">
        <f>COVER!A13</f>
        <v>32046259004</v>
      </c>
      <c r="F7" s="2424"/>
      <c r="G7" s="2430">
        <f>COVER!T23</f>
        <v>65.023278000000005</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Jodi K. Gill, CPA</v>
      </c>
      <c r="H9" s="2436"/>
      <c r="I9" s="2436"/>
      <c r="J9" s="2436"/>
      <c r="K9" s="2436"/>
      <c r="L9" s="2437"/>
    </row>
    <row r="10" spans="1:29" ht="13.5" customHeight="1" x14ac:dyDescent="0.2">
      <c r="A10" s="2410" t="str">
        <f>COVER!A38</f>
        <v>Dr. Marcus Alexander</v>
      </c>
      <c r="B10" s="2411"/>
      <c r="C10" s="2411"/>
      <c r="D10" s="2411"/>
      <c r="E10" s="2411"/>
      <c r="F10" s="2412"/>
      <c r="G10" s="2404" t="str">
        <f>COVER!T17</f>
        <v>33 N. Main Street Ste. #1</v>
      </c>
      <c r="H10" s="2405"/>
      <c r="I10" s="2405"/>
      <c r="J10" s="2405"/>
      <c r="K10" s="2405"/>
      <c r="L10" s="2406"/>
    </row>
    <row r="11" spans="1:29" ht="13.5" customHeight="1" x14ac:dyDescent="0.2">
      <c r="A11" s="1185" t="s">
        <v>1599</v>
      </c>
      <c r="B11" s="1186"/>
      <c r="C11" s="1187"/>
      <c r="D11" s="1192"/>
      <c r="E11" s="1187"/>
      <c r="F11" s="1191"/>
      <c r="G11" s="2404" t="str">
        <f>COVER!T19</f>
        <v>Manteno</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jodi@jodigillcpa.com</v>
      </c>
      <c r="J13" s="2417"/>
      <c r="K13" s="2417"/>
      <c r="L13" s="2418"/>
    </row>
    <row r="14" spans="1:29" ht="13.5" customHeight="1" x14ac:dyDescent="0.2">
      <c r="A14" s="2404" t="str">
        <f>COVER!A19</f>
        <v>4120 S. Wheeler Road</v>
      </c>
      <c r="B14" s="2405"/>
      <c r="C14" s="2405"/>
      <c r="D14" s="2405"/>
      <c r="E14" s="2405"/>
      <c r="F14" s="2406"/>
      <c r="G14" s="1196" t="s">
        <v>1247</v>
      </c>
      <c r="H14" s="1194"/>
      <c r="I14" s="1194"/>
      <c r="J14" s="1194"/>
      <c r="K14" s="1194"/>
      <c r="L14" s="1195"/>
    </row>
    <row r="15" spans="1:29" ht="13.5" customHeight="1" x14ac:dyDescent="0.2">
      <c r="A15" s="2404" t="str">
        <f>COVER!A21</f>
        <v>Hopkins Park</v>
      </c>
      <c r="B15" s="2405"/>
      <c r="C15" s="2405"/>
      <c r="D15" s="2405"/>
      <c r="E15" s="2405"/>
      <c r="F15" s="2406"/>
      <c r="G15" s="2401" t="str">
        <f>COVER!T15</f>
        <v>Jodi Gill</v>
      </c>
      <c r="H15" s="2402"/>
      <c r="I15" s="2402"/>
      <c r="J15" s="2402"/>
      <c r="K15" s="2402"/>
      <c r="L15" s="2403"/>
    </row>
    <row r="16" spans="1:29" ht="12.2" customHeight="1" x14ac:dyDescent="0.2">
      <c r="A16" s="2426">
        <f>COVER!A25</f>
        <v>60964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815-468-8802</v>
      </c>
      <c r="H18" s="2421"/>
      <c r="I18" s="2421"/>
      <c r="J18" s="2421"/>
      <c r="K18" s="2420" t="str">
        <f>COVER!X21</f>
        <v>815-468-8805</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1799</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4"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Pembroke CCSD 259</v>
      </c>
      <c r="B1" s="2419"/>
      <c r="C1" s="2419"/>
      <c r="D1" s="2419"/>
    </row>
    <row r="2" spans="1:11" s="1215" customFormat="1" ht="12.75" x14ac:dyDescent="0.2">
      <c r="A2" s="2443">
        <f>'Single Audit Cover'!E7</f>
        <v>32046259004</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1813</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1814</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1815</v>
      </c>
    </row>
    <row r="70" spans="1:4" x14ac:dyDescent="0.2">
      <c r="A70" s="1222"/>
      <c r="D70" s="1246" t="s">
        <v>1268</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2" sqref="D12"/>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Pembroke CCSD 259</v>
      </c>
      <c r="B1" s="2446"/>
      <c r="C1" s="2446"/>
      <c r="D1" s="2446"/>
      <c r="E1" s="2446"/>
    </row>
    <row r="2" spans="1:5" x14ac:dyDescent="0.2">
      <c r="A2" s="2447">
        <f>'Single Audit Cover'!E7</f>
        <v>32046259004</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629668</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629668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629668</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629668</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Pembroke CCSD 259</v>
      </c>
      <c r="B1" s="2459"/>
      <c r="C1" s="2459"/>
      <c r="D1" s="2459"/>
      <c r="E1" s="2459"/>
      <c r="F1" s="2459"/>
    </row>
    <row r="2" spans="1:7" ht="13.5" customHeight="1" x14ac:dyDescent="0.2">
      <c r="A2" s="2460">
        <f>'Single Audit Cover'!E7</f>
        <v>32046259004</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1830</v>
      </c>
      <c r="C6" s="317"/>
      <c r="D6" s="317"/>
    </row>
    <row r="7" spans="1:7" ht="60.95" customHeight="1" x14ac:dyDescent="0.2">
      <c r="A7" s="2458" t="s">
        <v>1831</v>
      </c>
      <c r="B7" s="2458"/>
      <c r="C7" s="2458"/>
      <c r="D7" s="2458"/>
      <c r="E7" s="2458"/>
      <c r="F7" s="245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58" t="s">
        <v>1833</v>
      </c>
      <c r="B13" s="2458"/>
      <c r="C13" s="2458"/>
      <c r="D13" s="2458"/>
      <c r="E13" s="2458"/>
      <c r="F13" s="2458"/>
    </row>
    <row r="14" spans="1:7" ht="9.75" customHeight="1" x14ac:dyDescent="0.2">
      <c r="C14" s="1260"/>
      <c r="D14" s="1260"/>
    </row>
    <row r="15" spans="1:7" ht="13.5" customHeight="1" x14ac:dyDescent="0.2">
      <c r="C15" s="1868" t="s">
        <v>1332</v>
      </c>
      <c r="D15" s="2456" t="s">
        <v>1331</v>
      </c>
      <c r="E15" s="2456"/>
      <c r="F15" s="2456"/>
    </row>
    <row r="16" spans="1:7" ht="13.5" customHeight="1" x14ac:dyDescent="0.2">
      <c r="A16" s="1282"/>
      <c r="B16" s="1276" t="s">
        <v>1330</v>
      </c>
      <c r="C16" s="1868"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52" t="s">
        <v>1834</v>
      </c>
      <c r="B32" s="2452"/>
      <c r="C32" s="2452"/>
      <c r="D32" s="2452"/>
      <c r="E32" s="2452"/>
      <c r="F32" s="2452"/>
    </row>
    <row r="33" spans="1:6" ht="13.5" customHeight="1" x14ac:dyDescent="0.2">
      <c r="A33" s="328" t="s">
        <v>1509</v>
      </c>
      <c r="B33" s="328"/>
      <c r="C33" s="1288">
        <v>0</v>
      </c>
      <c r="D33" s="1925"/>
      <c r="E33" s="1286"/>
    </row>
    <row r="34" spans="1:6" ht="13.5" customHeight="1" x14ac:dyDescent="0.2">
      <c r="A34" s="328" t="s">
        <v>1947</v>
      </c>
      <c r="B34" s="328"/>
      <c r="C34" s="1289">
        <v>0</v>
      </c>
      <c r="D34" s="1925" t="s">
        <v>1671</v>
      </c>
      <c r="E34" s="2453">
        <f>+C33+C34</f>
        <v>0</v>
      </c>
      <c r="F34" s="2454"/>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7"/>
      <c r="C50" s="1867"/>
      <c r="D50" s="1867"/>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G21" sqref="G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Pembroke CCSD 259</v>
      </c>
      <c r="C1" s="2463"/>
      <c r="D1" s="2463"/>
      <c r="E1" s="2463"/>
      <c r="F1" s="2463"/>
      <c r="G1" s="2463"/>
      <c r="H1" s="2463"/>
      <c r="I1" s="2463"/>
      <c r="J1" s="2463"/>
      <c r="K1" s="2463"/>
      <c r="L1" s="2463"/>
      <c r="M1" s="2463"/>
    </row>
    <row r="2" spans="2:14" ht="15" x14ac:dyDescent="0.2">
      <c r="B2" s="2460">
        <f>'Single Audit Cover'!E7</f>
        <v>32046259004</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1837</v>
      </c>
      <c r="D9" s="1314" t="s">
        <v>1838</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957"/>
      <c r="H11" s="1340"/>
      <c r="I11" s="1340"/>
      <c r="J11" s="1340"/>
      <c r="K11" s="1340"/>
      <c r="L11" s="1957"/>
      <c r="M11" s="1340"/>
    </row>
    <row r="12" spans="2:14" ht="20.100000000000001" customHeight="1" x14ac:dyDescent="0.2">
      <c r="B12" s="1337"/>
      <c r="C12" s="1341"/>
      <c r="D12" s="1342"/>
      <c r="E12" s="1343"/>
      <c r="F12" s="1343"/>
      <c r="G12" s="1343"/>
      <c r="H12" s="1343"/>
      <c r="I12" s="1956"/>
      <c r="J12" s="1343"/>
      <c r="K12" s="1343"/>
      <c r="L12" s="1340"/>
      <c r="M12" s="1343"/>
    </row>
    <row r="13" spans="2:14" ht="20.100000000000001" customHeight="1" x14ac:dyDescent="0.2">
      <c r="B13" s="1337"/>
      <c r="C13" s="1341"/>
      <c r="D13" s="1342"/>
      <c r="E13" s="1343"/>
      <c r="F13" s="1343"/>
      <c r="G13" s="1956"/>
      <c r="H13" s="1343"/>
      <c r="I13" s="1343"/>
      <c r="J13" s="1343"/>
      <c r="K13" s="1343"/>
      <c r="L13" s="1957"/>
      <c r="M13" s="1343"/>
    </row>
    <row r="14" spans="2:14" ht="20.100000000000001" customHeight="1" x14ac:dyDescent="0.2">
      <c r="B14" s="1337"/>
      <c r="C14" s="1341"/>
      <c r="D14" s="1342"/>
      <c r="E14" s="1343"/>
      <c r="F14" s="1343"/>
      <c r="G14" s="1343"/>
      <c r="H14" s="1343"/>
      <c r="I14" s="1956"/>
      <c r="J14" s="1343"/>
      <c r="K14" s="1343"/>
      <c r="L14" s="1340"/>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c r="C16" s="1341"/>
      <c r="D16" s="1342"/>
      <c r="E16" s="1343"/>
      <c r="F16" s="1343"/>
      <c r="G16" s="1343"/>
      <c r="H16" s="1343"/>
      <c r="I16" s="1343"/>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956"/>
      <c r="J19" s="1343"/>
      <c r="K19" s="1343"/>
      <c r="L19" s="1340"/>
      <c r="M19" s="1343"/>
    </row>
    <row r="20" spans="2:14" ht="20.100000000000001" customHeight="1" x14ac:dyDescent="0.2">
      <c r="B20" s="1337"/>
      <c r="C20" s="1341"/>
      <c r="D20" s="1342"/>
      <c r="E20" s="1343"/>
      <c r="F20" s="1343"/>
      <c r="G20" s="1343"/>
      <c r="H20" s="1343"/>
      <c r="I20" s="1956"/>
      <c r="J20" s="1343"/>
      <c r="K20" s="1343"/>
      <c r="L20" s="1340"/>
      <c r="M20" s="1343"/>
    </row>
    <row r="21" spans="2:14" ht="20.100000000000001" customHeight="1" x14ac:dyDescent="0.2">
      <c r="B21" s="1337"/>
      <c r="C21" s="1341"/>
      <c r="D21" s="1342"/>
      <c r="E21" s="1343"/>
      <c r="F21" s="1343"/>
      <c r="G21" s="1343"/>
      <c r="H21" s="1343"/>
      <c r="I21" s="1956"/>
      <c r="J21" s="1343"/>
      <c r="K21" s="1343"/>
      <c r="L21" s="1340"/>
      <c r="M21" s="1343"/>
    </row>
    <row r="22" spans="2:14" ht="20.100000000000001" customHeight="1" x14ac:dyDescent="0.2">
      <c r="B22" s="1337"/>
      <c r="C22" s="1341"/>
      <c r="D22" s="1342"/>
      <c r="E22" s="1343"/>
      <c r="F22" s="1343"/>
      <c r="G22" s="1343"/>
      <c r="H22" s="1343"/>
      <c r="I22" s="1956"/>
      <c r="J22" s="1343"/>
      <c r="K22" s="1343"/>
      <c r="L22" s="1340"/>
      <c r="M22" s="1343"/>
    </row>
    <row r="23" spans="2:14" ht="20.100000000000001" customHeight="1" x14ac:dyDescent="0.2">
      <c r="B23" s="1337"/>
      <c r="C23" s="1341"/>
      <c r="D23" s="1342"/>
      <c r="E23" s="1343"/>
      <c r="F23" s="1343"/>
      <c r="G23" s="1343"/>
      <c r="H23" s="1343"/>
      <c r="I23" s="1956"/>
      <c r="J23" s="1343"/>
      <c r="K23" s="1343"/>
      <c r="L23" s="1340"/>
      <c r="M23" s="1343"/>
    </row>
    <row r="24" spans="2:14" ht="20.100000000000001" customHeight="1" x14ac:dyDescent="0.2">
      <c r="B24" s="1337"/>
      <c r="C24" s="1341"/>
      <c r="D24" s="1342"/>
      <c r="E24" s="1343"/>
      <c r="F24" s="1956"/>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956"/>
      <c r="J26" s="1343"/>
      <c r="K26" s="1343"/>
      <c r="L26" s="1340"/>
      <c r="M26" s="1343"/>
    </row>
    <row r="27" spans="2:14" ht="20.100000000000001" customHeight="1" x14ac:dyDescent="0.2">
      <c r="B27" s="1337"/>
      <c r="C27" s="1341"/>
      <c r="D27" s="1342"/>
      <c r="E27" s="1343"/>
      <c r="F27" s="1343"/>
      <c r="G27" s="1343"/>
      <c r="H27" s="1343"/>
      <c r="I27" s="1956"/>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f t="shared" ref="M28" si="0">SUM(M11:M27)</f>
        <v>0</v>
      </c>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1636</v>
      </c>
    </row>
    <row r="22" spans="1:4" s="181" customFormat="1" x14ac:dyDescent="0.2">
      <c r="A22" s="219"/>
      <c r="B22" s="226" t="s">
        <v>2077</v>
      </c>
      <c r="C22" s="227">
        <v>9</v>
      </c>
      <c r="D22" s="231" t="s">
        <v>1726</v>
      </c>
    </row>
    <row r="23" spans="1:4" s="181" customFormat="1" x14ac:dyDescent="0.2">
      <c r="A23" s="219"/>
      <c r="B23" s="234"/>
      <c r="C23" s="227"/>
      <c r="D23" s="235" t="s">
        <v>1637</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1730</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1736</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1744</v>
      </c>
      <c r="G77" s="297" t="s">
        <v>2019</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1231</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2095</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2020</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Pembroke CCSD 259</v>
      </c>
      <c r="C1" s="2478"/>
      <c r="D1" s="2478"/>
      <c r="E1" s="2478"/>
      <c r="F1" s="2478"/>
      <c r="G1" s="2478"/>
      <c r="H1" s="2478"/>
      <c r="I1" s="2478"/>
      <c r="J1" s="1422"/>
    </row>
    <row r="2" spans="2:10" s="317" customFormat="1" ht="12.75" customHeight="1" x14ac:dyDescent="0.2">
      <c r="B2" s="2479">
        <f>'Single Audit Cover'!E7</f>
        <v>32046259004</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5" t="s">
        <v>1853</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1950</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Pembroke CCSD 259</v>
      </c>
      <c r="C1" s="2477"/>
      <c r="D1" s="2477"/>
      <c r="E1" s="2477"/>
      <c r="F1" s="2477"/>
      <c r="G1" s="2477"/>
      <c r="H1" s="2477"/>
      <c r="I1" s="2477"/>
      <c r="J1" s="2477"/>
      <c r="K1" s="2477"/>
      <c r="L1" s="1374"/>
      <c r="M1" s="1374"/>
    </row>
    <row r="2" spans="1:13" ht="12" customHeight="1" x14ac:dyDescent="0.2">
      <c r="B2" s="2479">
        <f>'Single Audit Cover'!E7</f>
        <v>32046259004</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1951</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Pembroke CCSD 259</v>
      </c>
      <c r="C1" s="2500"/>
      <c r="D1" s="2500"/>
      <c r="E1" s="2500"/>
      <c r="F1" s="2500"/>
      <c r="G1" s="2500"/>
      <c r="H1" s="2500"/>
      <c r="I1" s="2500"/>
      <c r="J1" s="2500"/>
      <c r="K1" s="2500"/>
      <c r="L1" s="1465"/>
    </row>
    <row r="2" spans="1:12" ht="12.75" customHeight="1" x14ac:dyDescent="0.2">
      <c r="B2" s="2501">
        <f>'Single Audit Cover'!E7</f>
        <v>32046259004</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1951</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Pembroke CCSD 259</v>
      </c>
      <c r="C1" s="2477"/>
      <c r="D1" s="2477"/>
      <c r="E1" s="1491"/>
    </row>
    <row r="2" spans="2:5" s="1282" customFormat="1" ht="12.75" customHeight="1" x14ac:dyDescent="0.2">
      <c r="B2" s="2479">
        <f>'Single Audit Cover'!E7</f>
        <v>32046259004</v>
      </c>
      <c r="C2" s="2479"/>
      <c r="D2" s="2479"/>
      <c r="E2" s="1492"/>
    </row>
    <row r="3" spans="2:5" ht="12.75" customHeight="1" x14ac:dyDescent="0.2">
      <c r="B3" s="2493" t="s">
        <v>1868</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290</v>
      </c>
      <c r="G7" s="222"/>
      <c r="H7" s="222"/>
      <c r="I7" s="222"/>
      <c r="J7" s="352">
        <v>14302537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1.0919E-2</v>
      </c>
      <c r="E10" s="356" t="s">
        <v>1062</v>
      </c>
      <c r="F10" s="355">
        <v>2.4599999999999999E-3</v>
      </c>
      <c r="G10" s="356" t="s">
        <v>1062</v>
      </c>
      <c r="H10" s="355">
        <v>1.1800000000000001E-3</v>
      </c>
      <c r="I10" s="356" t="s">
        <v>1063</v>
      </c>
      <c r="J10" s="1753">
        <f>ROUND(D10+F10+H10,5)</f>
        <v>1.456E-2</v>
      </c>
      <c r="K10" s="222"/>
      <c r="L10" s="355">
        <v>4.9200000000000003E-4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3868864</v>
      </c>
      <c r="E16" s="356"/>
      <c r="F16" s="1754">
        <f>SUM('Acct Summary 7-8'!C17,'Acct Summary 7-8'!D17,'Acct Summary 7-8'!F17)</f>
        <v>3744354</v>
      </c>
      <c r="G16" s="356"/>
      <c r="H16" s="1754">
        <f>SUM(D16-F16)</f>
        <v>124510</v>
      </c>
      <c r="I16" s="222"/>
      <c r="J16" s="1754">
        <f>SUM('Acct Summary 7-8'!C81,'Acct Summary 7-8'!D81,'Acct Summary 7-8'!F81,'Acct Summary 7-8'!I81)</f>
        <v>444649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1748</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986875.05300000007</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Pembroke CCSD 259</v>
      </c>
      <c r="E7" s="391"/>
      <c r="G7" s="252"/>
      <c r="H7" s="387"/>
      <c r="I7" s="387"/>
      <c r="J7" s="387"/>
      <c r="K7" s="387"/>
      <c r="L7" s="329"/>
      <c r="M7" s="329"/>
      <c r="N7" s="329"/>
      <c r="O7" s="329"/>
      <c r="P7" s="329"/>
    </row>
    <row r="8" spans="1:18" ht="12.75" x14ac:dyDescent="0.2">
      <c r="A8" s="329"/>
      <c r="B8" s="329"/>
      <c r="C8" s="389" t="s">
        <v>1187</v>
      </c>
      <c r="D8" s="392">
        <f>COVER!A13</f>
        <v>32046259004</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444143</v>
      </c>
      <c r="I12" s="404"/>
      <c r="J12" s="404"/>
      <c r="K12" s="405">
        <f>TRUNC((H12/H13*100000),5)/100000</f>
        <v>0.11479933119999999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3868864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3744354</v>
      </c>
      <c r="I17" s="404"/>
      <c r="J17" s="416"/>
      <c r="K17" s="405">
        <f>TRUNC((H17/H18*100000),5)/100000</f>
        <v>0.96781742650000002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3868864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233683</v>
      </c>
      <c r="I24" s="422"/>
      <c r="J24" s="422"/>
      <c r="K24" s="423">
        <f>TRUNC(((H24/H25*100000)/100000),2)</f>
        <v>22.46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10400.983329999999</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177008.19790999999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986875.05300000007</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3.3499999999999996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J5" sqref="J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1749</v>
      </c>
      <c r="B4" s="464"/>
      <c r="C4" s="465">
        <v>132933</v>
      </c>
      <c r="D4" s="466">
        <v>12238</v>
      </c>
      <c r="E4" s="466"/>
      <c r="F4" s="466">
        <v>76075</v>
      </c>
      <c r="G4" s="466">
        <v>1673</v>
      </c>
      <c r="H4" s="466"/>
      <c r="I4" s="466">
        <v>12437</v>
      </c>
      <c r="J4" s="467">
        <v>56302</v>
      </c>
      <c r="K4" s="466">
        <v>12437</v>
      </c>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25970</v>
      </c>
      <c r="D7" s="467"/>
      <c r="E7" s="467"/>
      <c r="F7" s="467">
        <v>170124</v>
      </c>
      <c r="G7" s="467"/>
      <c r="H7" s="467"/>
      <c r="I7" s="467">
        <v>22497</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158903</v>
      </c>
      <c r="D13" s="1758">
        <f t="shared" ref="D13:L13" si="0">SUM(D4:D12)</f>
        <v>12238</v>
      </c>
      <c r="E13" s="1758">
        <f t="shared" si="0"/>
        <v>0</v>
      </c>
      <c r="F13" s="1758">
        <f t="shared" si="0"/>
        <v>246199</v>
      </c>
      <c r="G13" s="1758">
        <f t="shared" si="0"/>
        <v>1673</v>
      </c>
      <c r="H13" s="1758">
        <f t="shared" si="0"/>
        <v>0</v>
      </c>
      <c r="I13" s="1758">
        <f t="shared" si="0"/>
        <v>34934</v>
      </c>
      <c r="J13" s="1758">
        <f t="shared" si="0"/>
        <v>56302</v>
      </c>
      <c r="K13" s="1758">
        <f t="shared" si="0"/>
        <v>12437</v>
      </c>
      <c r="L13" s="1758">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19000</v>
      </c>
      <c r="N16" s="484"/>
    </row>
    <row r="17" spans="1:14" s="485" customFormat="1" ht="12.75" customHeight="1" x14ac:dyDescent="0.2">
      <c r="A17" s="482" t="s">
        <v>1470</v>
      </c>
      <c r="B17" s="483">
        <v>230</v>
      </c>
      <c r="C17" s="477"/>
      <c r="D17" s="477"/>
      <c r="E17" s="477"/>
      <c r="F17" s="477"/>
      <c r="G17" s="477"/>
      <c r="H17" s="477"/>
      <c r="I17" s="477"/>
      <c r="J17" s="477"/>
      <c r="K17" s="477"/>
      <c r="L17" s="477"/>
      <c r="M17" s="467">
        <v>1918023</v>
      </c>
      <c r="N17" s="484"/>
    </row>
    <row r="18" spans="1:14" s="485" customFormat="1" ht="12.75" customHeight="1" x14ac:dyDescent="0.2">
      <c r="A18" s="482" t="s">
        <v>1471</v>
      </c>
      <c r="B18" s="483">
        <v>240</v>
      </c>
      <c r="C18" s="477"/>
      <c r="D18" s="477"/>
      <c r="E18" s="477"/>
      <c r="F18" s="477"/>
      <c r="G18" s="477"/>
      <c r="H18" s="477"/>
      <c r="I18" s="477"/>
      <c r="J18" s="477"/>
      <c r="K18" s="477"/>
      <c r="L18" s="477"/>
      <c r="M18" s="467">
        <v>534996</v>
      </c>
      <c r="N18" s="484"/>
    </row>
    <row r="19" spans="1:14" s="485" customFormat="1" ht="12.75" customHeight="1" x14ac:dyDescent="0.2">
      <c r="A19" s="482" t="s">
        <v>1472</v>
      </c>
      <c r="B19" s="483">
        <v>250</v>
      </c>
      <c r="C19" s="477"/>
      <c r="D19" s="477"/>
      <c r="E19" s="477"/>
      <c r="F19" s="477"/>
      <c r="G19" s="477"/>
      <c r="H19" s="477"/>
      <c r="I19" s="477"/>
      <c r="J19" s="477"/>
      <c r="K19" s="477"/>
      <c r="L19" s="477"/>
      <c r="M19" s="467">
        <v>2969985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5442004</v>
      </c>
      <c r="N23" s="1709">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v>7625</v>
      </c>
      <c r="E25" s="478"/>
      <c r="F25" s="478"/>
      <c r="G25" s="478">
        <v>2179</v>
      </c>
      <c r="H25" s="479"/>
      <c r="I25" s="468"/>
      <c r="J25" s="478">
        <v>26730</v>
      </c>
      <c r="K25" s="478">
        <v>182056</v>
      </c>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0</v>
      </c>
      <c r="D34" s="1761">
        <f t="shared" ref="D34:K34" si="1">SUM(D25:D33)</f>
        <v>7625</v>
      </c>
      <c r="E34" s="1761">
        <f t="shared" si="1"/>
        <v>0</v>
      </c>
      <c r="F34" s="1761">
        <f t="shared" si="1"/>
        <v>0</v>
      </c>
      <c r="G34" s="1761">
        <f t="shared" si="1"/>
        <v>2179</v>
      </c>
      <c r="H34" s="1761">
        <f t="shared" si="1"/>
        <v>0</v>
      </c>
      <c r="I34" s="1761">
        <f t="shared" si="1"/>
        <v>0</v>
      </c>
      <c r="J34" s="1761">
        <f t="shared" si="1"/>
        <v>26730</v>
      </c>
      <c r="K34" s="1761">
        <f t="shared" si="1"/>
        <v>182056</v>
      </c>
      <c r="L34" s="1742">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v>246199</v>
      </c>
      <c r="G38" s="466"/>
      <c r="H38" s="466"/>
      <c r="I38" s="466"/>
      <c r="J38" s="467"/>
      <c r="K38" s="466"/>
      <c r="L38" s="481"/>
      <c r="M38" s="497"/>
      <c r="N38" s="497"/>
    </row>
    <row r="39" spans="1:14" s="329" customFormat="1" ht="13.5" customHeight="1" x14ac:dyDescent="0.2">
      <c r="A39" s="496" t="s">
        <v>360</v>
      </c>
      <c r="B39" s="483">
        <v>730</v>
      </c>
      <c r="C39" s="466">
        <v>158903</v>
      </c>
      <c r="D39" s="466">
        <v>4613</v>
      </c>
      <c r="E39" s="466"/>
      <c r="F39" s="466"/>
      <c r="G39" s="466">
        <v>-506</v>
      </c>
      <c r="H39" s="466"/>
      <c r="I39" s="466">
        <v>34934</v>
      </c>
      <c r="J39" s="467">
        <v>29572</v>
      </c>
      <c r="K39" s="466">
        <v>-169619</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5442004</v>
      </c>
      <c r="N40" s="497"/>
    </row>
    <row r="41" spans="1:14" ht="13.5" customHeight="1" thickBot="1" x14ac:dyDescent="0.25">
      <c r="A41" s="1757" t="s">
        <v>676</v>
      </c>
      <c r="B41" s="1727"/>
      <c r="C41" s="1709">
        <f>(SUM(C34,C37,C38,C39))</f>
        <v>158903</v>
      </c>
      <c r="D41" s="1709">
        <f t="shared" ref="D41:L41" si="2">SUM(D34,D37,D38:D39)</f>
        <v>12238</v>
      </c>
      <c r="E41" s="1709">
        <f t="shared" si="2"/>
        <v>0</v>
      </c>
      <c r="F41" s="1709">
        <f t="shared" si="2"/>
        <v>246199</v>
      </c>
      <c r="G41" s="1709">
        <f t="shared" si="2"/>
        <v>1673</v>
      </c>
      <c r="H41" s="1709">
        <f t="shared" si="2"/>
        <v>0</v>
      </c>
      <c r="I41" s="1709">
        <f t="shared" si="2"/>
        <v>34934</v>
      </c>
      <c r="J41" s="1709">
        <f t="shared" si="2"/>
        <v>56302</v>
      </c>
      <c r="K41" s="1709">
        <f t="shared" si="2"/>
        <v>12437</v>
      </c>
      <c r="L41" s="1709">
        <f t="shared" si="2"/>
        <v>0</v>
      </c>
      <c r="M41" s="1709">
        <f>SUM(M40)</f>
        <v>5442004</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K80" sqref="K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1750</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1" t="s">
        <v>1579</v>
      </c>
      <c r="B4" s="1952">
        <v>1000</v>
      </c>
      <c r="C4" s="1763">
        <f>'Revenues 9-14'!C109</f>
        <v>328460</v>
      </c>
      <c r="D4" s="1763">
        <f>'Revenues 9-14'!D109</f>
        <v>78487</v>
      </c>
      <c r="E4" s="1763">
        <f>'Revenues 9-14'!E109</f>
        <v>0</v>
      </c>
      <c r="F4" s="1763">
        <f>'Revenues 9-14'!F109</f>
        <v>15411</v>
      </c>
      <c r="G4" s="1763">
        <f>'Revenues 9-14'!G109</f>
        <v>76119</v>
      </c>
      <c r="H4" s="1763">
        <f>'Revenues 9-14'!H109</f>
        <v>0</v>
      </c>
      <c r="I4" s="1763">
        <f>'Revenues 9-14'!I109</f>
        <v>6416</v>
      </c>
      <c r="J4" s="1763">
        <f>'Revenues 9-14'!J109</f>
        <v>42799</v>
      </c>
      <c r="K4" s="1763">
        <f>'Revenues 9-14'!K109</f>
        <v>6416</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2146073</v>
      </c>
      <c r="D6" s="1764">
        <f>'Revenues 9-14'!D173</f>
        <v>350171</v>
      </c>
      <c r="E6" s="1764">
        <f>'Revenues 9-14'!E173</f>
        <v>0</v>
      </c>
      <c r="F6" s="1764">
        <f>'Revenues 9-14'!F173</f>
        <v>314178</v>
      </c>
      <c r="G6" s="1764">
        <f>'Revenues 9-14'!G173</f>
        <v>0</v>
      </c>
      <c r="H6" s="1764">
        <f>'Revenues 9-14'!H173</f>
        <v>0</v>
      </c>
      <c r="I6" s="1764">
        <f>'Revenues 9-14'!I173</f>
        <v>0</v>
      </c>
      <c r="J6" s="1764">
        <f>'Revenues 9-14'!J173</f>
        <v>160000</v>
      </c>
      <c r="K6" s="1764">
        <f>'Revenues 9-14'!K173</f>
        <v>0</v>
      </c>
      <c r="L6" s="347"/>
      <c r="M6" s="513"/>
    </row>
    <row r="7" spans="1:13" ht="15.75" customHeight="1" x14ac:dyDescent="0.2">
      <c r="A7" s="1598" t="s">
        <v>1582</v>
      </c>
      <c r="B7" s="1600">
        <v>4000</v>
      </c>
      <c r="C7" s="1764">
        <f>'Revenues 9-14'!C274</f>
        <v>629668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3104201</v>
      </c>
      <c r="D8" s="1709">
        <f t="shared" ref="D8:K8" si="0">SUM(D4:D7)</f>
        <v>428658</v>
      </c>
      <c r="E8" s="1709">
        <f t="shared" si="0"/>
        <v>0</v>
      </c>
      <c r="F8" s="1709">
        <f t="shared" si="0"/>
        <v>329589</v>
      </c>
      <c r="G8" s="1709">
        <f t="shared" si="0"/>
        <v>76119</v>
      </c>
      <c r="H8" s="1709">
        <f t="shared" si="0"/>
        <v>0</v>
      </c>
      <c r="I8" s="1709">
        <f t="shared" si="0"/>
        <v>6416</v>
      </c>
      <c r="J8" s="1709">
        <f t="shared" si="0"/>
        <v>202799</v>
      </c>
      <c r="K8" s="1709">
        <f t="shared" si="0"/>
        <v>6416</v>
      </c>
      <c r="L8" s="347"/>
    </row>
    <row r="9" spans="1:13" ht="15.75" thickTop="1" x14ac:dyDescent="0.2">
      <c r="A9" s="514" t="s">
        <v>1751</v>
      </c>
      <c r="B9" s="515">
        <v>3998</v>
      </c>
      <c r="C9" s="481">
        <v>977192</v>
      </c>
      <c r="D9" s="516"/>
      <c r="E9" s="481"/>
      <c r="F9" s="481"/>
      <c r="G9" s="517"/>
      <c r="H9" s="481"/>
      <c r="I9" s="509" t="s">
        <v>1231</v>
      </c>
      <c r="J9" s="478"/>
      <c r="K9" s="481"/>
      <c r="L9" s="347"/>
    </row>
    <row r="10" spans="1:13" s="519" customFormat="1" ht="13.5" thickBot="1" x14ac:dyDescent="0.25">
      <c r="A10" s="1757" t="s">
        <v>1235</v>
      </c>
      <c r="B10" s="1730"/>
      <c r="C10" s="1709">
        <f>SUM(C8:C9)</f>
        <v>4081393</v>
      </c>
      <c r="D10" s="1709">
        <f t="shared" ref="D10:K10" si="1">SUM(D8:D9)</f>
        <v>428658</v>
      </c>
      <c r="E10" s="1709">
        <f t="shared" si="1"/>
        <v>0</v>
      </c>
      <c r="F10" s="1709">
        <f t="shared" si="1"/>
        <v>329589</v>
      </c>
      <c r="G10" s="1709">
        <f t="shared" si="1"/>
        <v>76119</v>
      </c>
      <c r="H10" s="1709">
        <f t="shared" si="1"/>
        <v>0</v>
      </c>
      <c r="I10" s="1709">
        <f t="shared" si="1"/>
        <v>6416</v>
      </c>
      <c r="J10" s="1709">
        <f t="shared" si="1"/>
        <v>202799</v>
      </c>
      <c r="K10" s="1709">
        <f t="shared" si="1"/>
        <v>6416</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1700957</v>
      </c>
      <c r="D12" s="520" t="s">
        <v>1231</v>
      </c>
      <c r="E12" s="468" t="s">
        <v>1231</v>
      </c>
      <c r="F12" s="468" t="s">
        <v>1231</v>
      </c>
      <c r="G12" s="1763">
        <f>'Expenditures 15-22'!K229</f>
        <v>24952</v>
      </c>
      <c r="H12" s="521"/>
      <c r="I12" s="468" t="s">
        <v>1231</v>
      </c>
      <c r="J12" s="468" t="s">
        <v>1231</v>
      </c>
      <c r="K12" s="521" t="s">
        <v>1231</v>
      </c>
      <c r="L12" s="347"/>
    </row>
    <row r="13" spans="1:13" ht="15.75" customHeight="1" x14ac:dyDescent="0.2">
      <c r="A13" s="1598" t="s">
        <v>477</v>
      </c>
      <c r="B13" s="1600">
        <v>2000</v>
      </c>
      <c r="C13" s="1764">
        <f>'Expenditures 15-22'!K74</f>
        <v>981388</v>
      </c>
      <c r="D13" s="1764">
        <f>'Expenditures 15-22'!K129</f>
        <v>418745</v>
      </c>
      <c r="E13" s="469" t="s">
        <v>1231</v>
      </c>
      <c r="F13" s="1764">
        <f>'Expenditures 15-22'!K184</f>
        <v>273184</v>
      </c>
      <c r="G13" s="1764">
        <f>'Expenditures 15-22'!K279</f>
        <v>37292</v>
      </c>
      <c r="H13" s="1764">
        <f>'Expenditures 15-22'!K303</f>
        <v>0</v>
      </c>
      <c r="I13" s="468" t="s">
        <v>1231</v>
      </c>
      <c r="J13" s="1764">
        <f>'Expenditures 15-22'!K330</f>
        <v>160053</v>
      </c>
      <c r="K13" s="1768">
        <f>'Expenditures 15-22'!K352</f>
        <v>0</v>
      </c>
      <c r="L13" s="347"/>
    </row>
    <row r="14" spans="1:13" ht="15.75" customHeight="1" x14ac:dyDescent="0.2">
      <c r="A14" s="1598" t="s">
        <v>469</v>
      </c>
      <c r="B14" s="1600">
        <v>3000</v>
      </c>
      <c r="C14" s="1764">
        <f>'Expenditures 15-22'!K75</f>
        <v>197849</v>
      </c>
      <c r="D14" s="1764">
        <f>'Expenditures 15-22'!K130</f>
        <v>0</v>
      </c>
      <c r="E14" s="520" t="s">
        <v>1231</v>
      </c>
      <c r="F14" s="1764">
        <f>'Expenditures 15-22'!K185</f>
        <v>0</v>
      </c>
      <c r="G14" s="1764">
        <f>'Expenditures 15-22'!K280</f>
        <v>12898</v>
      </c>
      <c r="H14" s="512"/>
      <c r="I14" s="468" t="s">
        <v>1231</v>
      </c>
      <c r="J14" s="468" t="s">
        <v>1231</v>
      </c>
      <c r="K14" s="512" t="s">
        <v>1231</v>
      </c>
      <c r="L14" s="347"/>
    </row>
    <row r="15" spans="1:13" ht="15.75" customHeight="1" x14ac:dyDescent="0.2">
      <c r="A15" s="1598" t="s">
        <v>109</v>
      </c>
      <c r="B15" s="1600">
        <v>4000</v>
      </c>
      <c r="C15" s="1764">
        <f>'Expenditures 15-22'!K102</f>
        <v>172231</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3052425</v>
      </c>
      <c r="D17" s="1709">
        <f t="shared" si="2"/>
        <v>418745</v>
      </c>
      <c r="E17" s="1709">
        <f t="shared" si="2"/>
        <v>0</v>
      </c>
      <c r="F17" s="1709">
        <f t="shared" si="2"/>
        <v>273184</v>
      </c>
      <c r="G17" s="1709">
        <f t="shared" si="2"/>
        <v>75142</v>
      </c>
      <c r="H17" s="1709">
        <f t="shared" si="2"/>
        <v>0</v>
      </c>
      <c r="I17" s="468"/>
      <c r="J17" s="1709">
        <f>SUM(J12:J16)</f>
        <v>160053</v>
      </c>
      <c r="K17" s="1709">
        <f>SUM(K12:K16)</f>
        <v>0</v>
      </c>
      <c r="L17" s="347"/>
    </row>
    <row r="18" spans="1:12" ht="15" customHeight="1" thickTop="1" x14ac:dyDescent="0.2">
      <c r="A18" s="1765" t="s">
        <v>1752</v>
      </c>
      <c r="B18" s="1766">
        <v>4180</v>
      </c>
      <c r="C18" s="1763">
        <f t="shared" ref="C18:H18" si="3">C9</f>
        <v>977192</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4029617</v>
      </c>
      <c r="D19" s="1709">
        <f t="shared" si="4"/>
        <v>418745</v>
      </c>
      <c r="E19" s="1709">
        <f t="shared" si="4"/>
        <v>0</v>
      </c>
      <c r="F19" s="1709">
        <f t="shared" si="4"/>
        <v>273184</v>
      </c>
      <c r="G19" s="1709">
        <f t="shared" si="4"/>
        <v>75142</v>
      </c>
      <c r="H19" s="1709">
        <f t="shared" si="4"/>
        <v>0</v>
      </c>
      <c r="I19" s="468"/>
      <c r="J19" s="1709">
        <f>SUM(J17:J18)</f>
        <v>160053</v>
      </c>
      <c r="K19" s="1709">
        <f>SUM(K17:K18)</f>
        <v>0</v>
      </c>
      <c r="L19" s="347"/>
    </row>
    <row r="20" spans="1:12" ht="16.5" thickTop="1" thickBot="1" x14ac:dyDescent="0.25">
      <c r="A20" s="2143" t="s">
        <v>1753</v>
      </c>
      <c r="B20" s="2144"/>
      <c r="C20" s="1767">
        <f>C8-C17</f>
        <v>51776</v>
      </c>
      <c r="D20" s="1767">
        <f t="shared" ref="D20:K20" si="5">D8-D17</f>
        <v>9913</v>
      </c>
      <c r="E20" s="1767">
        <f t="shared" si="5"/>
        <v>0</v>
      </c>
      <c r="F20" s="1767">
        <f t="shared" si="5"/>
        <v>56405</v>
      </c>
      <c r="G20" s="1767">
        <f t="shared" si="5"/>
        <v>977</v>
      </c>
      <c r="H20" s="1767">
        <f t="shared" si="5"/>
        <v>0</v>
      </c>
      <c r="I20" s="1767">
        <f t="shared" si="5"/>
        <v>6416</v>
      </c>
      <c r="J20" s="1767">
        <f t="shared" si="5"/>
        <v>42746</v>
      </c>
      <c r="K20" s="1767">
        <f t="shared" si="5"/>
        <v>6416</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4">
        <f>SUM(C24,C25:H25,J25:K25)</f>
        <v>0</v>
      </c>
      <c r="J47" s="477"/>
      <c r="K47" s="477"/>
      <c r="L47" s="529"/>
    </row>
    <row r="48" spans="1:12" s="485" customFormat="1" ht="15" x14ac:dyDescent="0.2">
      <c r="A48" s="1512" t="s">
        <v>1758</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4">
        <f>D30</f>
        <v>0</v>
      </c>
      <c r="L52" s="524"/>
    </row>
    <row r="53" spans="1:12" s="485" customFormat="1" ht="26.25" x14ac:dyDescent="0.2">
      <c r="A53" s="1512" t="s">
        <v>1898</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51776</v>
      </c>
      <c r="D78" s="1723">
        <f t="shared" si="9"/>
        <v>9913</v>
      </c>
      <c r="E78" s="1723">
        <f t="shared" si="9"/>
        <v>0</v>
      </c>
      <c r="F78" s="1723">
        <f t="shared" si="9"/>
        <v>56405</v>
      </c>
      <c r="G78" s="1723">
        <f t="shared" si="9"/>
        <v>977</v>
      </c>
      <c r="H78" s="1723">
        <f t="shared" si="9"/>
        <v>0</v>
      </c>
      <c r="I78" s="1723">
        <f t="shared" si="9"/>
        <v>6416</v>
      </c>
      <c r="J78" s="1723">
        <f t="shared" si="9"/>
        <v>42746</v>
      </c>
      <c r="K78" s="1723">
        <f t="shared" si="9"/>
        <v>6416</v>
      </c>
      <c r="L78" s="533"/>
    </row>
    <row r="79" spans="1:12" ht="13.5" thickTop="1" x14ac:dyDescent="0.2">
      <c r="A79" s="1516" t="s">
        <v>2070</v>
      </c>
      <c r="B79" s="534"/>
      <c r="C79" s="478">
        <v>107127</v>
      </c>
      <c r="D79" s="535">
        <v>-5300</v>
      </c>
      <c r="E79" s="535"/>
      <c r="F79" s="535">
        <v>189794</v>
      </c>
      <c r="G79" s="535">
        <v>-1483</v>
      </c>
      <c r="H79" s="535"/>
      <c r="I79" s="535">
        <v>28518</v>
      </c>
      <c r="J79" s="535">
        <v>-13174</v>
      </c>
      <c r="K79" s="535">
        <v>-176035</v>
      </c>
      <c r="L79" s="347"/>
    </row>
    <row r="80" spans="1:12" x14ac:dyDescent="0.2">
      <c r="A80" s="2145" t="s">
        <v>1897</v>
      </c>
      <c r="B80" s="2146"/>
      <c r="C80" s="467"/>
      <c r="D80" s="467"/>
      <c r="E80" s="467"/>
      <c r="F80" s="467"/>
      <c r="G80" s="467"/>
      <c r="H80" s="467"/>
      <c r="I80" s="467"/>
      <c r="J80" s="467"/>
      <c r="K80" s="467"/>
      <c r="L80" s="347"/>
    </row>
    <row r="81" spans="1:12" ht="13.5" thickBot="1" x14ac:dyDescent="0.25">
      <c r="A81" s="2137" t="s">
        <v>2071</v>
      </c>
      <c r="B81" s="2138"/>
      <c r="C81" s="1709">
        <f>(SUM(C78:C80))</f>
        <v>158903</v>
      </c>
      <c r="D81" s="1709">
        <f>SUM(D78:D80)</f>
        <v>4613</v>
      </c>
      <c r="E81" s="1709">
        <f t="shared" ref="E81:K81" si="10">SUM(E78:E80)</f>
        <v>0</v>
      </c>
      <c r="F81" s="1709">
        <f t="shared" si="10"/>
        <v>246199</v>
      </c>
      <c r="G81" s="1709">
        <f t="shared" si="10"/>
        <v>-506</v>
      </c>
      <c r="H81" s="1709">
        <f t="shared" si="10"/>
        <v>0</v>
      </c>
      <c r="I81" s="1709">
        <f t="shared" si="10"/>
        <v>34934</v>
      </c>
      <c r="J81" s="1709">
        <f t="shared" si="10"/>
        <v>29572</v>
      </c>
      <c r="K81" s="1709">
        <f t="shared" si="10"/>
        <v>-169619</v>
      </c>
      <c r="L81" s="347"/>
    </row>
    <row r="82" spans="1:12" ht="0.75" customHeight="1" thickTop="1" thickBot="1" x14ac:dyDescent="0.25">
      <c r="A82" s="536" t="s">
        <v>361</v>
      </c>
      <c r="B82" s="537"/>
      <c r="C82" s="538">
        <f>(C81-C79)</f>
        <v>51776</v>
      </c>
      <c r="D82" s="538">
        <f t="shared" ref="D82:K82" si="11">(D81-D79)</f>
        <v>9913</v>
      </c>
      <c r="E82" s="538">
        <f t="shared" si="11"/>
        <v>0</v>
      </c>
      <c r="F82" s="538">
        <f t="shared" si="11"/>
        <v>56405</v>
      </c>
      <c r="G82" s="538">
        <f t="shared" si="11"/>
        <v>977</v>
      </c>
      <c r="H82" s="538">
        <f t="shared" si="11"/>
        <v>0</v>
      </c>
      <c r="I82" s="538">
        <f t="shared" si="11"/>
        <v>6416</v>
      </c>
      <c r="J82" s="538">
        <f t="shared" si="11"/>
        <v>42746</v>
      </c>
      <c r="K82" s="538">
        <f t="shared" si="11"/>
        <v>6416</v>
      </c>
    </row>
    <row r="83" spans="1:12" ht="14.25" hidden="1" thickTop="1" thickBot="1" x14ac:dyDescent="0.25">
      <c r="A83" s="539" t="s">
        <v>362</v>
      </c>
      <c r="B83" s="464"/>
      <c r="C83" s="540">
        <f>C82/C81</f>
        <v>0.32583399935809898</v>
      </c>
      <c r="D83" s="540">
        <f t="shared" ref="D83:K83" si="12">D82/D81</f>
        <v>2.148926945588554</v>
      </c>
      <c r="E83" s="540" t="e">
        <f t="shared" si="12"/>
        <v>#DIV/0!</v>
      </c>
      <c r="F83" s="540">
        <f t="shared" si="12"/>
        <v>0.22910328636590727</v>
      </c>
      <c r="G83" s="540">
        <f t="shared" si="12"/>
        <v>-1.9308300395256917</v>
      </c>
      <c r="H83" s="540" t="e">
        <f t="shared" si="12"/>
        <v>#DIV/0!</v>
      </c>
      <c r="I83" s="540">
        <f t="shared" si="12"/>
        <v>0.18366061716379459</v>
      </c>
      <c r="J83" s="540">
        <f t="shared" si="12"/>
        <v>1.4454889760584337</v>
      </c>
      <c r="K83" s="540">
        <f t="shared" si="12"/>
        <v>-3.7825951102176056E-2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44" activePane="bottomLeft" state="frozen"/>
      <selection activeCell="A47" sqref="A47"/>
      <selection pane="bottomLeft" activeCell="L342" sqref="L34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67" t="s">
        <v>315</v>
      </c>
      <c r="B3" s="216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716401</v>
      </c>
      <c r="D5" s="466">
        <v>116927</v>
      </c>
      <c r="E5" s="466">
        <v>116684</v>
      </c>
      <c r="F5" s="466">
        <v>118390</v>
      </c>
      <c r="G5" s="466"/>
      <c r="H5" s="466">
        <v>2486</v>
      </c>
      <c r="I5" s="467"/>
      <c r="J5" s="467"/>
      <c r="K5" s="1692">
        <f>SUM(C5:J5)</f>
        <v>1070888</v>
      </c>
      <c r="L5" s="466">
        <v>1128900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v>217578</v>
      </c>
      <c r="D7" s="467">
        <v>52821</v>
      </c>
      <c r="E7" s="467">
        <v>2790</v>
      </c>
      <c r="F7" s="467">
        <v>4394</v>
      </c>
      <c r="G7" s="467"/>
      <c r="H7" s="467"/>
      <c r="I7" s="467"/>
      <c r="J7" s="467"/>
      <c r="K7" s="1692">
        <f t="shared" ref="K7:K32" si="0">SUM(C7:J7)</f>
        <v>277583</v>
      </c>
      <c r="L7" s="466">
        <v>215526</v>
      </c>
    </row>
    <row r="8" spans="1:14" x14ac:dyDescent="0.2">
      <c r="A8" s="1526" t="s">
        <v>166</v>
      </c>
      <c r="B8" s="615">
        <v>1200</v>
      </c>
      <c r="C8" s="466">
        <v>100263</v>
      </c>
      <c r="D8" s="466">
        <v>16519</v>
      </c>
      <c r="E8" s="466">
        <v>47546</v>
      </c>
      <c r="F8" s="466">
        <v>4946</v>
      </c>
      <c r="G8" s="466"/>
      <c r="H8" s="466">
        <v>36088</v>
      </c>
      <c r="I8" s="467"/>
      <c r="J8" s="467"/>
      <c r="K8" s="1692">
        <f t="shared" si="0"/>
        <v>205362</v>
      </c>
      <c r="L8" s="466">
        <v>191058</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63838</v>
      </c>
      <c r="D10" s="466">
        <v>13231</v>
      </c>
      <c r="E10" s="466">
        <v>36236</v>
      </c>
      <c r="F10" s="466">
        <v>12752</v>
      </c>
      <c r="G10" s="466"/>
      <c r="H10" s="466"/>
      <c r="I10" s="467"/>
      <c r="J10" s="467"/>
      <c r="K10" s="1692">
        <f t="shared" si="0"/>
        <v>126057</v>
      </c>
      <c r="L10" s="466">
        <v>139091</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c r="D13" s="466"/>
      <c r="E13" s="466"/>
      <c r="F13" s="466"/>
      <c r="G13" s="466"/>
      <c r="H13" s="466"/>
      <c r="I13" s="467"/>
      <c r="J13" s="467"/>
      <c r="K13" s="1692">
        <f t="shared" si="0"/>
        <v>0</v>
      </c>
      <c r="L13" s="466"/>
    </row>
    <row r="14" spans="1:14" x14ac:dyDescent="0.2">
      <c r="A14" s="1526" t="s">
        <v>1020</v>
      </c>
      <c r="B14" s="615">
        <v>1500</v>
      </c>
      <c r="C14" s="466">
        <v>11787</v>
      </c>
      <c r="D14" s="466"/>
      <c r="E14" s="466">
        <v>9126</v>
      </c>
      <c r="F14" s="466">
        <v>154</v>
      </c>
      <c r="G14" s="466"/>
      <c r="H14" s="466"/>
      <c r="I14" s="467"/>
      <c r="J14" s="467"/>
      <c r="K14" s="1692">
        <f t="shared" si="0"/>
        <v>21067</v>
      </c>
      <c r="L14" s="466">
        <v>4800</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c r="D17" s="467"/>
      <c r="E17" s="467"/>
      <c r="F17" s="467"/>
      <c r="G17" s="467"/>
      <c r="H17" s="467"/>
      <c r="I17" s="467"/>
      <c r="J17" s="467"/>
      <c r="K17" s="1692">
        <f t="shared" si="0"/>
        <v>0</v>
      </c>
      <c r="L17" s="466"/>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1766</v>
      </c>
      <c r="B33" s="1690" t="s">
        <v>591</v>
      </c>
      <c r="C33" s="1691">
        <f>SUM(C5:C32)</f>
        <v>1109867</v>
      </c>
      <c r="D33" s="1691">
        <f t="shared" ref="D33:L33" si="1">SUM(D5:D32)</f>
        <v>199498</v>
      </c>
      <c r="E33" s="1691">
        <f t="shared" si="1"/>
        <v>212382</v>
      </c>
      <c r="F33" s="1691">
        <f t="shared" si="1"/>
        <v>140636</v>
      </c>
      <c r="G33" s="1691">
        <f t="shared" si="1"/>
        <v>0</v>
      </c>
      <c r="H33" s="1691">
        <f t="shared" si="1"/>
        <v>38574</v>
      </c>
      <c r="I33" s="1691">
        <f t="shared" si="1"/>
        <v>0</v>
      </c>
      <c r="J33" s="1691">
        <f t="shared" si="1"/>
        <v>0</v>
      </c>
      <c r="K33" s="1691">
        <f t="shared" si="1"/>
        <v>1700957</v>
      </c>
      <c r="L33" s="1691">
        <f t="shared" si="1"/>
        <v>1679375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3996</v>
      </c>
      <c r="D36" s="481">
        <v>133</v>
      </c>
      <c r="E36" s="481">
        <v>4800</v>
      </c>
      <c r="F36" s="481"/>
      <c r="G36" s="481"/>
      <c r="H36" s="481"/>
      <c r="I36" s="467"/>
      <c r="J36" s="467"/>
      <c r="K36" s="1692">
        <f t="shared" ref="K36:K41" si="2">SUM(C36:J36)</f>
        <v>8929</v>
      </c>
      <c r="L36" s="466"/>
    </row>
    <row r="37" spans="1:14" x14ac:dyDescent="0.2">
      <c r="A37" s="1526" t="s">
        <v>1151</v>
      </c>
      <c r="B37" s="615">
        <v>2120</v>
      </c>
      <c r="C37" s="466"/>
      <c r="D37" s="466"/>
      <c r="E37" s="466"/>
      <c r="F37" s="466"/>
      <c r="G37" s="466"/>
      <c r="H37" s="466"/>
      <c r="I37" s="467"/>
      <c r="J37" s="467"/>
      <c r="K37" s="1692">
        <f t="shared" si="2"/>
        <v>0</v>
      </c>
      <c r="L37" s="466"/>
    </row>
    <row r="38" spans="1:14" x14ac:dyDescent="0.2">
      <c r="A38" s="1526" t="s">
        <v>207</v>
      </c>
      <c r="B38" s="615">
        <v>2130</v>
      </c>
      <c r="C38" s="466">
        <v>25924</v>
      </c>
      <c r="D38" s="466">
        <v>431</v>
      </c>
      <c r="E38" s="466">
        <v>765</v>
      </c>
      <c r="F38" s="466"/>
      <c r="G38" s="466"/>
      <c r="H38" s="466"/>
      <c r="I38" s="467"/>
      <c r="J38" s="467"/>
      <c r="K38" s="1692">
        <f t="shared" si="2"/>
        <v>27120</v>
      </c>
      <c r="L38" s="466">
        <v>28150</v>
      </c>
    </row>
    <row r="39" spans="1:14" x14ac:dyDescent="0.2">
      <c r="A39" s="1526" t="s">
        <v>208</v>
      </c>
      <c r="B39" s="615">
        <v>2140</v>
      </c>
      <c r="C39" s="466"/>
      <c r="D39" s="466"/>
      <c r="E39" s="466">
        <v>22010</v>
      </c>
      <c r="F39" s="466">
        <v>207</v>
      </c>
      <c r="G39" s="466"/>
      <c r="H39" s="466"/>
      <c r="I39" s="467"/>
      <c r="J39" s="467"/>
      <c r="K39" s="1692">
        <f t="shared" si="2"/>
        <v>22217</v>
      </c>
      <c r="L39" s="466">
        <v>9450</v>
      </c>
    </row>
    <row r="40" spans="1:14" x14ac:dyDescent="0.2">
      <c r="A40" s="1526" t="s">
        <v>209</v>
      </c>
      <c r="B40" s="615">
        <v>2150</v>
      </c>
      <c r="C40" s="466"/>
      <c r="D40" s="466"/>
      <c r="E40" s="466"/>
      <c r="F40" s="466"/>
      <c r="G40" s="466"/>
      <c r="H40" s="466"/>
      <c r="I40" s="467"/>
      <c r="J40" s="467"/>
      <c r="K40" s="1692">
        <f t="shared" si="2"/>
        <v>0</v>
      </c>
      <c r="L40" s="466">
        <v>22500</v>
      </c>
    </row>
    <row r="41" spans="1:14" x14ac:dyDescent="0.2">
      <c r="A41" s="1526" t="s">
        <v>1767</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29920</v>
      </c>
      <c r="D42" s="1691">
        <f t="shared" ref="D42:L42" si="3">SUM(D36:D41)</f>
        <v>564</v>
      </c>
      <c r="E42" s="1691">
        <f t="shared" si="3"/>
        <v>27575</v>
      </c>
      <c r="F42" s="1691">
        <f t="shared" si="3"/>
        <v>207</v>
      </c>
      <c r="G42" s="1691">
        <f t="shared" si="3"/>
        <v>0</v>
      </c>
      <c r="H42" s="1691">
        <f t="shared" si="3"/>
        <v>0</v>
      </c>
      <c r="I42" s="1691">
        <f t="shared" si="3"/>
        <v>0</v>
      </c>
      <c r="J42" s="1691">
        <f t="shared" si="3"/>
        <v>0</v>
      </c>
      <c r="K42" s="1691">
        <f t="shared" si="3"/>
        <v>58266</v>
      </c>
      <c r="L42" s="1691">
        <f t="shared" si="3"/>
        <v>60100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25298</v>
      </c>
      <c r="D44" s="481">
        <v>1057</v>
      </c>
      <c r="E44" s="481">
        <v>98353</v>
      </c>
      <c r="F44" s="481">
        <v>2439</v>
      </c>
      <c r="G44" s="481"/>
      <c r="H44" s="481"/>
      <c r="I44" s="467"/>
      <c r="J44" s="467"/>
      <c r="K44" s="1693">
        <f>SUM(C44:J44)</f>
        <v>127147</v>
      </c>
      <c r="L44" s="481">
        <v>165000</v>
      </c>
    </row>
    <row r="45" spans="1:14" x14ac:dyDescent="0.2">
      <c r="A45" s="1526" t="s">
        <v>869</v>
      </c>
      <c r="B45" s="615">
        <v>2220</v>
      </c>
      <c r="C45" s="466"/>
      <c r="D45" s="466"/>
      <c r="E45" s="466"/>
      <c r="F45" s="466"/>
      <c r="G45" s="466"/>
      <c r="H45" s="466"/>
      <c r="I45" s="467"/>
      <c r="J45" s="467"/>
      <c r="K45" s="1693">
        <f>SUM(C45:J45)</f>
        <v>0</v>
      </c>
      <c r="L45" s="466">
        <v>1500</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25298</v>
      </c>
      <c r="D47" s="1691">
        <f t="shared" ref="D47:K47" si="4">SUM(D44:D46)</f>
        <v>1057</v>
      </c>
      <c r="E47" s="1691">
        <f t="shared" si="4"/>
        <v>98353</v>
      </c>
      <c r="F47" s="1691">
        <f t="shared" si="4"/>
        <v>2439</v>
      </c>
      <c r="G47" s="1691">
        <f t="shared" si="4"/>
        <v>0</v>
      </c>
      <c r="H47" s="1691">
        <f t="shared" si="4"/>
        <v>0</v>
      </c>
      <c r="I47" s="1691">
        <f t="shared" si="4"/>
        <v>0</v>
      </c>
      <c r="J47" s="1691">
        <f t="shared" si="4"/>
        <v>0</v>
      </c>
      <c r="K47" s="1691">
        <f t="shared" si="4"/>
        <v>127147</v>
      </c>
      <c r="L47" s="1691">
        <f>SUM(L44:L46)</f>
        <v>166500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5000</v>
      </c>
      <c r="D49" s="481">
        <v>58</v>
      </c>
      <c r="E49" s="481">
        <v>31897</v>
      </c>
      <c r="F49" s="481"/>
      <c r="G49" s="481"/>
      <c r="H49" s="481"/>
      <c r="I49" s="467"/>
      <c r="J49" s="467"/>
      <c r="K49" s="1693">
        <f>SUM(C49:J49)</f>
        <v>36955</v>
      </c>
      <c r="L49" s="481">
        <v>33900</v>
      </c>
    </row>
    <row r="50" spans="1:14" x14ac:dyDescent="0.2">
      <c r="A50" s="1526" t="s">
        <v>872</v>
      </c>
      <c r="B50" s="615">
        <v>2320</v>
      </c>
      <c r="C50" s="466">
        <v>177874</v>
      </c>
      <c r="D50" s="466">
        <v>53564</v>
      </c>
      <c r="E50" s="466">
        <v>8134</v>
      </c>
      <c r="F50" s="466"/>
      <c r="G50" s="466"/>
      <c r="H50" s="466"/>
      <c r="I50" s="467"/>
      <c r="J50" s="467"/>
      <c r="K50" s="1693">
        <f>SUM(C50:J50)</f>
        <v>239572</v>
      </c>
      <c r="L50" s="466">
        <v>263200</v>
      </c>
    </row>
    <row r="51" spans="1:14" x14ac:dyDescent="0.2">
      <c r="A51" s="1526" t="s">
        <v>44</v>
      </c>
      <c r="B51" s="615">
        <v>2330</v>
      </c>
      <c r="C51" s="466">
        <v>77785</v>
      </c>
      <c r="D51" s="466">
        <v>21016</v>
      </c>
      <c r="E51" s="466">
        <v>850</v>
      </c>
      <c r="F51" s="466"/>
      <c r="G51" s="466"/>
      <c r="H51" s="466"/>
      <c r="I51" s="467"/>
      <c r="J51" s="467"/>
      <c r="K51" s="1693">
        <f>SUM(C51:J51)</f>
        <v>99651</v>
      </c>
      <c r="L51" s="466">
        <v>95000</v>
      </c>
    </row>
    <row r="52" spans="1:14" ht="22.5" x14ac:dyDescent="0.2">
      <c r="A52" s="1527" t="s">
        <v>316</v>
      </c>
      <c r="B52" s="628" t="s">
        <v>384</v>
      </c>
      <c r="C52" s="474"/>
      <c r="D52" s="474"/>
      <c r="E52" s="474">
        <v>5675</v>
      </c>
      <c r="F52" s="474"/>
      <c r="G52" s="474"/>
      <c r="H52" s="474"/>
      <c r="I52" s="474"/>
      <c r="J52" s="474"/>
      <c r="K52" s="1693">
        <f>SUM(C52:J52)</f>
        <v>5675</v>
      </c>
      <c r="L52" s="474">
        <v>90000</v>
      </c>
    </row>
    <row r="53" spans="1:14" ht="12.75" customHeight="1" thickBot="1" x14ac:dyDescent="0.25">
      <c r="A53" s="1689" t="s">
        <v>741</v>
      </c>
      <c r="B53" s="1690" t="s">
        <v>33</v>
      </c>
      <c r="C53" s="1691">
        <f>SUM(C49:C52)</f>
        <v>260659</v>
      </c>
      <c r="D53" s="1691">
        <f t="shared" ref="D53:L53" si="5">SUM(D49:D52)</f>
        <v>74638</v>
      </c>
      <c r="E53" s="1691">
        <f t="shared" si="5"/>
        <v>46556</v>
      </c>
      <c r="F53" s="1691">
        <f t="shared" si="5"/>
        <v>0</v>
      </c>
      <c r="G53" s="1691">
        <f t="shared" si="5"/>
        <v>0</v>
      </c>
      <c r="H53" s="1691">
        <f t="shared" si="5"/>
        <v>0</v>
      </c>
      <c r="I53" s="1691">
        <f t="shared" si="5"/>
        <v>0</v>
      </c>
      <c r="J53" s="1691">
        <f t="shared" si="5"/>
        <v>0</v>
      </c>
      <c r="K53" s="1691">
        <f t="shared" si="5"/>
        <v>381853</v>
      </c>
      <c r="L53" s="1691">
        <f t="shared" si="5"/>
        <v>482100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90067</v>
      </c>
      <c r="D55" s="481">
        <v>25472</v>
      </c>
      <c r="E55" s="481">
        <v>990</v>
      </c>
      <c r="F55" s="481"/>
      <c r="G55" s="481"/>
      <c r="H55" s="481"/>
      <c r="I55" s="467"/>
      <c r="J55" s="467"/>
      <c r="K55" s="1693">
        <f>SUM(C55:J55)</f>
        <v>116529</v>
      </c>
      <c r="L55" s="481">
        <v>148800</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90067</v>
      </c>
      <c r="D57" s="1695">
        <f t="shared" ref="D57:K57" si="6">SUM(D55:D56)</f>
        <v>25472</v>
      </c>
      <c r="E57" s="1695">
        <f t="shared" si="6"/>
        <v>990</v>
      </c>
      <c r="F57" s="1695">
        <f t="shared" si="6"/>
        <v>0</v>
      </c>
      <c r="G57" s="1695">
        <f t="shared" si="6"/>
        <v>0</v>
      </c>
      <c r="H57" s="1695">
        <f t="shared" si="6"/>
        <v>0</v>
      </c>
      <c r="I57" s="1695">
        <f t="shared" si="6"/>
        <v>0</v>
      </c>
      <c r="J57" s="1695">
        <f t="shared" si="6"/>
        <v>0</v>
      </c>
      <c r="K57" s="1695">
        <f t="shared" si="6"/>
        <v>116529</v>
      </c>
      <c r="L57" s="1691">
        <f>SUM(L55:L56)</f>
        <v>148800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c r="D60" s="466"/>
      <c r="E60" s="466">
        <v>70988</v>
      </c>
      <c r="F60" s="466">
        <v>192</v>
      </c>
      <c r="G60" s="466"/>
      <c r="H60" s="466">
        <v>750</v>
      </c>
      <c r="I60" s="467"/>
      <c r="J60" s="467"/>
      <c r="K60" s="1693">
        <f t="shared" si="7"/>
        <v>71930</v>
      </c>
      <c r="L60" s="466">
        <v>55000</v>
      </c>
      <c r="M60" s="610"/>
      <c r="N60" s="610"/>
    </row>
    <row r="61" spans="1:14" s="343" customFormat="1" x14ac:dyDescent="0.2">
      <c r="A61" s="1526" t="s">
        <v>206</v>
      </c>
      <c r="B61" s="615">
        <v>2540</v>
      </c>
      <c r="C61" s="466">
        <v>10498</v>
      </c>
      <c r="D61" s="466">
        <v>179</v>
      </c>
      <c r="E61" s="466">
        <v>133</v>
      </c>
      <c r="F61" s="466">
        <v>167</v>
      </c>
      <c r="G61" s="466"/>
      <c r="H61" s="466"/>
      <c r="I61" s="467"/>
      <c r="J61" s="467"/>
      <c r="K61" s="1693">
        <f t="shared" si="7"/>
        <v>10977</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59076</v>
      </c>
      <c r="D63" s="466">
        <v>2153</v>
      </c>
      <c r="E63" s="466">
        <v>2352</v>
      </c>
      <c r="F63" s="466">
        <v>139870</v>
      </c>
      <c r="G63" s="466"/>
      <c r="H63" s="466">
        <v>600</v>
      </c>
      <c r="I63" s="467">
        <v>4870</v>
      </c>
      <c r="J63" s="467"/>
      <c r="K63" s="1693">
        <f t="shared" si="7"/>
        <v>208921</v>
      </c>
      <c r="L63" s="466">
        <v>195700</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69574</v>
      </c>
      <c r="D65" s="1691">
        <f t="shared" ref="D65:L65" si="8">SUM(D59:D64)</f>
        <v>2332</v>
      </c>
      <c r="E65" s="1691">
        <f t="shared" si="8"/>
        <v>73473</v>
      </c>
      <c r="F65" s="1691">
        <f t="shared" si="8"/>
        <v>140229</v>
      </c>
      <c r="G65" s="1691">
        <f t="shared" si="8"/>
        <v>0</v>
      </c>
      <c r="H65" s="1691">
        <f t="shared" si="8"/>
        <v>1350</v>
      </c>
      <c r="I65" s="1691">
        <f t="shared" si="8"/>
        <v>4870</v>
      </c>
      <c r="J65" s="1691">
        <f t="shared" si="8"/>
        <v>0</v>
      </c>
      <c r="K65" s="1691">
        <f t="shared" si="8"/>
        <v>291828</v>
      </c>
      <c r="L65" s="1691">
        <f t="shared" si="8"/>
        <v>250700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v>2395</v>
      </c>
      <c r="F70" s="466"/>
      <c r="G70" s="466"/>
      <c r="H70" s="466"/>
      <c r="I70" s="467"/>
      <c r="J70" s="467"/>
      <c r="K70" s="1693">
        <f>SUM(C70:J70)</f>
        <v>2395</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2395</v>
      </c>
      <c r="F72" s="1691">
        <f t="shared" si="9"/>
        <v>0</v>
      </c>
      <c r="G72" s="1691">
        <f t="shared" si="9"/>
        <v>0</v>
      </c>
      <c r="H72" s="1691">
        <f t="shared" si="9"/>
        <v>0</v>
      </c>
      <c r="I72" s="1691">
        <f t="shared" si="9"/>
        <v>0</v>
      </c>
      <c r="J72" s="1691">
        <f t="shared" si="9"/>
        <v>0</v>
      </c>
      <c r="K72" s="1691">
        <f t="shared" si="9"/>
        <v>2395</v>
      </c>
      <c r="L72" s="1691">
        <f>SUM(L67:L71)</f>
        <v>0</v>
      </c>
      <c r="M72" s="610"/>
      <c r="N72" s="610"/>
    </row>
    <row r="73" spans="1:14" s="343" customFormat="1" ht="14.25" thickTop="1" thickBot="1" x14ac:dyDescent="0.25">
      <c r="A73" s="1532" t="s">
        <v>1037</v>
      </c>
      <c r="B73" s="633" t="s">
        <v>595</v>
      </c>
      <c r="C73" s="573">
        <v>3310</v>
      </c>
      <c r="D73" s="573">
        <v>60</v>
      </c>
      <c r="E73" s="573"/>
      <c r="F73" s="573"/>
      <c r="G73" s="573"/>
      <c r="H73" s="573"/>
      <c r="I73" s="531"/>
      <c r="J73" s="531"/>
      <c r="K73" s="1691">
        <f>SUM(C73:J73)</f>
        <v>3370</v>
      </c>
      <c r="L73" s="576"/>
      <c r="M73" s="610"/>
      <c r="N73" s="610"/>
    </row>
    <row r="74" spans="1:14" ht="12.75" customHeight="1" thickTop="1" thickBot="1" x14ac:dyDescent="0.25">
      <c r="A74" s="1689" t="s">
        <v>865</v>
      </c>
      <c r="B74" s="1697">
        <v>2000</v>
      </c>
      <c r="C74" s="1698">
        <f>SUM(C42,C47,C53,C57,C65,C72,C73)</f>
        <v>478828</v>
      </c>
      <c r="D74" s="1698">
        <f t="shared" ref="D74:K74" si="10">SUM(D42,D47,D53,D57,D65,D72,D73)</f>
        <v>104123</v>
      </c>
      <c r="E74" s="1698">
        <f t="shared" si="10"/>
        <v>249342</v>
      </c>
      <c r="F74" s="1698">
        <f t="shared" si="10"/>
        <v>142875</v>
      </c>
      <c r="G74" s="1698">
        <f t="shared" si="10"/>
        <v>0</v>
      </c>
      <c r="H74" s="1698">
        <f t="shared" si="10"/>
        <v>1350</v>
      </c>
      <c r="I74" s="1698">
        <f t="shared" si="10"/>
        <v>4870</v>
      </c>
      <c r="J74" s="1698">
        <f t="shared" si="10"/>
        <v>0</v>
      </c>
      <c r="K74" s="1698">
        <f t="shared" si="10"/>
        <v>981388</v>
      </c>
      <c r="L74" s="1698">
        <f>SUM(L42,L47,L53,L57,L65,L72,L73)</f>
        <v>1108200</v>
      </c>
    </row>
    <row r="75" spans="1:14" s="259" customFormat="1" ht="15.75" customHeight="1" thickTop="1" thickBot="1" x14ac:dyDescent="0.25">
      <c r="A75" s="1632" t="s">
        <v>49</v>
      </c>
      <c r="B75" s="1633" t="s">
        <v>596</v>
      </c>
      <c r="C75" s="573">
        <v>151006</v>
      </c>
      <c r="D75" s="573">
        <v>24420</v>
      </c>
      <c r="E75" s="573">
        <v>16518</v>
      </c>
      <c r="F75" s="573">
        <v>5905</v>
      </c>
      <c r="G75" s="573"/>
      <c r="H75" s="573"/>
      <c r="I75" s="531"/>
      <c r="J75" s="531"/>
      <c r="K75" s="1691">
        <f>SUM(C75:J75)</f>
        <v>197849</v>
      </c>
      <c r="L75" s="576">
        <v>141342</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172231</v>
      </c>
      <c r="F79" s="617"/>
      <c r="G79" s="617"/>
      <c r="H79" s="466"/>
      <c r="I79" s="477"/>
      <c r="J79" s="477"/>
      <c r="K79" s="1692">
        <f t="shared" si="11"/>
        <v>172231</v>
      </c>
      <c r="L79" s="466">
        <v>72000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172231</v>
      </c>
      <c r="F84" s="617"/>
      <c r="G84" s="617"/>
      <c r="H84" s="1691">
        <f>SUM(H78:H83)</f>
        <v>0</v>
      </c>
      <c r="I84" s="477"/>
      <c r="J84" s="477"/>
      <c r="K84" s="1691">
        <f>SUM(K78:K83)</f>
        <v>172231</v>
      </c>
      <c r="L84" s="1691">
        <f>SUM(L78:L83)</f>
        <v>72000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c r="I86" s="477"/>
      <c r="J86" s="477"/>
      <c r="K86" s="1698">
        <f t="shared" ref="K86:K98" si="12">H86</f>
        <v>0</v>
      </c>
      <c r="L86" s="530"/>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172231</v>
      </c>
      <c r="F102" s="617"/>
      <c r="G102" s="617"/>
      <c r="H102" s="1698">
        <f>SUM(H84,H92,H100,H101)</f>
        <v>0</v>
      </c>
      <c r="I102" s="477"/>
      <c r="J102" s="477"/>
      <c r="K102" s="1698">
        <f>SUM(K84,K92,K100,K101)</f>
        <v>172231</v>
      </c>
      <c r="L102" s="1698">
        <f>SUM(L84,L92,L100,L101)</f>
        <v>72000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5000</v>
      </c>
      <c r="M113" s="614"/>
      <c r="N113" s="614"/>
    </row>
    <row r="114" spans="1:14" ht="12.75" customHeight="1" thickTop="1" thickBot="1" x14ac:dyDescent="0.25">
      <c r="A114" s="1689" t="s">
        <v>50</v>
      </c>
      <c r="B114" s="1703"/>
      <c r="C114" s="1691">
        <f>SUM(C33,C74,C75,C102,C112,C113)</f>
        <v>1739701</v>
      </c>
      <c r="D114" s="1691">
        <f t="shared" ref="D114:K114" si="13">SUM(D33,D74,D75,D102,D112,D113)</f>
        <v>328041</v>
      </c>
      <c r="E114" s="1691">
        <f t="shared" si="13"/>
        <v>650473</v>
      </c>
      <c r="F114" s="1691">
        <f t="shared" si="13"/>
        <v>289416</v>
      </c>
      <c r="G114" s="1691">
        <f t="shared" si="13"/>
        <v>0</v>
      </c>
      <c r="H114" s="1691">
        <f>SUM(H33,H74,H75,H102,H112,H113)</f>
        <v>39924</v>
      </c>
      <c r="I114" s="1691">
        <f t="shared" si="13"/>
        <v>4870</v>
      </c>
      <c r="J114" s="1691">
        <f t="shared" si="13"/>
        <v>0</v>
      </c>
      <c r="K114" s="1691">
        <f t="shared" si="13"/>
        <v>3052425</v>
      </c>
      <c r="L114" s="1691">
        <f>SUM(L33,L74,L75,L102,L112,L113)</f>
        <v>3005917</v>
      </c>
    </row>
    <row r="115" spans="1:14" ht="13.5" thickTop="1" x14ac:dyDescent="0.2">
      <c r="A115" s="2187" t="s">
        <v>1053</v>
      </c>
      <c r="B115" s="2188"/>
      <c r="C115" s="619"/>
      <c r="D115" s="619"/>
      <c r="E115" s="619"/>
      <c r="F115" s="619"/>
      <c r="G115" s="619"/>
      <c r="H115" s="619"/>
      <c r="I115" s="619"/>
      <c r="J115" s="619"/>
      <c r="K115" s="1705">
        <f>'Revenues 9-14'!C275-'Expenditures 15-22'!K114</f>
        <v>51776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64" t="s">
        <v>314</v>
      </c>
      <c r="B117" s="216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124228</v>
      </c>
      <c r="D124" s="466">
        <v>35301</v>
      </c>
      <c r="E124" s="466">
        <v>142448</v>
      </c>
      <c r="F124" s="466">
        <v>116768</v>
      </c>
      <c r="G124" s="466"/>
      <c r="H124" s="466"/>
      <c r="I124" s="467"/>
      <c r="J124" s="467"/>
      <c r="K124" s="1691">
        <f>SUM(C124:J124)</f>
        <v>418745</v>
      </c>
      <c r="L124" s="466">
        <v>399000</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124228</v>
      </c>
      <c r="D127" s="1691">
        <f t="shared" ref="D127:L127" si="14">SUM(D122:D126)</f>
        <v>35301</v>
      </c>
      <c r="E127" s="1691">
        <f t="shared" si="14"/>
        <v>142448</v>
      </c>
      <c r="F127" s="1691">
        <f t="shared" si="14"/>
        <v>116768</v>
      </c>
      <c r="G127" s="1691">
        <f t="shared" si="14"/>
        <v>0</v>
      </c>
      <c r="H127" s="1691">
        <f t="shared" si="14"/>
        <v>0</v>
      </c>
      <c r="I127" s="1691">
        <f t="shared" si="14"/>
        <v>0</v>
      </c>
      <c r="J127" s="1691">
        <f t="shared" si="14"/>
        <v>0</v>
      </c>
      <c r="K127" s="1691">
        <f t="shared" si="14"/>
        <v>418745</v>
      </c>
      <c r="L127" s="1691">
        <f t="shared" si="14"/>
        <v>399000</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124228</v>
      </c>
      <c r="D129" s="1698">
        <f t="shared" ref="D129:L129" si="15">SUM(D120,D127,D128)</f>
        <v>35301</v>
      </c>
      <c r="E129" s="1698">
        <f t="shared" si="15"/>
        <v>142448</v>
      </c>
      <c r="F129" s="1698">
        <f t="shared" si="15"/>
        <v>116768</v>
      </c>
      <c r="G129" s="1698">
        <f t="shared" si="15"/>
        <v>0</v>
      </c>
      <c r="H129" s="1698">
        <f t="shared" si="15"/>
        <v>0</v>
      </c>
      <c r="I129" s="1698">
        <f t="shared" si="15"/>
        <v>0</v>
      </c>
      <c r="J129" s="1698">
        <f t="shared" si="15"/>
        <v>0</v>
      </c>
      <c r="K129" s="1698">
        <f t="shared" si="15"/>
        <v>418745</v>
      </c>
      <c r="L129" s="1698">
        <f t="shared" si="15"/>
        <v>399000</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1955</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2500</v>
      </c>
    </row>
    <row r="151" spans="1:14" ht="12.75" customHeight="1" thickTop="1" thickBot="1" x14ac:dyDescent="0.25">
      <c r="A151" s="2176" t="s">
        <v>641</v>
      </c>
      <c r="B151" s="2177"/>
      <c r="C151" s="1691">
        <f>SUM(C129,C130,C139,C149,C150)</f>
        <v>124228</v>
      </c>
      <c r="D151" s="1691">
        <f t="shared" ref="D151:K151" si="16">SUM(D129,D130,D139,D149,D150)</f>
        <v>35301</v>
      </c>
      <c r="E151" s="1691">
        <f t="shared" si="16"/>
        <v>142448</v>
      </c>
      <c r="F151" s="1691">
        <f t="shared" si="16"/>
        <v>116768</v>
      </c>
      <c r="G151" s="1691">
        <f t="shared" si="16"/>
        <v>0</v>
      </c>
      <c r="H151" s="1691">
        <f t="shared" si="16"/>
        <v>0</v>
      </c>
      <c r="I151" s="1691">
        <f t="shared" si="16"/>
        <v>0</v>
      </c>
      <c r="J151" s="1691">
        <f t="shared" si="16"/>
        <v>0</v>
      </c>
      <c r="K151" s="1691">
        <f t="shared" si="16"/>
        <v>418745</v>
      </c>
      <c r="L151" s="1691">
        <f>SUM(L129,L130,L139,L149,L150)</f>
        <v>401500</v>
      </c>
    </row>
    <row r="152" spans="1:14" ht="12.75" customHeight="1" thickTop="1" x14ac:dyDescent="0.2">
      <c r="A152" s="2180" t="s">
        <v>1240</v>
      </c>
      <c r="B152" s="2181"/>
      <c r="C152" s="619"/>
      <c r="D152" s="619"/>
      <c r="E152" s="619"/>
      <c r="F152" s="619"/>
      <c r="G152" s="619"/>
      <c r="H152" s="619"/>
      <c r="I152" s="619"/>
      <c r="J152" s="617"/>
      <c r="K152" s="1705">
        <f>'Revenues 9-14'!D275-'Expenditures 15-22'!K151</f>
        <v>9913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64" t="s">
        <v>642</v>
      </c>
      <c r="B154" s="216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1956</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1955</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1957</v>
      </c>
      <c r="C158" s="617"/>
      <c r="D158" s="617"/>
      <c r="E158" s="617"/>
      <c r="F158" s="617"/>
      <c r="G158" s="617"/>
      <c r="H158" s="467"/>
      <c r="I158" s="617"/>
      <c r="J158" s="617"/>
      <c r="K158" s="1692">
        <f>H158</f>
        <v>0</v>
      </c>
      <c r="L158" s="467"/>
      <c r="M158" s="620"/>
      <c r="N158" s="620"/>
    </row>
    <row r="159" spans="1:14" s="621" customFormat="1" ht="12" x14ac:dyDescent="0.2">
      <c r="A159" s="1848" t="s">
        <v>1958</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1959</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1768</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87" t="s">
        <v>1053</v>
      </c>
      <c r="B175" s="2188"/>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111148</v>
      </c>
      <c r="D182" s="466">
        <v>7995</v>
      </c>
      <c r="E182" s="466">
        <v>93532</v>
      </c>
      <c r="F182" s="466">
        <v>53253</v>
      </c>
      <c r="G182" s="466"/>
      <c r="H182" s="466">
        <v>1886</v>
      </c>
      <c r="I182" s="467">
        <v>5370</v>
      </c>
      <c r="J182" s="467"/>
      <c r="K182" s="1692">
        <f>SUM(C182:J182)</f>
        <v>273184</v>
      </c>
      <c r="L182" s="466">
        <v>264090</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111148</v>
      </c>
      <c r="D184" s="1698">
        <f t="shared" ref="D184:J184" si="17">SUM(D180,D182,D183)</f>
        <v>7995</v>
      </c>
      <c r="E184" s="1698">
        <f t="shared" si="17"/>
        <v>93532</v>
      </c>
      <c r="F184" s="1698">
        <f t="shared" si="17"/>
        <v>53253</v>
      </c>
      <c r="G184" s="1698">
        <f t="shared" si="17"/>
        <v>0</v>
      </c>
      <c r="H184" s="1698">
        <f t="shared" si="17"/>
        <v>1886</v>
      </c>
      <c r="I184" s="1698">
        <f t="shared" si="17"/>
        <v>5370</v>
      </c>
      <c r="J184" s="1698">
        <f t="shared" si="17"/>
        <v>0</v>
      </c>
      <c r="K184" s="1698">
        <f>SUM(K180,K182,K183)</f>
        <v>273184</v>
      </c>
      <c r="L184" s="1698">
        <f>SUM(L180, L182:L183)</f>
        <v>264090</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1769</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2500</v>
      </c>
    </row>
    <row r="210" spans="1:14" ht="12.75" customHeight="1" thickTop="1" thickBot="1" x14ac:dyDescent="0.25">
      <c r="A210" s="1713" t="s">
        <v>295</v>
      </c>
      <c r="B210" s="1714"/>
      <c r="C210" s="1691">
        <f>SUM(C184,C185)</f>
        <v>111148</v>
      </c>
      <c r="D210" s="1691">
        <f>SUM(D184,D185)</f>
        <v>7995</v>
      </c>
      <c r="E210" s="1691">
        <f>SUM(E184,E185,E196)</f>
        <v>93532</v>
      </c>
      <c r="F210" s="1691">
        <f>SUM(F184,F185)</f>
        <v>53253</v>
      </c>
      <c r="G210" s="1691">
        <f>SUM(G184,G185)</f>
        <v>0</v>
      </c>
      <c r="H210" s="1691">
        <f>SUM(H184,H185,H196,H208,H209)</f>
        <v>1886</v>
      </c>
      <c r="I210" s="1691">
        <f>SUM(I184,I185)</f>
        <v>5370</v>
      </c>
      <c r="J210" s="1691">
        <f>SUM(J184,J185)</f>
        <v>0</v>
      </c>
      <c r="K210" s="1692">
        <f>SUM(K184,K185,K196,K208,K209)</f>
        <v>273184</v>
      </c>
      <c r="L210" s="1691">
        <f>SUM(L184,L185,L196,L208,L209)</f>
        <v>266590</v>
      </c>
    </row>
    <row r="211" spans="1:14" ht="13.5" thickTop="1" x14ac:dyDescent="0.2">
      <c r="A211" s="2187" t="s">
        <v>1053</v>
      </c>
      <c r="B211" s="2188"/>
      <c r="C211" s="619"/>
      <c r="D211" s="619"/>
      <c r="E211" s="619"/>
      <c r="F211" s="619"/>
      <c r="G211" s="619"/>
      <c r="H211" s="619"/>
      <c r="I211" s="617"/>
      <c r="J211" s="617"/>
      <c r="K211" s="1705">
        <f>'Revenues 9-14'!F275-'Expenditures 15-22'!K210</f>
        <v>56405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2" t="s">
        <v>1022</v>
      </c>
      <c r="B213" s="218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11330</v>
      </c>
      <c r="E215" s="617"/>
      <c r="F215" s="617"/>
      <c r="G215" s="617"/>
      <c r="H215" s="617"/>
      <c r="I215" s="617"/>
      <c r="J215" s="617"/>
      <c r="K215" s="1692">
        <f>D215</f>
        <v>11330</v>
      </c>
      <c r="L215" s="466">
        <v>26010</v>
      </c>
    </row>
    <row r="216" spans="1:14" x14ac:dyDescent="0.2">
      <c r="A216" s="1526" t="s">
        <v>165</v>
      </c>
      <c r="B216" s="615" t="s">
        <v>1024</v>
      </c>
      <c r="C216" s="617"/>
      <c r="D216" s="467">
        <v>6715</v>
      </c>
      <c r="E216" s="617"/>
      <c r="F216" s="617"/>
      <c r="G216" s="617"/>
      <c r="H216" s="617"/>
      <c r="I216" s="617"/>
      <c r="J216" s="617"/>
      <c r="K216" s="1692">
        <f t="shared" ref="K216:K228" si="19">D216</f>
        <v>6715</v>
      </c>
      <c r="L216" s="466">
        <v>3550</v>
      </c>
    </row>
    <row r="217" spans="1:14" x14ac:dyDescent="0.2">
      <c r="A217" s="1526" t="s">
        <v>166</v>
      </c>
      <c r="B217" s="615">
        <v>1200</v>
      </c>
      <c r="C217" s="617"/>
      <c r="D217" s="466">
        <v>1454</v>
      </c>
      <c r="E217" s="617"/>
      <c r="F217" s="617"/>
      <c r="G217" s="617"/>
      <c r="H217" s="617"/>
      <c r="I217" s="617"/>
      <c r="J217" s="617"/>
      <c r="K217" s="1692">
        <f t="shared" si="19"/>
        <v>1454</v>
      </c>
      <c r="L217" s="466">
        <v>2550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5453</v>
      </c>
      <c r="E219" s="617"/>
      <c r="F219" s="617"/>
      <c r="G219" s="617"/>
      <c r="H219" s="617"/>
      <c r="I219" s="617"/>
      <c r="J219" s="617"/>
      <c r="K219" s="1692">
        <f t="shared" si="19"/>
        <v>5453</v>
      </c>
      <c r="L219" s="466">
        <v>10500</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c r="E222" s="617"/>
      <c r="F222" s="617"/>
      <c r="G222" s="617"/>
      <c r="H222" s="617"/>
      <c r="I222" s="617"/>
      <c r="J222" s="617"/>
      <c r="K222" s="1692">
        <f t="shared" si="19"/>
        <v>0</v>
      </c>
      <c r="L222" s="466"/>
    </row>
    <row r="223" spans="1:14" x14ac:dyDescent="0.2">
      <c r="A223" s="1526" t="s">
        <v>1020</v>
      </c>
      <c r="B223" s="615">
        <v>1500</v>
      </c>
      <c r="C223" s="617"/>
      <c r="D223" s="466"/>
      <c r="E223" s="617"/>
      <c r="F223" s="617"/>
      <c r="G223" s="617"/>
      <c r="H223" s="617"/>
      <c r="I223" s="617"/>
      <c r="J223" s="617"/>
      <c r="K223" s="1692">
        <f t="shared" si="19"/>
        <v>0</v>
      </c>
      <c r="L223" s="466"/>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c r="E226" s="617"/>
      <c r="F226" s="617"/>
      <c r="G226" s="617"/>
      <c r="H226" s="617"/>
      <c r="I226" s="617"/>
      <c r="J226" s="617"/>
      <c r="K226" s="1692">
        <f t="shared" si="19"/>
        <v>0</v>
      </c>
      <c r="L226" s="466"/>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24952</v>
      </c>
      <c r="E229" s="617"/>
      <c r="F229" s="617"/>
      <c r="G229" s="617"/>
      <c r="H229" s="617"/>
      <c r="I229" s="617"/>
      <c r="J229" s="617"/>
      <c r="K229" s="1691">
        <f>SUM(K215:K228)</f>
        <v>24952</v>
      </c>
      <c r="L229" s="1691">
        <f>SUM(L215:L228)</f>
        <v>42610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306</v>
      </c>
      <c r="E232" s="617"/>
      <c r="F232" s="617"/>
      <c r="G232" s="617"/>
      <c r="H232" s="617"/>
      <c r="I232" s="617"/>
      <c r="J232" s="617"/>
      <c r="K232" s="1692">
        <f t="shared" ref="K232:K237" si="20">D232</f>
        <v>306</v>
      </c>
      <c r="L232" s="466"/>
    </row>
    <row r="233" spans="1:12" x14ac:dyDescent="0.2">
      <c r="A233" s="1526" t="s">
        <v>1151</v>
      </c>
      <c r="B233" s="615">
        <v>2120</v>
      </c>
      <c r="C233" s="617"/>
      <c r="D233" s="466"/>
      <c r="E233" s="617"/>
      <c r="F233" s="617"/>
      <c r="G233" s="617"/>
      <c r="H233" s="617"/>
      <c r="I233" s="617"/>
      <c r="J233" s="617"/>
      <c r="K233" s="1692">
        <f t="shared" si="20"/>
        <v>0</v>
      </c>
      <c r="L233" s="466"/>
    </row>
    <row r="234" spans="1:12" x14ac:dyDescent="0.2">
      <c r="A234" s="1526" t="s">
        <v>207</v>
      </c>
      <c r="B234" s="615">
        <v>2130</v>
      </c>
      <c r="C234" s="617"/>
      <c r="D234" s="466">
        <v>1983</v>
      </c>
      <c r="E234" s="617"/>
      <c r="F234" s="617"/>
      <c r="G234" s="617"/>
      <c r="H234" s="617"/>
      <c r="I234" s="617"/>
      <c r="J234" s="617"/>
      <c r="K234" s="1692">
        <f t="shared" si="20"/>
        <v>1983</v>
      </c>
      <c r="L234" s="466">
        <v>1550</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2289</v>
      </c>
      <c r="E238" s="617"/>
      <c r="F238" s="617"/>
      <c r="G238" s="617"/>
      <c r="H238" s="617"/>
      <c r="I238" s="617"/>
      <c r="J238" s="617"/>
      <c r="K238" s="1691">
        <f>SUM(K232:K237)</f>
        <v>2289</v>
      </c>
      <c r="L238" s="1691">
        <f>SUM(L232:L237)</f>
        <v>1550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386</v>
      </c>
      <c r="E240" s="617"/>
      <c r="F240" s="617"/>
      <c r="G240" s="617"/>
      <c r="H240" s="617"/>
      <c r="I240" s="617"/>
      <c r="J240" s="617"/>
      <c r="K240" s="1693">
        <f>D240</f>
        <v>386</v>
      </c>
      <c r="L240" s="481"/>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386</v>
      </c>
      <c r="E243" s="617"/>
      <c r="F243" s="617"/>
      <c r="G243" s="617"/>
      <c r="H243" s="617"/>
      <c r="I243" s="617"/>
      <c r="J243" s="617"/>
      <c r="K243" s="1691">
        <f>SUM(K240:K242)</f>
        <v>386</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426</v>
      </c>
      <c r="E245" s="617"/>
      <c r="F245" s="617"/>
      <c r="G245" s="617"/>
      <c r="H245" s="617"/>
      <c r="I245" s="617"/>
      <c r="J245" s="617"/>
      <c r="K245" s="1693">
        <f>D245</f>
        <v>426</v>
      </c>
      <c r="L245" s="481"/>
    </row>
    <row r="246" spans="1:12" x14ac:dyDescent="0.2">
      <c r="A246" s="1526" t="s">
        <v>872</v>
      </c>
      <c r="B246" s="615">
        <v>2320</v>
      </c>
      <c r="C246" s="617"/>
      <c r="D246" s="466">
        <v>5436</v>
      </c>
      <c r="E246" s="617"/>
      <c r="F246" s="617"/>
      <c r="G246" s="617"/>
      <c r="H246" s="617"/>
      <c r="I246" s="617"/>
      <c r="J246" s="617"/>
      <c r="K246" s="1693">
        <f t="shared" ref="K246:K256" si="21">D246</f>
        <v>5436</v>
      </c>
      <c r="L246" s="466">
        <v>2000</v>
      </c>
    </row>
    <row r="247" spans="1:12" x14ac:dyDescent="0.2">
      <c r="A247" s="1526" t="s">
        <v>873</v>
      </c>
      <c r="B247" s="615">
        <v>2330</v>
      </c>
      <c r="C247" s="617"/>
      <c r="D247" s="466">
        <v>1128</v>
      </c>
      <c r="E247" s="617"/>
      <c r="F247" s="617"/>
      <c r="G247" s="617"/>
      <c r="H247" s="617"/>
      <c r="I247" s="617"/>
      <c r="J247" s="617"/>
      <c r="K247" s="1693">
        <f t="shared" si="21"/>
        <v>1128</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1907</v>
      </c>
      <c r="B249" s="684" t="s">
        <v>300</v>
      </c>
      <c r="C249" s="617"/>
      <c r="D249" s="474"/>
      <c r="E249" s="617"/>
      <c r="F249" s="617"/>
      <c r="G249" s="617"/>
      <c r="H249" s="617"/>
      <c r="I249" s="617"/>
      <c r="J249" s="617"/>
      <c r="K249" s="1693">
        <f t="shared" si="21"/>
        <v>0</v>
      </c>
      <c r="L249" s="466"/>
    </row>
    <row r="250" spans="1:12" x14ac:dyDescent="0.2">
      <c r="A250" s="1527" t="s">
        <v>1908</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6990</v>
      </c>
      <c r="E257" s="617"/>
      <c r="F257" s="617"/>
      <c r="G257" s="617"/>
      <c r="H257" s="617"/>
      <c r="I257" s="617"/>
      <c r="J257" s="617"/>
      <c r="K257" s="1691">
        <f>SUM(K245:K256)</f>
        <v>6990</v>
      </c>
      <c r="L257" s="1691">
        <f>SUM(L245:L256)</f>
        <v>2000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2040</v>
      </c>
      <c r="E259" s="617"/>
      <c r="F259" s="617"/>
      <c r="G259" s="617"/>
      <c r="H259" s="617"/>
      <c r="I259" s="617"/>
      <c r="J259" s="617"/>
      <c r="K259" s="1693">
        <f>D259</f>
        <v>2040</v>
      </c>
      <c r="L259" s="481">
        <v>2000</v>
      </c>
    </row>
    <row r="260" spans="1:14" s="598" customFormat="1" x14ac:dyDescent="0.2">
      <c r="A260" s="1544" t="s">
        <v>1906</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2040</v>
      </c>
      <c r="E261" s="617"/>
      <c r="F261" s="617"/>
      <c r="G261" s="617"/>
      <c r="H261" s="617"/>
      <c r="I261" s="617"/>
      <c r="J261" s="617"/>
      <c r="K261" s="1691">
        <f>SUM(K259:K260)</f>
        <v>2040</v>
      </c>
      <c r="L261" s="1691">
        <f>SUM(L259:L260)</f>
        <v>2000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3">
        <f>D263</f>
        <v>0</v>
      </c>
      <c r="L263" s="481"/>
    </row>
    <row r="264" spans="1:14" x14ac:dyDescent="0.2">
      <c r="A264" s="1526" t="s">
        <v>483</v>
      </c>
      <c r="B264" s="686">
        <v>2520</v>
      </c>
      <c r="C264" s="617"/>
      <c r="D264" s="466"/>
      <c r="E264" s="617"/>
      <c r="F264" s="617"/>
      <c r="G264" s="617"/>
      <c r="H264" s="617"/>
      <c r="I264" s="617"/>
      <c r="J264" s="617"/>
      <c r="K264" s="1693">
        <f t="shared" ref="K264:K269" si="22">D264</f>
        <v>0</v>
      </c>
      <c r="L264" s="466"/>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11460</v>
      </c>
      <c r="E266" s="617"/>
      <c r="F266" s="617"/>
      <c r="G266" s="617"/>
      <c r="H266" s="617"/>
      <c r="I266" s="617"/>
      <c r="J266" s="617"/>
      <c r="K266" s="1693">
        <f t="shared" si="22"/>
        <v>11460</v>
      </c>
      <c r="L266" s="466">
        <v>11600</v>
      </c>
    </row>
    <row r="267" spans="1:14" x14ac:dyDescent="0.2">
      <c r="A267" s="1526" t="s">
        <v>1010</v>
      </c>
      <c r="B267" s="615">
        <v>2550</v>
      </c>
      <c r="C267" s="617"/>
      <c r="D267" s="466">
        <v>8936</v>
      </c>
      <c r="E267" s="617"/>
      <c r="F267" s="617"/>
      <c r="G267" s="617"/>
      <c r="H267" s="617"/>
      <c r="I267" s="617"/>
      <c r="J267" s="617"/>
      <c r="K267" s="1693">
        <f t="shared" si="22"/>
        <v>8936</v>
      </c>
      <c r="L267" s="466">
        <v>10200</v>
      </c>
    </row>
    <row r="268" spans="1:14" x14ac:dyDescent="0.2">
      <c r="A268" s="1526" t="s">
        <v>102</v>
      </c>
      <c r="B268" s="615">
        <v>2560</v>
      </c>
      <c r="C268" s="617"/>
      <c r="D268" s="466">
        <v>4910</v>
      </c>
      <c r="E268" s="617"/>
      <c r="F268" s="617"/>
      <c r="G268" s="617"/>
      <c r="H268" s="617"/>
      <c r="I268" s="617"/>
      <c r="J268" s="617"/>
      <c r="K268" s="1693">
        <f t="shared" si="22"/>
        <v>4910</v>
      </c>
      <c r="L268" s="466">
        <v>3500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25306</v>
      </c>
      <c r="E270" s="617"/>
      <c r="F270" s="617"/>
      <c r="G270" s="617"/>
      <c r="H270" s="617"/>
      <c r="I270" s="617"/>
      <c r="J270" s="617"/>
      <c r="K270" s="1691">
        <f>SUM(K263:K269)</f>
        <v>25306</v>
      </c>
      <c r="L270" s="1691">
        <f>SUM(L263:L269)</f>
        <v>25300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2" t="s">
        <v>1037</v>
      </c>
      <c r="B278" s="656" t="s">
        <v>595</v>
      </c>
      <c r="C278" s="617"/>
      <c r="D278" s="657">
        <v>281</v>
      </c>
      <c r="E278" s="617"/>
      <c r="F278" s="617"/>
      <c r="G278" s="617"/>
      <c r="H278" s="617"/>
      <c r="I278" s="617"/>
      <c r="J278" s="617"/>
      <c r="K278" s="1706">
        <f>D278</f>
        <v>281</v>
      </c>
      <c r="L278" s="657"/>
    </row>
    <row r="279" spans="1:12" ht="12.75" customHeight="1" thickBot="1" x14ac:dyDescent="0.25">
      <c r="A279" s="1719" t="s">
        <v>865</v>
      </c>
      <c r="B279" s="1702">
        <v>2000</v>
      </c>
      <c r="C279" s="617"/>
      <c r="D279" s="1698">
        <f>SUM(D238,D243,D257,D261,D270,D277,D278)</f>
        <v>37292</v>
      </c>
      <c r="E279" s="617"/>
      <c r="F279" s="617"/>
      <c r="G279" s="617"/>
      <c r="H279" s="617"/>
      <c r="I279" s="617"/>
      <c r="J279" s="617"/>
      <c r="K279" s="1698">
        <f>SUM(K238,K243,K257,K261,K270,K277,K278)</f>
        <v>37292</v>
      </c>
      <c r="L279" s="1698">
        <f>SUM(L238,L243,L257,L261,L270,L277,L278)</f>
        <v>30850</v>
      </c>
    </row>
    <row r="280" spans="1:12" ht="15.75" customHeight="1" thickTop="1" thickBot="1" x14ac:dyDescent="0.25">
      <c r="A280" s="1646" t="s">
        <v>930</v>
      </c>
      <c r="B280" s="1635">
        <v>3000</v>
      </c>
      <c r="C280" s="617"/>
      <c r="D280" s="576">
        <v>12898</v>
      </c>
      <c r="E280" s="617"/>
      <c r="F280" s="617"/>
      <c r="G280" s="617"/>
      <c r="H280" s="617"/>
      <c r="I280" s="617"/>
      <c r="J280" s="617"/>
      <c r="K280" s="1700">
        <f>D280</f>
        <v>12898</v>
      </c>
      <c r="L280" s="576">
        <v>11200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1955</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1500</v>
      </c>
    </row>
    <row r="295" spans="1:14" ht="12.75" customHeight="1" thickTop="1" thickBot="1" x14ac:dyDescent="0.25">
      <c r="A295" s="2178" t="s">
        <v>526</v>
      </c>
      <c r="B295" s="2179"/>
      <c r="C295" s="617"/>
      <c r="D295" s="1691">
        <f>SUM(D229,D279,D280,D285)</f>
        <v>75142</v>
      </c>
      <c r="E295" s="617"/>
      <c r="F295" s="617"/>
      <c r="G295" s="617"/>
      <c r="H295" s="1691">
        <f>H293</f>
        <v>0</v>
      </c>
      <c r="I295" s="617"/>
      <c r="J295" s="617"/>
      <c r="K295" s="1691">
        <f>SUM(K229,K279,K280,K285,K293,K294)</f>
        <v>75142</v>
      </c>
      <c r="L295" s="1691">
        <f>SUM(L229,L279,L280,L285,L293,L294)</f>
        <v>86160</v>
      </c>
    </row>
    <row r="296" spans="1:14" ht="13.5" thickTop="1" x14ac:dyDescent="0.2">
      <c r="A296" s="2187" t="s">
        <v>1053</v>
      </c>
      <c r="B296" s="2188"/>
      <c r="C296" s="617"/>
      <c r="D296" s="619"/>
      <c r="E296" s="617"/>
      <c r="F296" s="617"/>
      <c r="G296" s="617"/>
      <c r="H296" s="688"/>
      <c r="I296" s="617"/>
      <c r="J296" s="617"/>
      <c r="K296" s="1705">
        <f>'Revenues 9-14'!G275-'Expenditures 15-22'!K295</f>
        <v>977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69" t="s">
        <v>145</v>
      </c>
      <c r="B298" s="216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2">
        <f>SUM(C301:J301)</f>
        <v>0</v>
      </c>
      <c r="L301" s="467"/>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74" t="s">
        <v>295</v>
      </c>
      <c r="B312" s="2175"/>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70" t="s">
        <v>1053</v>
      </c>
      <c r="B313" s="2171"/>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84" t="s">
        <v>151</v>
      </c>
      <c r="B315" s="218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86" t="s">
        <v>954</v>
      </c>
      <c r="B317" s="218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1907</v>
      </c>
      <c r="B320" s="699" t="s">
        <v>300</v>
      </c>
      <c r="C320" s="467"/>
      <c r="D320" s="467"/>
      <c r="E320" s="467">
        <v>115890</v>
      </c>
      <c r="F320" s="467"/>
      <c r="G320" s="467"/>
      <c r="H320" s="467"/>
      <c r="I320" s="467"/>
      <c r="J320" s="467"/>
      <c r="K320" s="1692">
        <f t="shared" ref="K320:K327" si="24">SUM(C320:J320)</f>
        <v>115890</v>
      </c>
      <c r="L320" s="467"/>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34379</v>
      </c>
      <c r="F322" s="467"/>
      <c r="G322" s="467"/>
      <c r="H322" s="467"/>
      <c r="I322" s="467"/>
      <c r="J322" s="467"/>
      <c r="K322" s="1692">
        <f t="shared" si="24"/>
        <v>34379</v>
      </c>
      <c r="L322" s="467">
        <v>49500</v>
      </c>
      <c r="M322" s="666"/>
      <c r="N322" s="666"/>
    </row>
    <row r="323" spans="1:14" s="675" customFormat="1" x14ac:dyDescent="0.2">
      <c r="A323" s="1541"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9784</v>
      </c>
      <c r="F327" s="467"/>
      <c r="G327" s="467"/>
      <c r="H327" s="467"/>
      <c r="I327" s="467"/>
      <c r="J327" s="467"/>
      <c r="K327" s="1692">
        <f t="shared" si="24"/>
        <v>9784</v>
      </c>
      <c r="L327" s="467">
        <v>2500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160053</v>
      </c>
      <c r="F330" s="1691">
        <f t="shared" si="25"/>
        <v>0</v>
      </c>
      <c r="G330" s="1691">
        <f t="shared" si="25"/>
        <v>0</v>
      </c>
      <c r="H330" s="1691">
        <f t="shared" si="25"/>
        <v>0</v>
      </c>
      <c r="I330" s="1691">
        <f t="shared" si="25"/>
        <v>0</v>
      </c>
      <c r="J330" s="1691">
        <f t="shared" si="25"/>
        <v>0</v>
      </c>
      <c r="K330" s="1691">
        <f>SUM(K319:K329)</f>
        <v>160053</v>
      </c>
      <c r="L330" s="1691">
        <f>SUM(L319:L329)</f>
        <v>52000</v>
      </c>
      <c r="M330" s="666"/>
      <c r="N330" s="666"/>
    </row>
    <row r="331" spans="1:14" s="675" customFormat="1" ht="12.75" customHeight="1" thickTop="1" x14ac:dyDescent="0.2">
      <c r="A331" s="1853" t="s">
        <v>1961</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1955</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1957</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1962</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1800</v>
      </c>
    </row>
    <row r="342" spans="1:14" ht="12.75" customHeight="1" thickTop="1" thickBot="1" x14ac:dyDescent="0.25">
      <c r="A342" s="1707" t="s">
        <v>526</v>
      </c>
      <c r="B342" s="1722"/>
      <c r="C342" s="1691">
        <f>SUM(C330)</f>
        <v>0</v>
      </c>
      <c r="D342" s="1691">
        <f>SUM(D330)</f>
        <v>0</v>
      </c>
      <c r="E342" s="1691">
        <f>SUM(E330)</f>
        <v>160053</v>
      </c>
      <c r="F342" s="1691">
        <f>SUM(F330)</f>
        <v>0</v>
      </c>
      <c r="G342" s="1691">
        <f>SUM(G330)</f>
        <v>0</v>
      </c>
      <c r="H342" s="1691">
        <f>SUM(H330,H334,H340)</f>
        <v>0</v>
      </c>
      <c r="I342" s="1691">
        <f>SUM(I330)</f>
        <v>0</v>
      </c>
      <c r="J342" s="1691">
        <f>SUM(J330)</f>
        <v>0</v>
      </c>
      <c r="K342" s="1691">
        <f>SUM(K330,K334,K340)</f>
        <v>160053</v>
      </c>
      <c r="L342" s="1698">
        <f>SUM(L330,L340,L341)</f>
        <v>53800</v>
      </c>
    </row>
    <row r="343" spans="1:14" ht="12.75" customHeight="1" thickTop="1" x14ac:dyDescent="0.2">
      <c r="A343" s="2172" t="s">
        <v>1053</v>
      </c>
      <c r="B343" s="2173"/>
      <c r="C343" s="617"/>
      <c r="D343" s="617"/>
      <c r="E343" s="617"/>
      <c r="F343" s="617"/>
      <c r="G343" s="617"/>
      <c r="H343" s="617"/>
      <c r="I343" s="617"/>
      <c r="J343" s="617"/>
      <c r="K343" s="1705">
        <f>'Revenues 9-14'!J275-'Expenditures 15-22'!K342</f>
        <v>42746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2" t="s">
        <v>1023</v>
      </c>
      <c r="B345" s="216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1963</v>
      </c>
      <c r="B354" s="684" t="s">
        <v>1955</v>
      </c>
      <c r="C354" s="617"/>
      <c r="D354" s="617"/>
      <c r="E354" s="617"/>
      <c r="F354" s="617"/>
      <c r="G354" s="617"/>
      <c r="H354" s="474"/>
      <c r="I354" s="702"/>
      <c r="J354" s="617"/>
      <c r="K354" s="1720">
        <f>H354</f>
        <v>0</v>
      </c>
      <c r="L354" s="471"/>
    </row>
    <row r="355" spans="1:14" ht="12.75" customHeight="1" x14ac:dyDescent="0.2">
      <c r="A355" s="1535" t="s">
        <v>1964</v>
      </c>
      <c r="B355" s="691" t="s">
        <v>1957</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87" t="s">
        <v>1053</v>
      </c>
      <c r="B368" s="2188"/>
      <c r="C368" s="655"/>
      <c r="D368" s="655"/>
      <c r="E368" s="627"/>
      <c r="F368" s="627"/>
      <c r="G368" s="627"/>
      <c r="H368" s="627"/>
      <c r="I368" s="627"/>
      <c r="J368" s="624"/>
      <c r="K368" s="1692">
        <f>'Revenues 9-14'!K275-'Expenditures 15-22'!K367</f>
        <v>6416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1904</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1759</v>
      </c>
      <c r="B5" s="547"/>
      <c r="C5" s="481">
        <v>142629</v>
      </c>
      <c r="D5" s="481">
        <v>32129</v>
      </c>
      <c r="E5" s="466"/>
      <c r="F5" s="548">
        <v>15410</v>
      </c>
      <c r="G5" s="466">
        <v>33626</v>
      </c>
      <c r="H5" s="466"/>
      <c r="I5" s="466">
        <v>6416</v>
      </c>
      <c r="J5" s="467">
        <v>42799</v>
      </c>
      <c r="K5" s="466">
        <v>6416</v>
      </c>
    </row>
    <row r="6" spans="1:12" ht="15" x14ac:dyDescent="0.2">
      <c r="A6" s="463" t="s">
        <v>1760</v>
      </c>
      <c r="B6" s="470">
        <v>1130</v>
      </c>
      <c r="C6" s="466">
        <v>6416</v>
      </c>
      <c r="D6" s="466"/>
      <c r="E6" s="475"/>
      <c r="F6" s="475"/>
      <c r="G6" s="468"/>
      <c r="H6" s="468"/>
      <c r="I6" s="468"/>
      <c r="J6" s="468"/>
      <c r="K6" s="468"/>
    </row>
    <row r="7" spans="1:12" x14ac:dyDescent="0.2">
      <c r="A7" s="463" t="s">
        <v>112</v>
      </c>
      <c r="B7" s="549">
        <v>1140</v>
      </c>
      <c r="C7" s="466">
        <v>2566</v>
      </c>
      <c r="D7" s="466"/>
      <c r="E7" s="468"/>
      <c r="F7" s="467"/>
      <c r="G7" s="467"/>
      <c r="H7" s="467"/>
      <c r="I7" s="468"/>
      <c r="J7" s="468"/>
      <c r="K7" s="468"/>
    </row>
    <row r="8" spans="1:12" x14ac:dyDescent="0.2">
      <c r="A8" s="463" t="s">
        <v>433</v>
      </c>
      <c r="B8" s="470">
        <v>1150</v>
      </c>
      <c r="C8" s="475"/>
      <c r="D8" s="475"/>
      <c r="E8" s="477"/>
      <c r="F8" s="477"/>
      <c r="G8" s="481">
        <v>42493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151611</v>
      </c>
      <c r="D12" s="1728">
        <f t="shared" si="0"/>
        <v>32129</v>
      </c>
      <c r="E12" s="1728">
        <f t="shared" si="0"/>
        <v>0</v>
      </c>
      <c r="F12" s="1728">
        <f t="shared" si="0"/>
        <v>15410</v>
      </c>
      <c r="G12" s="1728">
        <f t="shared" si="0"/>
        <v>76119</v>
      </c>
      <c r="H12" s="1728">
        <f t="shared" si="0"/>
        <v>0</v>
      </c>
      <c r="I12" s="1728">
        <f t="shared" si="0"/>
        <v>6416</v>
      </c>
      <c r="J12" s="1728">
        <f t="shared" si="0"/>
        <v>42799</v>
      </c>
      <c r="K12" s="1709">
        <f t="shared" si="0"/>
        <v>6416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c r="D16" s="466">
        <v>39214</v>
      </c>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39214</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119</v>
      </c>
      <c r="D65" s="466">
        <v>3</v>
      </c>
      <c r="E65" s="466"/>
      <c r="F65" s="467">
        <v>1</v>
      </c>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119</v>
      </c>
      <c r="D67" s="1709">
        <f t="shared" ref="D67:K67" si="2">SUM(D65:D66)</f>
        <v>3</v>
      </c>
      <c r="E67" s="1709">
        <f t="shared" si="2"/>
        <v>0</v>
      </c>
      <c r="F67" s="1709">
        <f t="shared" si="2"/>
        <v>1</v>
      </c>
      <c r="G67" s="1709">
        <f t="shared" si="2"/>
        <v>0</v>
      </c>
      <c r="H67" s="1709">
        <f t="shared" si="2"/>
        <v>0</v>
      </c>
      <c r="I67" s="1709">
        <f t="shared" si="2"/>
        <v>0</v>
      </c>
      <c r="J67" s="1709">
        <f t="shared" si="2"/>
        <v>0</v>
      </c>
      <c r="K67" s="1709">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483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483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986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1740</v>
      </c>
      <c r="D79" s="466"/>
      <c r="E79" s="468"/>
      <c r="F79" s="468"/>
      <c r="G79" s="468"/>
      <c r="H79" s="468"/>
      <c r="I79" s="468"/>
      <c r="J79" s="468"/>
      <c r="K79" s="468"/>
    </row>
    <row r="80" spans="1:11" ht="12.75" customHeight="1" x14ac:dyDescent="0.2">
      <c r="A80" s="463" t="s">
        <v>572</v>
      </c>
      <c r="B80" s="470">
        <v>1730</v>
      </c>
      <c r="C80" s="551">
        <v>170</v>
      </c>
      <c r="D80" s="466"/>
      <c r="E80" s="468"/>
      <c r="F80" s="468"/>
      <c r="G80" s="468"/>
      <c r="H80" s="468"/>
      <c r="I80" s="468"/>
      <c r="J80" s="468"/>
      <c r="K80" s="468"/>
    </row>
    <row r="81" spans="1:11" ht="12.75" customHeight="1" x14ac:dyDescent="0.2">
      <c r="A81" s="463" t="s">
        <v>26</v>
      </c>
      <c r="B81" s="470">
        <v>1790</v>
      </c>
      <c r="C81" s="551">
        <v>60</v>
      </c>
      <c r="D81" s="466"/>
      <c r="E81" s="468"/>
      <c r="F81" s="468"/>
      <c r="G81" s="468"/>
      <c r="H81" s="468"/>
      <c r="I81" s="468"/>
      <c r="J81" s="468"/>
      <c r="K81" s="468"/>
    </row>
    <row r="82" spans="1:11" ht="12.75" customHeight="1" thickBot="1" x14ac:dyDescent="0.25">
      <c r="A82" s="1729" t="s">
        <v>259</v>
      </c>
      <c r="B82" s="1730"/>
      <c r="C82" s="1728">
        <f>SUM(C77:C81)</f>
        <v>2956</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60000</v>
      </c>
      <c r="D95" s="551"/>
      <c r="E95" s="521"/>
      <c r="F95" s="521"/>
      <c r="G95" s="521"/>
      <c r="H95" s="521"/>
      <c r="I95" s="521"/>
      <c r="J95" s="521"/>
      <c r="K95" s="521"/>
    </row>
    <row r="96" spans="1:11" ht="12.75" customHeight="1" x14ac:dyDescent="0.2">
      <c r="A96" s="463" t="s">
        <v>409</v>
      </c>
      <c r="B96" s="470">
        <v>1920</v>
      </c>
      <c r="C96" s="551">
        <v>37404</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10680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2275</v>
      </c>
      <c r="D106" s="489"/>
      <c r="E106" s="467"/>
      <c r="F106" s="467"/>
      <c r="G106" s="467"/>
      <c r="H106" s="467"/>
      <c r="I106" s="521"/>
      <c r="J106" s="467"/>
      <c r="K106" s="467"/>
    </row>
    <row r="107" spans="1:12" ht="12.75" customHeight="1" x14ac:dyDescent="0.2">
      <c r="A107" s="463" t="s">
        <v>80</v>
      </c>
      <c r="B107" s="470">
        <v>1999</v>
      </c>
      <c r="C107" s="551">
        <v>62932</v>
      </c>
      <c r="D107" s="466">
        <v>7141</v>
      </c>
      <c r="E107" s="466"/>
      <c r="F107" s="466"/>
      <c r="G107" s="466"/>
      <c r="H107" s="466"/>
      <c r="I107" s="466"/>
      <c r="J107" s="467"/>
      <c r="K107" s="466"/>
    </row>
    <row r="108" spans="1:12" ht="12.75" customHeight="1" thickBot="1" x14ac:dyDescent="0.25">
      <c r="A108" s="1729" t="s">
        <v>508</v>
      </c>
      <c r="B108" s="1733"/>
      <c r="C108" s="1728">
        <f>SUM(C95:C107)</f>
        <v>173291</v>
      </c>
      <c r="D108" s="1728">
        <f t="shared" ref="D108:K108" si="3">SUM(D95:D107)</f>
        <v>7141</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328460</v>
      </c>
      <c r="D109" s="1736">
        <f t="shared" si="4"/>
        <v>78487</v>
      </c>
      <c r="E109" s="1736">
        <f t="shared" si="4"/>
        <v>0</v>
      </c>
      <c r="F109" s="1736">
        <f t="shared" si="4"/>
        <v>15411</v>
      </c>
      <c r="G109" s="1736">
        <f t="shared" si="4"/>
        <v>76119</v>
      </c>
      <c r="H109" s="1736">
        <f t="shared" si="4"/>
        <v>0</v>
      </c>
      <c r="I109" s="1736">
        <f t="shared" si="4"/>
        <v>6416</v>
      </c>
      <c r="J109" s="1736">
        <f t="shared" si="4"/>
        <v>42799</v>
      </c>
      <c r="K109" s="1723">
        <f t="shared" si="4"/>
        <v>6416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1765</v>
      </c>
      <c r="B117" s="562">
        <v>3001</v>
      </c>
      <c r="C117" s="516">
        <v>1526395</v>
      </c>
      <c r="D117" s="481">
        <v>350171</v>
      </c>
      <c r="E117" s="466"/>
      <c r="F117" s="481">
        <v>85512</v>
      </c>
      <c r="G117" s="481"/>
      <c r="H117" s="466"/>
      <c r="I117" s="468"/>
      <c r="J117" s="467">
        <v>160000</v>
      </c>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1526395</v>
      </c>
      <c r="D121" s="1728">
        <f t="shared" si="5"/>
        <v>350171</v>
      </c>
      <c r="E121" s="1728">
        <f t="shared" si="5"/>
        <v>0</v>
      </c>
      <c r="F121" s="1728">
        <f t="shared" si="5"/>
        <v>85512</v>
      </c>
      <c r="G121" s="1728">
        <f t="shared" si="5"/>
        <v>0</v>
      </c>
      <c r="H121" s="1728">
        <f t="shared" si="5"/>
        <v>0</v>
      </c>
      <c r="I121" s="468"/>
      <c r="J121" s="1728">
        <f>SUM(J117:J120)</f>
        <v>160000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46264</v>
      </c>
      <c r="D124" s="561"/>
      <c r="E124" s="468"/>
      <c r="F124" s="548"/>
      <c r="G124" s="468"/>
      <c r="H124" s="468"/>
      <c r="I124" s="468"/>
      <c r="J124" s="468"/>
      <c r="K124" s="468"/>
    </row>
    <row r="125" spans="1:11" ht="12.75" customHeight="1" x14ac:dyDescent="0.2">
      <c r="A125" s="463" t="s">
        <v>1521</v>
      </c>
      <c r="B125" s="562">
        <v>3105</v>
      </c>
      <c r="C125" s="466">
        <v>19054</v>
      </c>
      <c r="D125" s="561"/>
      <c r="E125" s="468"/>
      <c r="F125" s="466"/>
      <c r="G125" s="468"/>
      <c r="H125" s="468"/>
      <c r="I125" s="468"/>
      <c r="J125" s="468"/>
      <c r="K125" s="468"/>
    </row>
    <row r="126" spans="1:11" ht="12.75" customHeight="1" x14ac:dyDescent="0.2">
      <c r="A126" s="463" t="s">
        <v>922</v>
      </c>
      <c r="B126" s="562">
        <v>3110</v>
      </c>
      <c r="C126" s="551">
        <v>32484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4370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102172</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4138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207371</v>
      </c>
      <c r="G151" s="467"/>
      <c r="H151" s="468"/>
      <c r="I151" s="468"/>
      <c r="J151" s="468"/>
      <c r="K151" s="468"/>
    </row>
    <row r="152" spans="1:11" ht="12.75" customHeight="1" x14ac:dyDescent="0.2">
      <c r="A152" s="463" t="s">
        <v>1117</v>
      </c>
      <c r="B152" s="562">
        <v>3510</v>
      </c>
      <c r="C152" s="551"/>
      <c r="D152" s="466"/>
      <c r="E152" s="561"/>
      <c r="F152" s="466">
        <v>21295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228666</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513368</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89" t="s">
        <v>418</v>
      </c>
      <c r="B172" s="2190"/>
      <c r="C172" s="1743">
        <f t="shared" ref="C172:K172" si="6">SUM(C131,C140,C144,C145:C149,C154,C155:C170,C171)</f>
        <v>619678</v>
      </c>
      <c r="D172" s="1743">
        <f t="shared" si="6"/>
        <v>0</v>
      </c>
      <c r="E172" s="1743">
        <f t="shared" si="6"/>
        <v>0</v>
      </c>
      <c r="F172" s="1743">
        <f t="shared" si="6"/>
        <v>228666</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2146073</v>
      </c>
      <c r="D173" s="1736">
        <f>SUM(D121,D172)</f>
        <v>350171</v>
      </c>
      <c r="E173" s="1736">
        <f>SUM(E121,E172)</f>
        <v>0</v>
      </c>
      <c r="F173" s="1736">
        <f t="shared" ref="F173:K173" si="7">SUM(F121,F172)</f>
        <v>314178</v>
      </c>
      <c r="G173" s="1736">
        <f t="shared" si="7"/>
        <v>0</v>
      </c>
      <c r="H173" s="1736">
        <f t="shared" si="7"/>
        <v>0</v>
      </c>
      <c r="I173" s="1736">
        <f t="shared" si="7"/>
        <v>0</v>
      </c>
      <c r="J173" s="1736">
        <f t="shared" si="7"/>
        <v>160000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91" t="s">
        <v>1572</v>
      </c>
      <c r="B175" s="219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5" t="s">
        <v>1763</v>
      </c>
      <c r="B178" s="2196"/>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98" t="s">
        <v>1762</v>
      </c>
      <c r="B179" s="219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7" t="s">
        <v>818</v>
      </c>
      <c r="B184" s="2177"/>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93" t="s">
        <v>1905</v>
      </c>
      <c r="B185" s="2194"/>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2444</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29" t="s">
        <v>1696</v>
      </c>
      <c r="B191" s="1730"/>
      <c r="C191" s="1728">
        <f>SUM(C187:C190)</f>
        <v>2444</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123583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70340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v>11797</v>
      </c>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205720</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277453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277453</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1185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1185</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65500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57541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123041</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15922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3903</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1764</v>
      </c>
      <c r="B273" s="1748"/>
      <c r="C273" s="1736">
        <f t="shared" ref="C273:H273" si="10">SUM(C191,C201,C211,C216,C224,C228,C229,C259:C272)</f>
        <v>629668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629668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3104201</v>
      </c>
      <c r="D275" s="1736">
        <f t="shared" si="12"/>
        <v>428658</v>
      </c>
      <c r="E275" s="1736">
        <f t="shared" si="12"/>
        <v>0</v>
      </c>
      <c r="F275" s="1736">
        <f t="shared" si="12"/>
        <v>329589</v>
      </c>
      <c r="G275" s="1736">
        <f t="shared" si="12"/>
        <v>76119</v>
      </c>
      <c r="H275" s="1736">
        <f t="shared" si="12"/>
        <v>0</v>
      </c>
      <c r="I275" s="1736">
        <f t="shared" si="12"/>
        <v>6416</v>
      </c>
      <c r="J275" s="1736">
        <f t="shared" si="12"/>
        <v>202799</v>
      </c>
      <c r="K275" s="1723">
        <f t="shared" si="12"/>
        <v>6416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65"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09C570-DA39-47B8-B461-8F8F8F151F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documentManagement/types"/>
    <ds:schemaRef ds:uri="http://purl.org/dc/dcmitype/"/>
    <ds:schemaRef ds:uri="http://schemas.microsoft.com/office/2006/metadata/properties"/>
    <ds:schemaRef ds:uri="http://purl.org/dc/terms/"/>
    <ds:schemaRef ds:uri="4d435f69-8686-490b-bd6d-b153bf22ab50"/>
    <ds:schemaRef ds:uri="6ce3111e-7420-4802-b50a-75d4e9a0b980"/>
    <ds:schemaRef ds:uri="http://schemas.microsoft.com/office/infopath/2007/PartnerControls"/>
    <ds:schemaRef ds:uri="d21dc803-237d-4c68-8692-8d731fd29118"/>
    <ds:schemaRef ds:uri="http://schemas.openxmlformats.org/package/2006/metadata/core-properties"/>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Expenditures 15-22</vt:lpstr>
      <vt:lpstr>Revenues 9-14</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2018-11-14T02:58:32Z</cp:lastPrinted>
  <dcterms:created xsi:type="dcterms:W3CDTF">2003-10-29T19:06:34Z</dcterms:created>
  <dcterms:modified xsi:type="dcterms:W3CDTF">2018-11-28T15:23:24Z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