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660" windowWidth="28800" windowHeight="11835"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J34" i="182" s="1"/>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l="1"/>
  <c r="B2" i="177"/>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B5246" i="106" s="1"/>
  <c r="D5246" i="106" s="1"/>
  <c r="C211" i="5"/>
  <c r="B5260" i="106" s="1"/>
  <c r="D5260" i="106" s="1"/>
  <c r="C216" i="5"/>
  <c r="C224" i="5"/>
  <c r="B5286" i="106" s="1"/>
  <c r="D5286" i="106" s="1"/>
  <c r="C228" i="5"/>
  <c r="C259" i="5"/>
  <c r="B7761" i="106"/>
  <c r="L127" i="29"/>
  <c r="L129" i="29" s="1"/>
  <c r="L139" i="29"/>
  <c r="L149" i="29"/>
  <c r="I7" i="145"/>
  <c r="I6" i="145"/>
  <c r="D78" i="36"/>
  <c r="K75" i="29"/>
  <c r="C14" i="4" s="1"/>
  <c r="B2558" i="106" s="1"/>
  <c r="D2558" i="106" s="1"/>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B7076" i="106" s="1"/>
  <c r="D7076" i="106" s="1"/>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c r="D1797" i="106" s="1"/>
  <c r="D1798" i="106"/>
  <c r="F9" i="7"/>
  <c r="B1799" i="106" s="1"/>
  <c r="D1799" i="106" s="1"/>
  <c r="F11" i="7"/>
  <c r="B1800" i="106" s="1"/>
  <c r="D1800" i="106"/>
  <c r="F12" i="7"/>
  <c r="B1801" i="106"/>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s="1"/>
  <c r="B1836" i="106"/>
  <c r="D1836" i="106"/>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c r="B1850" i="106"/>
  <c r="D1850" i="106" s="1"/>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s="1"/>
  <c r="B1864" i="106"/>
  <c r="D1864" i="106"/>
  <c r="E21" i="8"/>
  <c r="B1865" i="106" s="1"/>
  <c r="D1865" i="106" s="1"/>
  <c r="B1866" i="106"/>
  <c r="D1866" i="106" s="1"/>
  <c r="F6" i="8"/>
  <c r="F7" i="8"/>
  <c r="B1868" i="106" s="1"/>
  <c r="D1868" i="106" s="1"/>
  <c r="F12" i="8"/>
  <c r="B1869" i="106"/>
  <c r="D1869" i="106" s="1"/>
  <c r="F11" i="8"/>
  <c r="B1870" i="106" s="1"/>
  <c r="D1870" i="106" s="1"/>
  <c r="F8" i="8"/>
  <c r="B1871" i="106"/>
  <c r="D1871" i="106" s="1"/>
  <c r="F9" i="8"/>
  <c r="B1872" i="106" s="1"/>
  <c r="D1872" i="106" s="1"/>
  <c r="F10" i="8"/>
  <c r="B1873" i="106" s="1"/>
  <c r="D1873" i="106" s="1"/>
  <c r="F14" i="8"/>
  <c r="B1874" i="106" s="1"/>
  <c r="D1874" i="106" s="1"/>
  <c r="F13" i="8"/>
  <c r="B3688" i="106" s="1"/>
  <c r="D3688" i="106" s="1"/>
  <c r="F17" i="8"/>
  <c r="B1876" i="106" s="1"/>
  <c r="D1876" i="106" s="1"/>
  <c r="F18" i="8"/>
  <c r="B1877" i="106"/>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F77" i="4"/>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s="1"/>
  <c r="B4236" i="106"/>
  <c r="D4236" i="106"/>
  <c r="B4237" i="106"/>
  <c r="D4237" i="106" s="1"/>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s="1"/>
  <c r="B5103" i="106"/>
  <c r="D5103" i="106"/>
  <c r="B5104" i="106"/>
  <c r="D5104" i="106" s="1"/>
  <c r="B5105" i="106"/>
  <c r="D5105" i="106"/>
  <c r="B5106" i="106"/>
  <c r="D5106" i="106" s="1"/>
  <c r="B5107" i="106"/>
  <c r="D5107" i="106" s="1"/>
  <c r="B5108" i="106"/>
  <c r="D5108" i="106" s="1"/>
  <c r="B5109" i="106"/>
  <c r="D5109" i="106"/>
  <c r="B5110" i="106"/>
  <c r="D5110" i="106" s="1"/>
  <c r="B5111" i="106"/>
  <c r="D5111" i="106"/>
  <c r="B5113" i="106"/>
  <c r="D5113" i="106" s="1"/>
  <c r="B5114" i="106"/>
  <c r="D5114" i="106" s="1"/>
  <c r="B5115" i="106"/>
  <c r="D5115" i="106"/>
  <c r="B5116" i="106"/>
  <c r="D5116" i="106" s="1"/>
  <c r="B5117" i="106"/>
  <c r="D5117" i="106"/>
  <c r="B5118" i="106"/>
  <c r="D5118" i="106" s="1"/>
  <c r="B5119" i="106"/>
  <c r="D5119" i="106"/>
  <c r="B5122" i="106"/>
  <c r="D5122" i="106" s="1"/>
  <c r="B5123" i="106"/>
  <c r="D5123" i="106"/>
  <c r="B5124" i="106"/>
  <c r="D5124" i="106" s="1"/>
  <c r="B5126" i="106"/>
  <c r="D5126" i="106" s="1"/>
  <c r="B5127" i="106"/>
  <c r="D5127" i="106"/>
  <c r="D5128" i="106"/>
  <c r="D5129" i="106"/>
  <c r="D5130" i="106"/>
  <c r="D5131" i="106"/>
  <c r="B5133" i="106"/>
  <c r="D5133" i="106" s="1"/>
  <c r="B5134" i="106"/>
  <c r="D5134" i="106"/>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c r="B5243" i="106"/>
  <c r="D5243" i="106" s="1"/>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c r="B6308" i="106"/>
  <c r="D6308" i="106" s="1"/>
  <c r="B6309" i="106"/>
  <c r="D6309" i="106"/>
  <c r="B6310" i="106"/>
  <c r="D6310" i="106" s="1"/>
  <c r="B6311" i="106"/>
  <c r="D6311" i="106"/>
  <c r="B6312" i="106"/>
  <c r="D6312" i="106" s="1"/>
  <c r="B6313" i="106"/>
  <c r="D6313" i="106"/>
  <c r="B6314" i="106"/>
  <c r="D6314" i="106" s="1"/>
  <c r="B6315" i="106"/>
  <c r="D6315" i="106"/>
  <c r="B6316" i="106"/>
  <c r="D6316" i="106" s="1"/>
  <c r="B6317" i="106"/>
  <c r="D6317" i="106"/>
  <c r="B6319" i="106"/>
  <c r="D6319" i="106" s="1"/>
  <c r="B6320" i="106"/>
  <c r="D6320" i="106"/>
  <c r="B6321" i="106"/>
  <c r="D6321" i="106" s="1"/>
  <c r="B6322" i="106"/>
  <c r="D6322" i="106"/>
  <c r="B6323" i="106"/>
  <c r="D6323" i="106" s="1"/>
  <c r="B6324" i="106"/>
  <c r="D6324" i="106"/>
  <c r="B6325" i="106"/>
  <c r="D6325" i="106" s="1"/>
  <c r="B6326" i="106"/>
  <c r="D6326" i="106" s="1"/>
  <c r="B6327" i="106"/>
  <c r="D6327" i="106"/>
  <c r="B6328" i="106"/>
  <c r="D6328" i="106" s="1"/>
  <c r="B6329" i="106"/>
  <c r="D6329" i="106"/>
  <c r="B6330" i="106"/>
  <c r="D6330" i="106" s="1"/>
  <c r="B6331" i="106"/>
  <c r="D6331" i="106"/>
  <c r="B6332" i="106"/>
  <c r="D6332" i="106" s="1"/>
  <c r="B6333" i="106"/>
  <c r="D6333" i="106"/>
  <c r="B6334" i="106"/>
  <c r="D6334" i="106" s="1"/>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2" i="36"/>
  <c r="D68" i="36"/>
  <c r="D69" i="36"/>
  <c r="D71" i="36"/>
  <c r="D72" i="36"/>
  <c r="D79" i="36"/>
  <c r="B64" i="127"/>
  <c r="B65" i="127"/>
  <c r="D26" i="108"/>
  <c r="E26" i="108"/>
  <c r="F26" i="108"/>
  <c r="G26" i="108"/>
  <c r="E27" i="108"/>
  <c r="G27" i="108"/>
  <c r="F31" i="108"/>
  <c r="F37" i="108"/>
  <c r="G28" i="108"/>
  <c r="E30" i="108"/>
  <c r="D31" i="108"/>
  <c r="D37" i="108"/>
  <c r="E31" i="108"/>
  <c r="G31" i="108"/>
  <c r="E33" i="108"/>
  <c r="G33" i="108"/>
  <c r="E34" i="108"/>
  <c r="G34" i="108"/>
  <c r="E35" i="108"/>
  <c r="E36" i="108"/>
  <c r="G36" i="108"/>
  <c r="E37" i="108"/>
  <c r="G37" i="108"/>
  <c r="E38" i="108"/>
  <c r="G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C53" i="34"/>
  <c r="D53" i="34"/>
  <c r="C56" i="34"/>
  <c r="F56" i="34"/>
  <c r="C57" i="34"/>
  <c r="D57" i="34"/>
  <c r="C61" i="34"/>
  <c r="C62" i="34"/>
  <c r="F62" i="34"/>
  <c r="C63" i="34"/>
  <c r="D63" i="34"/>
  <c r="C64" i="34"/>
  <c r="F64" i="34"/>
  <c r="F65" i="34"/>
  <c r="F66" i="34"/>
  <c r="C67" i="34"/>
  <c r="D67" i="34"/>
  <c r="F67" i="34"/>
  <c r="C68" i="34"/>
  <c r="D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C144" i="5"/>
  <c r="B5165" i="106"/>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14" i="4"/>
  <c r="B2609" i="106" s="1"/>
  <c r="D2609" i="106" s="1"/>
  <c r="G15" i="4"/>
  <c r="B6032" i="106" s="1"/>
  <c r="D6032" i="106" s="1"/>
  <c r="D14" i="4"/>
  <c r="B2570" i="106" s="1"/>
  <c r="D2570" i="106" s="1"/>
  <c r="F14" i="4"/>
  <c r="B2597" i="106" s="1"/>
  <c r="D2597" i="106" s="1"/>
  <c r="B2633" i="106"/>
  <c r="D2633" i="106" s="1"/>
  <c r="D7" i="118"/>
  <c r="D8" i="118"/>
  <c r="D9" i="118"/>
  <c r="H14" i="118"/>
  <c r="H19" i="118"/>
  <c r="H24" i="118"/>
  <c r="H28" i="118"/>
  <c r="H33" i="118"/>
  <c r="D22" i="37"/>
  <c r="J22" i="37"/>
  <c r="L22" i="37"/>
  <c r="D24" i="37"/>
  <c r="B4270" i="106" s="1"/>
  <c r="D4270" i="106" s="1"/>
  <c r="L5" i="11"/>
  <c r="B2056" i="106" s="1"/>
  <c r="D2056" i="106" s="1"/>
  <c r="D4" i="7"/>
  <c r="B1760" i="106" s="1"/>
  <c r="D1760" i="106" s="1"/>
  <c r="D13" i="7"/>
  <c r="B3726" i="106" s="1"/>
  <c r="D3726" i="106" s="1"/>
  <c r="D9" i="7"/>
  <c r="B1767" i="106" s="1"/>
  <c r="D1767" i="106" s="1"/>
  <c r="F131" i="34"/>
  <c r="F128" i="34"/>
  <c r="F127" i="34"/>
  <c r="F111" i="34"/>
  <c r="B5847" i="106"/>
  <c r="D5847" i="106" s="1"/>
  <c r="B5752" i="106"/>
  <c r="D5752" i="106" s="1"/>
  <c r="K274" i="5"/>
  <c r="H173" i="5"/>
  <c r="B5906" i="106" s="1"/>
  <c r="D5906" i="106" s="1"/>
  <c r="H109" i="5"/>
  <c r="B6025" i="106" s="1"/>
  <c r="D6025" i="106" s="1"/>
  <c r="F106" i="34"/>
  <c r="H6" i="4"/>
  <c r="B2656" i="106" s="1"/>
  <c r="D2656" i="106" s="1"/>
  <c r="B1746" i="106"/>
  <c r="D1746" i="106" s="1"/>
  <c r="D17" i="7"/>
  <c r="B4104" i="106" s="1"/>
  <c r="D4104" i="106" s="1"/>
  <c r="D15" i="7"/>
  <c r="B1772" i="106" s="1"/>
  <c r="D1772" i="106" s="1"/>
  <c r="F136" i="34" l="1"/>
  <c r="G5" i="4"/>
  <c r="B3409" i="106" s="1"/>
  <c r="D3409" i="106" s="1"/>
  <c r="C172" i="5"/>
  <c r="B5214" i="106" s="1"/>
  <c r="D5214" i="106" s="1"/>
  <c r="L312" i="29"/>
  <c r="K173" i="5"/>
  <c r="K6" i="4" s="1"/>
  <c r="B3570" i="106" s="1"/>
  <c r="D3570" i="106" s="1"/>
  <c r="G172" i="5"/>
  <c r="B3649" i="106"/>
  <c r="D3649" i="106" s="1"/>
  <c r="G367" i="29"/>
  <c r="F130" i="34"/>
  <c r="I173" i="5"/>
  <c r="B4216" i="106" s="1"/>
  <c r="D4216" i="106" s="1"/>
  <c r="L342" i="29"/>
  <c r="B7205" i="106"/>
  <c r="D7205" i="106" s="1"/>
  <c r="I342" i="29"/>
  <c r="B7222" i="106" s="1"/>
  <c r="D7222" i="106" s="1"/>
  <c r="D7245" i="106"/>
  <c r="K24" i="12"/>
  <c r="F21" i="8"/>
  <c r="B3621" i="106"/>
  <c r="D3621" i="106" s="1"/>
  <c r="C367" i="29"/>
  <c r="C129" i="29"/>
  <c r="D11" i="7"/>
  <c r="B1768" i="106" s="1"/>
  <c r="D1768" i="106" s="1"/>
  <c r="D7" i="7"/>
  <c r="B1763" i="106" s="1"/>
  <c r="D1763" i="106" s="1"/>
  <c r="D5" i="7"/>
  <c r="B1761" i="106" s="1"/>
  <c r="D1761" i="106" s="1"/>
  <c r="D54" i="36"/>
  <c r="D11" i="37"/>
  <c r="D31" i="36"/>
  <c r="H29" i="118"/>
  <c r="K28" i="118" s="1"/>
  <c r="O27" i="118" s="1"/>
  <c r="O29" i="118" s="1"/>
  <c r="N22" i="3"/>
  <c r="B283" i="106" s="1"/>
  <c r="D283" i="106" s="1"/>
  <c r="F52" i="34"/>
  <c r="G39" i="108"/>
  <c r="F68" i="34"/>
  <c r="B1410" i="106"/>
  <c r="D1410" i="106" s="1"/>
  <c r="D36" i="108"/>
  <c r="F36" i="108"/>
  <c r="G35" i="108"/>
  <c r="G30" i="108"/>
  <c r="F27" i="108"/>
  <c r="F35" i="34"/>
  <c r="F28" i="108"/>
  <c r="E28" i="108"/>
  <c r="B1329" i="106"/>
  <c r="D1329" i="106" s="1"/>
  <c r="F61" i="34"/>
  <c r="G29" i="108"/>
  <c r="E29" i="108"/>
  <c r="K184" i="29"/>
  <c r="F13" i="4" s="1"/>
  <c r="B2596" i="106" s="1"/>
  <c r="D2596" i="106" s="1"/>
  <c r="K350" i="29"/>
  <c r="H4" i="4"/>
  <c r="B2655" i="106" s="1"/>
  <c r="D2655" i="106" s="1"/>
  <c r="E109" i="5"/>
  <c r="E4" i="4" s="1"/>
  <c r="B2630" i="106" s="1"/>
  <c r="D2630" i="106" s="1"/>
  <c r="D109" i="5"/>
  <c r="B5356" i="106" s="1"/>
  <c r="D5356" i="106" s="1"/>
  <c r="B5096" i="106"/>
  <c r="D5096" i="106" s="1"/>
  <c r="C109" i="5"/>
  <c r="B5121" i="106" s="1"/>
  <c r="D5121" i="106" s="1"/>
  <c r="C173" i="5"/>
  <c r="B5223" i="106" s="1"/>
  <c r="D5223" i="106" s="1"/>
  <c r="D12" i="7"/>
  <c r="B1769" i="106" s="1"/>
  <c r="D1769" i="106" s="1"/>
  <c r="G109" i="5"/>
  <c r="L13" i="11"/>
  <c r="B2060" i="106" s="1"/>
  <c r="D2060" i="106" s="1"/>
  <c r="F19" i="7"/>
  <c r="B1807" i="106" s="1"/>
  <c r="D1807"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B5653" i="106" s="1"/>
  <c r="D565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B6022" i="106"/>
  <c r="D6022" i="106" s="1"/>
  <c r="D44" i="36"/>
  <c r="F274" i="5"/>
  <c r="E273" i="5"/>
  <c r="B6835" i="106"/>
  <c r="D6835" i="106" s="1"/>
  <c r="G273" i="5"/>
  <c r="B4398" i="106"/>
  <c r="D4398" i="106" s="1"/>
  <c r="B5537" i="106"/>
  <c r="D5537" i="106" s="1"/>
  <c r="E173" i="5"/>
  <c r="I109" i="5"/>
  <c r="L279" i="29"/>
  <c r="L295" i="29" s="1"/>
  <c r="L74" i="29"/>
  <c r="L114" i="29" s="1"/>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H8" i="4"/>
  <c r="D274" i="5"/>
  <c r="B3447" i="106"/>
  <c r="D3447" i="106" s="1"/>
  <c r="B7270" i="106"/>
  <c r="B1879" i="106" l="1"/>
  <c r="D1879" i="106" s="1"/>
  <c r="H22" i="37"/>
  <c r="D7253" i="106"/>
  <c r="B7733" i="106"/>
  <c r="D7733" i="106" s="1"/>
  <c r="K26" i="12"/>
  <c r="B7743" i="106" s="1"/>
  <c r="D7743" i="106" s="1"/>
  <c r="G173" i="5"/>
  <c r="B5770" i="106"/>
  <c r="D5770" i="106" s="1"/>
  <c r="D7255" i="106"/>
  <c r="D7252" i="106"/>
  <c r="H367" i="29"/>
  <c r="B3660" i="106" s="1"/>
  <c r="D3660" i="106" s="1"/>
  <c r="N23" i="3"/>
  <c r="B284" i="106" s="1"/>
  <c r="D284" i="106" s="1"/>
  <c r="F41" i="108"/>
  <c r="G43" i="108" s="1"/>
  <c r="C114" i="29"/>
  <c r="B757" i="106" s="1"/>
  <c r="D757" i="106" s="1"/>
  <c r="B1317" i="106"/>
  <c r="D1317" i="106" s="1"/>
  <c r="B3670" i="106"/>
  <c r="D3670" i="106" s="1"/>
  <c r="K352" i="29"/>
  <c r="K367" i="29" s="1"/>
  <c r="B5527" i="106"/>
  <c r="D5527" i="106" s="1"/>
  <c r="D4" i="4"/>
  <c r="B2564" i="106" s="1"/>
  <c r="D2564" i="106" s="1"/>
  <c r="C4" i="4"/>
  <c r="B2551" i="106" s="1"/>
  <c r="D2551" i="106" s="1"/>
  <c r="F275" i="5"/>
  <c r="B5720" i="106" s="1"/>
  <c r="D5720" i="106" s="1"/>
  <c r="F6" i="4"/>
  <c r="B2593" i="106" s="1"/>
  <c r="D2593" i="106" s="1"/>
  <c r="C6" i="4"/>
  <c r="B2553" i="106" s="1"/>
  <c r="D2553" i="106" s="1"/>
  <c r="D19" i="7"/>
  <c r="B1775" i="106" s="1"/>
  <c r="D1775" i="106" s="1"/>
  <c r="B6024" i="106"/>
  <c r="D6024" i="106" s="1"/>
  <c r="G4" i="4"/>
  <c r="B2603" i="106" s="1"/>
  <c r="D2603" i="106" s="1"/>
  <c r="L16" i="11"/>
  <c r="B2061" i="106" s="1"/>
  <c r="D206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6222" i="106"/>
  <c r="D6222" i="106" s="1"/>
  <c r="J8" i="4"/>
  <c r="B2658" i="106"/>
  <c r="D2658" i="106" s="1"/>
  <c r="H10" i="4"/>
  <c r="B4127" i="106" s="1"/>
  <c r="D4127" i="106" s="1"/>
  <c r="D7" i="4"/>
  <c r="B5507" i="106"/>
  <c r="D5507" i="106" s="1"/>
  <c r="B7298" i="106"/>
  <c r="B7299" i="106"/>
  <c r="B5778" i="106" l="1"/>
  <c r="D5778" i="106" s="1"/>
  <c r="G6" i="4"/>
  <c r="B2604" i="106" s="1"/>
  <c r="D2604" i="106" s="1"/>
  <c r="G41" i="108"/>
  <c r="G44" i="108" s="1"/>
  <c r="G45" i="108" s="1"/>
  <c r="E41" i="108"/>
  <c r="E44" i="108" s="1"/>
  <c r="E45" i="108" s="1"/>
  <c r="K13" i="4"/>
  <c r="B3572" i="106" s="1"/>
  <c r="D3572" i="106" s="1"/>
  <c r="B3672" i="106"/>
  <c r="D3672" i="106" s="1"/>
  <c r="F8" i="4"/>
  <c r="B2595" i="106" s="1"/>
  <c r="D259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B2567" i="106"/>
  <c r="D2567" i="106" s="1"/>
  <c r="F76" i="34" l="1"/>
  <c r="K17" i="4"/>
  <c r="K20" i="4" s="1"/>
  <c r="F10" i="4"/>
  <c r="B4125" i="106" s="1"/>
  <c r="D4125" i="106" s="1"/>
  <c r="D8" i="4"/>
  <c r="D10" i="4" s="1"/>
  <c r="B4123" i="106" s="1"/>
  <c r="D4123" i="106" s="1"/>
  <c r="D10" i="171"/>
  <c r="D19" i="171" s="1"/>
  <c r="D32" i="171" s="1"/>
  <c r="D49" i="171" s="1"/>
  <c r="D8" i="146"/>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K19" i="4"/>
  <c r="B4144" i="106" s="1"/>
  <c r="D4144"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C8" i="146" l="1"/>
  <c r="D20" i="4"/>
  <c r="D78" i="4" s="1"/>
  <c r="B3575" i="106"/>
  <c r="D3575" i="106" s="1"/>
  <c r="B2568" i="106"/>
  <c r="D2568" i="106" s="1"/>
  <c r="H13" i="118"/>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K78" i="4"/>
  <c r="B3576" i="106"/>
  <c r="D3576" i="106" s="1"/>
  <c r="J81" i="4"/>
  <c r="B6263" i="106"/>
  <c r="D6263" i="106" s="1"/>
  <c r="B2574" i="106"/>
  <c r="D2574" i="106" s="1"/>
  <c r="C10" i="146" l="1"/>
  <c r="F179" i="34"/>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<sst xmlns="http://schemas.openxmlformats.org/spreadsheetml/2006/main" count="5030" uniqueCount="2102">
  <si>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</si>
  <si>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</si>
  <si>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</si>
  <si>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</si>
  <si>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</si>
  <si>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</si>
  <si>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</si>
  <si>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</si>
  <si>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</si>
  <si>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</si>
  <si>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</si>
  <si>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</si>
  <si>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</si>
  <si>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</si>
  <si>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</si>
  <si>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</si>
  <si>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</si>
  <si>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</si>
  <si>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</si>
  <si>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</si>
  <si>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</si>
  <si>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</si>
  <si>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</si>
  <si>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</si>
  <si>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</si>
  <si>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</si>
  <si>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</si>
  <si>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</si>
  <si>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</si>
  <si>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</si>
  <si>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</si>
  <si>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</si>
  <si>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</si>
  <si>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</si>
  <si>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</si>
  <si>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</si>
  <si>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</si>
  <si>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</si>
  <si>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</si>
  <si>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</si>
  <si>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</si>
  <si>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</si>
  <si>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</si>
  <si>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</si>
  <si>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</si>
  <si>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</si>
  <si>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</si>
  <si>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</si>
  <si>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</si>
  <si>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</si>
  <si>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</si>
  <si>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</si>
  <si>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</si>
  <si>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</si>
  <si>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</si>
  <si>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</si>
  <si>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</si>
  <si>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</si>
  <si>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</si>
  <si>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</si>
  <si>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</si>
  <si>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</si>
  <si>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</si>
  <si>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</si>
  <si>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</si>
  <si>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</si>
  <si>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</si>
  <si>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</si>
  <si>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</si>
  <si>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</si>
  <si>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</si>
  <si>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</si>
  <si>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</si>
  <si>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</si>
  <si>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</si>
  <si>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</si>
  <si>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</si>
  <si>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</si>
  <si>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</si>
  <si>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</si>
  <si>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</si>
  <si>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</si>
  <si>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</si>
  <si>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</si>
  <si>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</si>
  <si>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</si>
  <si>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</si>
  <si>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</si>
  <si>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</si>
  <si>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</si>
  <si>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</si>
  <si>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</si>
  <si>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</si>
  <si>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</si>
  <si>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</si>
  <si>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</si>
  <si>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</si>
  <si>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</si>
  <si>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</si>
  <si>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</si>
  <si>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</si>
  <si>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</si>
  <si>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</si>
  <si>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</si>
  <si>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</si>
  <si>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</si>
  <si>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</si>
  <si>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</si>
  <si>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</si>
  <si>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</si>
  <si>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</si>
  <si>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</si>
  <si>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</si>
  <si>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</si>
  <si>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</si>
  <si>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</si>
  <si>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</si>
  <si>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</si>
  <si>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</si>
  <si>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</si>
  <si>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</si>
  <si>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</si>
  <si>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</si>
  <si>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</si>
  <si>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</si>
  <si>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</si>
  <si>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</si>
  <si>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</si>
  <si>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</si>
  <si>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</si>
  <si>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</si>
  <si>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</si>
  <si>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</si>
  <si>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</si>
  <si>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</si>
  <si>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</si>
  <si>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</si>
  <si>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</si>
  <si>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</si>
  <si>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</si>
  <si>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</si>
  <si>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</si>
  <si>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</si>
  <si>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</si>
  <si>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</si>
  <si>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</si>
  <si>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</si>
  <si>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</si>
  <si>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</si>
  <si>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</si>
  <si>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</si>
  <si>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</si>
  <si>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</si>
  <si>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</si>
  <si>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</si>
  <si>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</si>
  <si>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</si>
  <si>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</si>
  <si>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</si>
  <si>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</si>
  <si>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</si>
  <si>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</si>
  <si>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</si>
  <si>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</si>
  <si>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</si>
  <si>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</si>
  <si>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</si>
  <si>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</si>
  <si>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</si>
  <si>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</si>
  <si>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</si>
  <si>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</si>
  <si>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</si>
  <si>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</si>
  <si>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</si>
  <si>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</si>
  <si>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</si>
  <si>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</si>
  <si>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</si>
  <si>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</si>
  <si>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</si>
  <si>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</si>
  <si>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</si>
  <si>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</si>
  <si>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</si>
  <si>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</si>
  <si>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</si>
  <si>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</si>
  <si>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</si>
  <si>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</si>
  <si>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</si>
  <si>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</si>
  <si>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</si>
  <si>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</si>
  <si>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</si>
  <si>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</si>
  <si>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</si>
  <si>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</si>
  <si>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</si>
  <si>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</si>
  <si>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</si>
  <si>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</si>
  <si>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</si>
  <si>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</si>
  <si>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</si>
  <si>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</si>
  <si>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</si>
  <si>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</si>
  <si>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</si>
  <si>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</si>
  <si>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</si>
  <si>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</si>
  <si>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</si>
  <si>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</si>
  <si>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</si>
  <si>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</si>
  <si>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</si>
  <si>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</si>
  <si>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</si>
  <si>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</si>
  <si>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</si>
  <si>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</si>
  <si>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</si>
  <si>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</si>
  <si>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</si>
  <si>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</si>
  <si>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</si>
  <si>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</si>
  <si>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</si>
  <si>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</si>
  <si>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</si>
  <si>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</si>
  <si>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</si>
  <si>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</si>
  <si>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</si>
  <si>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</si>
  <si>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</si>
  <si>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</si>
  <si>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</si>
  <si>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</si>
  <si>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</si>
  <si>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</si>
  <si>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</si>
  <si>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</si>
  <si>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</si>
  <si>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</si>
  <si>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</si>
  <si>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</si>
  <si>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</si>
  <si>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</si>
  <si>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</si>
  <si>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</si>
  <si>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</si>
  <si>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</si>
  <si>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</si>
  <si>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</si>
  <si>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</si>
  <si>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</si>
  <si>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</si>
  <si>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</si>
  <si>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</si>
  <si>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</si>
  <si>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</si>
  <si>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</si>
  <si>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</si>
  <si>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</si>
  <si>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</si>
  <si>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</si>
  <si>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</si>
  <si>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</si>
  <si>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</si>
  <si>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</si>
  <si>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</si>
  <si>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</si>
  <si>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</si>
  <si>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</si>
  <si>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</si>
  <si>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</si>
  <si>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</si>
  <si>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</si>
  <si>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</si>
  <si>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</si>
  <si>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</si>
  <si>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</si>
  <si>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</si>
  <si>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</si>
  <si>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</si>
  <si>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</si>
  <si>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</si>
  <si>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</si>
  <si>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</si>
  <si>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</si>
  <si>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</si>
  <si>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</si>
  <si>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</si>
  <si>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</si>
  <si>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</si>
  <si>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</si>
  <si>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</si>
  <si>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</si>
  <si>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</si>
  <si>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</si>
  <si>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</si>
  <si>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</si>
  <si>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</si>
  <si>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</si>
  <si>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</si>
  <si>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</si>
  <si>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</si>
  <si>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</si>
  <si>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</si>
  <si>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</si>
  <si>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</si>
  <si>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</si>
  <si>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</si>
  <si>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</si>
  <si>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</si>
  <si>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</si>
  <si>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</si>
  <si>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</si>
  <si>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</si>
  <si>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</si>
  <si>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</si>
  <si>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</si>
  <si>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</si>
  <si>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</si>
  <si>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</si>
  <si>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</si>
  <si>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</si>
  <si>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</si>
  <si>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</si>
  <si>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</si>
  <si>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</si>
  <si>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</si>
  <si>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</si>
  <si>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</si>
  <si>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</si>
  <si>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</si>
  <si>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</si>
  <si>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</si>
  <si>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</si>
  <si>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</si>
  <si>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</si>
  <si>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</si>
  <si>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</si>
  <si>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</si>
  <si>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</si>
  <si>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</si>
  <si>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</si>
  <si>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</si>
  <si>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</si>
  <si>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</si>
  <si>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</si>
  <si>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</si>
  <si>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</si>
  <si>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</si>
  <si>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</si>
  <si>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</si>
  <si>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</si>
  <si>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</si>
  <si>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</si>
  <si>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</si>
  <si>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</si>
  <si>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</si>
  <si>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</si>
  <si>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</si>
  <si>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</si>
  <si>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</si>
  <si>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</si>
  <si>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</si>
  <si>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</si>
  <si>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</si>
  <si>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</si>
  <si>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</si>
  <si>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</si>
  <si>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</si>
  <si>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</si>
  <si>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</si>
  <si>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</si>
  <si>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</si>
  <si>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</si>
  <si>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</si>
  <si>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</si>
  <si>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</si>
  <si>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</si>
  <si>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</si>
  <si>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</si>
  <si>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</si>
  <si>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</si>
  <si>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</si>
  <si>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</si>
  <si>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</si>
  <si>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</si>
  <si>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</si>
  <si>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</si>
  <si>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</si>
  <si>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</si>
  <si>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</si>
  <si>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</si>
  <si>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</si>
  <si>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</si>
  <si>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</si>
  <si>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</si>
  <si>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</si>
  <si>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</si>
  <si>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</si>
  <si>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</si>
  <si>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</si>
  <si>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</si>
  <si>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</si>
  <si>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</si>
  <si>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</si>
  <si>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</si>
  <si>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</si>
  <si>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</si>
  <si>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</si>
  <si>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</si>
  <si>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</si>
  <si>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</si>
  <si>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</si>
  <si>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</si>
  <si>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</si>
  <si>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</si>
  <si>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</si>
  <si>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</si>
  <si>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</si>
  <si>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</si>
  <si>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</si>
  <si>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</si>
  <si>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</si>
  <si>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</si>
  <si>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</si>
  <si>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</si>
  <si>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</si>
  <si>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</si>
  <si>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</si>
  <si>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</si>
  <si>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</si>
  <si>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</si>
  <si>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</si>
  <si>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</si>
  <si>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</si>
  <si>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</si>
  <si>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</si>
  <si>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</si>
  <si>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</si>
  <si>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</si>
  <si>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</si>
  <si>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</si>
  <si>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</si>
  <si>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</si>
  <si>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</si>
  <si>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</si>
  <si>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</si>
  <si>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</si>
  <si>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</si>
  <si>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</si>
  <si>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</si>
  <si>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</si>
  <si>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</si>
  <si>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</si>
  <si>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</si>
  <si>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</si>
  <si>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</si>
  <si>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</si>
  <si>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</si>
  <si>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</si>
  <si>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</si>
  <si>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</si>
  <si>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</si>
  <si>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</si>
  <si>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</si>
  <si>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</si>
  <si>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</si>
  <si>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</si>
  <si>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</si>
  <si>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</si>
  <si>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</si>
  <si>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</si>
  <si>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</si>
  <si>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</si>
  <si>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</si>
  <si>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</si>
  <si>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</si>
  <si>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</si>
  <si>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</si>
  <si>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</si>
  <si>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</si>
  <si>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</si>
  <si>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</si>
  <si>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</si>
  <si>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</si>
  <si>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</si>
  <si>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</si>
  <si>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</si>
  <si>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</si>
  <si>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</si>
  <si>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</si>
  <si>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</si>
  <si>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</si>
  <si>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</si>
  <si>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</si>
  <si>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</si>
  <si>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</si>
  <si>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</si>
  <si>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</si>
  <si>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</si>
  <si>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</si>
  <si>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</si>
  <si>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</si>
  <si>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</si>
  <si>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</si>
  <si>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</si>
  <si>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</si>
  <si>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</si>
  <si>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</si>
  <si>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</si>
  <si>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</si>
  <si>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</si>
  <si>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</si>
  <si>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</si>
  <si>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</si>
  <si>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</si>
  <si>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</si>
  <si>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</si>
  <si>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</si>
  <si>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</si>
  <si>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</si>
  <si>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</si>
  <si>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</si>
  <si>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</si>
  <si>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</si>
  <si>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</si>
  <si>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</si>
  <si>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</si>
  <si>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</si>
  <si>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</si>
  <si>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</si>
  <si>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</si>
  <si>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</si>
  <si>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</si>
  <si>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</si>
  <si>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</si>
  <si>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</si>
  <si>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</si>
  <si>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</si>
  <si>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</si>
  <si>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</si>
  <si>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</si>
  <si>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</si>
  <si>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</si>
  <si>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</si>
  <si>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</si>
  <si>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</si>
  <si>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</si>
  <si>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</si>
  <si>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</si>
  <si>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</si>
  <si>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</si>
  <si>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</si>
  <si>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</si>
  <si>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</si>
  <si>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</si>
  <si>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</si>
  <si>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</si>
  <si>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</si>
  <si>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</si>
  <si>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</si>
  <si>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</si>
  <si>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</si>
  <si>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</si>
  <si>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</si>
  <si>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</si>
  <si>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</si>
  <si>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</si>
  <si>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</si>
  <si>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</si>
  <si>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</si>
  <si>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</si>
  <si>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</si>
  <si>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</si>
  <si>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</si>
  <si>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</si>
  <si>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</si>
  <si>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</si>
  <si>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</si>
  <si>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</si>
  <si>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</si>
  <si>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</si>
  <si>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</si>
  <si>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</si>
  <si>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</si>
  <si>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</si>
  <si>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</si>
  <si>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</si>
  <si>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</si>
  <si>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</si>
  <si>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</si>
  <si>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</si>
  <si>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</si>
  <si>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</si>
  <si>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</si>
  <si>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</si>
  <si>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</si>
  <si>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</si>
  <si>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</si>
  <si>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</si>
  <si>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</si>
  <si>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</si>
  <si>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</si>
  <si>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</si>
  <si>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</si>
  <si>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</si>
  <si>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</si>
  <si>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</si>
  <si>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</si>
  <si>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</si>
  <si>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</si>
  <si>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</si>
  <si>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</si>
  <si>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</si>
  <si>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</si>
  <si>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</si>
  <si>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</si>
  <si>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</si>
  <si>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</si>
  <si>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</si>
  <si>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</si>
  <si>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</si>
  <si>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</si>
  <si>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</si>
  <si>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</si>
  <si>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</si>
  <si>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</si>
  <si>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</si>
  <si>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</si>
  <si>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</si>
  <si>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</si>
  <si>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</si>
  <si>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</si>
  <si>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</si>
  <si>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</si>
  <si>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</si>
  <si>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</si>
  <si>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</si>
  <si>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</si>
  <si>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</si>
  <si>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</si>
  <si>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</si>
  <si>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</si>
  <si>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</si>
  <si>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</si>
  <si>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</si>
  <si>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</si>
  <si>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</si>
  <si>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</si>
  <si>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</si>
  <si>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</si>
  <si>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</si>
  <si>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</si>
  <si>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</si>
  <si>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</si>
  <si>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</si>
  <si>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</si>
  <si>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</si>
  <si>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</si>
  <si>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</si>
  <si>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</si>
  <si>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</si>
  <si>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</si>
  <si>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</si>
  <si>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</si>
  <si>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</si>
  <si>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</si>
  <si>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</si>
  <si>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</si>
  <si>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</si>
  <si>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</si>
  <si>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</si>
  <si>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</si>
  <si>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</si>
  <si>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</si>
  <si>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</si>
  <si>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</si>
  <si>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</si>
  <si>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</si>
  <si>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</si>
  <si>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</si>
  <si>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</si>
  <si>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</si>
  <si>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</si>
  <si>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</si>
  <si>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</si>
  <si>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</si>
  <si>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</si>
  <si>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</si>
  <si>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</si>
  <si>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</si>
  <si>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</si>
  <si>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</si>
  <si>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</si>
  <si>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</si>
  <si>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</si>
  <si>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</si>
  <si>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</si>
  <si>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</si>
  <si>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</si>
  <si>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</si>
  <si>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</si>
  <si>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</si>
  <si>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</si>
  <si>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</si>
  <si>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</si>
  <si>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</si>
  <si>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</si>
  <si>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</si>
  <si>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</si>
  <si>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</si>
  <si>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</si>
  <si>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</si>
  <si>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</si>
  <si>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</si>
  <si>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</si>
  <si>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</si>
  <si>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</si>
  <si>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</si>
  <si>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</si>
  <si>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</si>
  <si>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</si>
  <si>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</si>
  <si>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</si>
  <si>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</si>
  <si>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</si>
  <si>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</si>
  <si>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</si>
  <si>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</si>
  <si>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</si>
  <si>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</si>
  <si>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</si>
  <si>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</si>
  <si>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</si>
  <si>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</si>
  <si>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</si>
  <si>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</si>
  <si>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</si>
  <si>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</si>
  <si>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</si>
  <si>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</si>
  <si>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</si>
  <si>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</si>
  <si>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</si>
  <si>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</si>
  <si>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</si>
  <si>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</si>
  <si>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</si>
  <si>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</si>
  <si>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</si>
  <si>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</si>
  <si>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</si>
  <si>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</si>
  <si>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</si>
  <si>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</si>
  <si>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</si>
  <si>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</si>
  <si>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</si>
  <si>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</si>
  <si>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</si>
  <si>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</si>
  <si>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</si>
  <si>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</si>
  <si>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</si>
  <si>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</si>
  <si>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</si>
  <si>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</si>
  <si>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</si>
  <si>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</si>
  <si>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</si>
  <si>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</si>
  <si>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</si>
  <si>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</si>
  <si>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</si>
  <si>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</si>
  <si>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</si>
  <si>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</si>
  <si>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</si>
  <si>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</si>
  <si>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</si>
  <si>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</si>
  <si>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</si>
  <si>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</si>
  <si>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</si>
  <si>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</si>
  <si>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</si>
  <si>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</si>
  <si>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</si>
  <si>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</si>
  <si>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</si>
  <si>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</si>
  <si>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</si>
  <si>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</si>
  <si>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</si>
  <si>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</si>
  <si>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</si>
  <si>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</si>
  <si>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</si>
  <si>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</si>
  <si>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</si>
  <si>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</si>
  <si>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</si>
  <si>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</si>
  <si>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</si>
  <si>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</si>
  <si>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</si>
  <si>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</si>
  <si>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</si>
  <si>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</si>
  <si>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</si>
  <si>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</si>
  <si>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</si>
  <si>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</si>
  <si>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</si>
  <si>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</si>
  <si>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</si>
  <si>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</si>
  <si>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</si>
  <si>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</si>
  <si>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</si>
  <si>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</si>
  <si>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</si>
  <si>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</si>
  <si>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</si>
  <si>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</si>
  <si>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</si>
  <si>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</si>
  <si>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</si>
  <si>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</si>
  <si>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</si>
  <si>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</si>
  <si>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</si>
  <si>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</si>
  <si>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</si>
  <si>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</si>
  <si>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</si>
  <si>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</si>
  <si>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</si>
  <si>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</si>
  <si>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</si>
  <si>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</si>
  <si>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</si>
  <si>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</si>
  <si>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</si>
  <si>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</si>
  <si>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</si>
  <si>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</si>
  <si>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</si>
  <si>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</si>
  <si>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</si>
  <si>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</si>
  <si>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</si>
  <si>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</si>
  <si>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</si>
  <si>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</si>
  <si>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</si>
  <si>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</si>
  <si>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</si>
  <si>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</si>
  <si>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</si>
  <si>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</si>
  <si>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</si>
  <si>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</si>
  <si>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</si>
  <si>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</si>
  <si>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</si>
  <si>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</si>
  <si>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</si>
  <si>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</si>
  <si>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</si>
  <si>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</si>
  <si>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</si>
  <si>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</si>
  <si>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</si>
  <si>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</si>
  <si>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</si>
  <si>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</si>
  <si>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</si>
  <si>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</si>
  <si>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</si>
  <si>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</si>
  <si>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</si>
  <si>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</si>
  <si>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</si>
  <si>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</si>
  <si>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</si>
  <si>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</si>
  <si>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</si>
  <si>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</si>
  <si>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</si>
  <si>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</si>
  <si>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</si>
  <si>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</si>
  <si>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</si>
  <si>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</si>
  <si>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</si>
  <si>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</si>
  <si>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</si>
  <si>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</si>
  <si>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</si>
  <si>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</si>
  <si>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</si>
  <si>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</si>
  <si>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</si>
  <si>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</si>
  <si>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</si>
  <si>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</si>
  <si>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</si>
  <si>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</si>
  <si>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</si>
  <si>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</si>
  <si>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</si>
  <si>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</si>
  <si>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</si>
  <si>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</si>
  <si>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</si>
  <si>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</si>
  <si>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</si>
  <si>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</si>
  <si>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</si>
  <si>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</si>
  <si>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</si>
  <si>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</si>
  <si>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</si>
  <si>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</si>
  <si>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</si>
  <si>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</si>
  <si>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</si>
  <si>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</si>
  <si>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</si>
  <si>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</si>
  <si>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</si>
  <si>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</si>
  <si>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</si>
  <si>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</si>
  <si>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</si>
  <si>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</si>
  <si>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</si>
  <si>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</si>
  <si>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</si>
  <si>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</si>
  <si>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</si>
  <si>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</si>
  <si>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</si>
  <si>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</si>
  <si>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</si>
  <si>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</si>
  <si>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</si>
  <si>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</si>
  <si>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</si>
  <si>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</si>
  <si>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</si>
  <si>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</si>
  <si>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</si>
  <si>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</si>
  <si>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</si>
  <si>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</si>
  <si>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</si>
  <si>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</si>
  <si>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</si>
  <si>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</si>
  <si>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</si>
  <si>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</si>
  <si>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</si>
  <si>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</si>
  <si>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</si>
  <si>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</si>
  <si>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</si>
  <si>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</si>
  <si>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</si>
  <si>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</si>
  <si>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</si>
  <si>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</si>
  <si>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</si>
  <si>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</si>
  <si>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</si>
  <si>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</si>
  <si>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</si>
  <si>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</si>
  <si>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</si>
  <si>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</si>
  <si>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</si>
  <si>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</si>
  <si>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</si>
  <si>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</si>
  <si>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</si>
  <si>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</si>
  <si>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</si>
  <si>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</si>
  <si>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</si>
  <si>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</si>
  <si>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</si>
  <si>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</si>
  <si>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</si>
  <si>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</si>
  <si>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</si>
  <si>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</si>
  <si>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</si>
  <si>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</si>
  <si>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</si>
  <si>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</si>
  <si>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</si>
  <si>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</si>
  <si>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</si>
  <si>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</si>
  <si>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</si>
  <si>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</si>
  <si>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</si>
  <si>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</si>
  <si>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</si>
  <si>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</si>
  <si>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</si>
  <si>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</si>
  <si>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</si>
  <si>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</si>
  <si>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</si>
  <si>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</si>
  <si>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</si>
  <si>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</si>
  <si>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</si>
  <si>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</si>
  <si>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</si>
  <si>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</si>
  <si>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</si>
  <si>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</si>
  <si>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</si>
  <si>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</si>
  <si>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</si>
  <si>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</si>
  <si>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</si>
  <si>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</si>
  <si>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</si>
  <si>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</si>
  <si>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</si>
  <si>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</si>
  <si>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</si>
  <si>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</si>
  <si>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</si>
  <si>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</si>
  <si>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</si>
  <si>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</si>
  <si>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</si>
  <si>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</si>
  <si>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</si>
  <si>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</si>
  <si>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</si>
  <si>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</si>
  <si>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</si>
  <si>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</si>
  <si>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</si>
  <si>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</si>
  <si>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</si>
  <si>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</si>
  <si>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</si>
  <si>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</si>
  <si>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</si>
  <si>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</si>
  <si>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</si>
  <si>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</si>
  <si>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</si>
  <si>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</si>
  <si>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</si>
  <si>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</si>
  <si>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</si>
  <si>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</si>
  <si>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</si>
  <si>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</si>
  <si>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</si>
  <si>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</si>
  <si>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</si>
  <si>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</si>
  <si>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</si>
  <si>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</si>
  <si>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</si>
  <si>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</si>
  <si>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</si>
  <si>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</si>
  <si>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</si>
  <si>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</si>
  <si>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</si>
  <si>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</si>
  <si>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</si>
  <si>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</si>
  <si>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</si>
  <si>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</si>
  <si>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</si>
  <si>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</si>
  <si>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</si>
  <si>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</si>
  <si>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</si>
  <si>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</si>
  <si>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</si>
  <si>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</si>
  <si>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</si>
  <si>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</si>
  <si>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</si>
  <si>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</si>
  <si>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</si>
  <si>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</si>
  <si>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</si>
  <si>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</si>
  <si>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</si>
  <si>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</si>
  <si>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</si>
  <si>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</si>
  <si>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</si>
  <si>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</si>
  <si>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</si>
  <si>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</si>
  <si>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</si>
  <si>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</si>
  <si>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</si>
  <si>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</si>
  <si>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</si>
  <si>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</si>
  <si>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</si>
  <si>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</si>
  <si>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</si>
  <si>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</si>
  <si>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</si>
  <si>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</si>
  <si>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</si>
  <si>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</si>
  <si>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</si>
  <si>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</si>
  <si>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</si>
  <si>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</si>
  <si>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</si>
  <si>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</si>
  <si>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</si>
  <si>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</si>
  <si>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</si>
  <si>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</si>
  <si>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</si>
  <si>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</si>
  <si>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</si>
  <si>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</si>
  <si>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</si>
  <si>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</si>
  <si>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</si>
  <si>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</si>
  <si>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</si>
  <si>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</si>
  <si>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</si>
  <si>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</si>
  <si>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</si>
  <si>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</si>
  <si>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</si>
  <si>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</si>
  <si>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</si>
  <si>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</si>
  <si>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</si>
  <si>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</si>
  <si>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</si>
  <si>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</si>
  <si>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</si>
  <si>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</si>
  <si>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</si>
  <si>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</si>
  <si>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</si>
  <si>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</si>
  <si>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</si>
  <si>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</si>
  <si>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</si>
  <si>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</si>
  <si>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</si>
  <si>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</si>
  <si>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</si>
  <si>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</si>
  <si>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</si>
  <si>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</si>
  <si>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</si>
  <si>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</si>
  <si>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</si>
  <si>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</si>
  <si>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</si>
  <si>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</si>
  <si>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</si>
  <si>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</si>
  <si>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</si>
  <si>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</si>
  <si>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</si>
  <si>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</si>
  <si>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</si>
  <si>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</si>
  <si>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</si>
  <si>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</si>
  <si>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</si>
  <si>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</si>
  <si>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</si>
  <si>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</si>
  <si>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</si>
  <si>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</si>
  <si>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</si>
  <si>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</si>
  <si>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</si>
  <si>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</si>
  <si>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</si>
  <si>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</si>
  <si>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</si>
  <si>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</si>
  <si>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</si>
  <si>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</si>
  <si>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</si>
  <si>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</si>
  <si>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</si>
  <si>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</si>
  <si>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</si>
  <si>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</si>
  <si>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</si>
  <si>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</si>
  <si>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</si>
  <si>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</si>
  <si>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</si>
  <si>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</si>
  <si>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</si>
  <si>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</si>
  <si>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</si>
  <si>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</si>
  <si>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</si>
  <si>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</si>
  <si>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</si>
  <si>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</si>
  <si>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</si>
  <si>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</si>
  <si>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</si>
  <si>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</si>
  <si>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</si>
  <si>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</si>
  <si>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</si>
  <si>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</si>
  <si>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</si>
  <si>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</si>
  <si>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</si>
  <si>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</si>
  <si>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</si>
  <si>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</si>
  <si>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</si>
  <si>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</si>
  <si>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</si>
  <si>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</si>
  <si>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</si>
  <si>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</si>
  <si>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</si>
  <si>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</si>
  <si>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</si>
  <si>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</si>
  <si>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</si>
  <si>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</si>
  <si>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</si>
  <si>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</si>
  <si>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</si>
  <si>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</si>
  <si>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</si>
  <si>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</si>
  <si>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</si>
  <si>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</si>
  <si>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</si>
  <si>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</si>
  <si>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</si>
  <si>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</si>
  <si>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</si>
  <si>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</si>
  <si>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</si>
  <si>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</si>
  <si>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</si>
  <si>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</si>
  <si>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</si>
  <si>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</si>
  <si>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</si>
  <si>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</si>
  <si>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</si>
  <si>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</si>
  <si>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</si>
  <si>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</si>
  <si>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</si>
  <si>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</si>
  <si>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</si>
  <si>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</si>
  <si>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</si>
  <si>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</si>
  <si>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</si>
  <si>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</si>
  <si>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</si>
  <si>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</si>
  <si>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</si>
  <si>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</si>
  <si>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</si>
  <si>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</si>
  <si>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</si>
  <si>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</si>
  <si>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</si>
  <si>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</si>
  <si>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</si>
  <si>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</si>
  <si>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</si>
  <si>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</si>
  <si>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</si>
  <si>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</si>
  <si>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</si>
  <si>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</si>
  <si>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</si>
  <si>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</si>
  <si>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</si>
  <si>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</si>
  <si>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</si>
  <si>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</si>
  <si>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</si>
  <si>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</si>
  <si>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</si>
  <si>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</si>
  <si>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</si>
  <si>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</si>
  <si>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</si>
  <si>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</si>
  <si>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</si>
  <si>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</si>
  <si>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</si>
  <si>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</si>
  <si>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</si>
  <si>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</si>
  <si>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</si>
  <si>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</si>
  <si>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</si>
  <si>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</si>
  <si>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</si>
  <si>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</si>
  <si>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</si>
  <si>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</si>
  <si>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</si>
  <si>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</si>
  <si>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</si>
  <si>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</si>
  <si>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</si>
  <si>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</si>
  <si>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</si>
  <si>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</si>
  <si>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</si>
  <si>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</si>
  <si>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</si>
  <si>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</si>
  <si>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</si>
  <si>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</si>
  <si>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</si>
  <si>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</si>
  <si>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</si>
  <si>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</si>
  <si>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</si>
  <si>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</si>
  <si>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</si>
  <si>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</si>
  <si>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</si>
  <si>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</si>
  <si>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</si>
  <si>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</si>
  <si>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</si>
  <si>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</si>
  <si>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</si>
  <si>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</si>
  <si>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</si>
  <si>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</si>
  <si>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</si>
  <si>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</si>
  <si>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</si>
  <si>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</si>
  <si>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</si>
  <si>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</si>
  <si>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</si>
  <si>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</si>
  <si>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</si>
  <si>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</si>
  <si>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</si>
  <si>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</si>
  <si>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</si>
  <si>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</si>
  <si>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</si>
  <si>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</si>
  <si>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</si>
  <si>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</si>
  <si>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</si>
  <si>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</si>
  <si>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</si>
  <si>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</si>
  <si>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</si>
  <si>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</si>
  <si>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</si>
  <si>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</si>
  <si>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</si>
  <si>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</si>
  <si>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</si>
  <si>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</si>
  <si>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</si>
  <si>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</si>
  <si>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</si>
  <si>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</si>
  <si>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</si>
  <si>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</si>
  <si>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</si>
  <si>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</si>
  <si>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</si>
  <si>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</si>
  <si>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</si>
  <si>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</si>
  <si>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</si>
  <si>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</si>
  <si>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</si>
  <si>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</si>
  <si>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</si>
  <si>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</si>
  <si>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</si>
  <si>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</si>
  <si>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</si>
  <si>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</si>
  <si>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</si>
  <si>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</si>
  <si>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</si>
  <si>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</si>
  <si>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</si>
  <si>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</si>
  <si>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</si>
  <si>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</si>
  <si>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</si>
  <si>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</si>
  <si>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</si>
  <si>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</si>
  <si>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</si>
  <si>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</si>
  <si>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</si>
  <si>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</si>
  <si>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</si>
  <si>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</si>
  <si>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</si>
  <si>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</si>
  <si>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</si>
  <si>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</si>
  <si>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</si>
  <si>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</si>
  <si>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</si>
  <si>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</si>
  <si>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</si>
  <si>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</si>
  <si>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</si>
  <si>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</si>
  <si>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</si>
  <si>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</si>
  <si>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</si>
  <si>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</si>
  <si>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</si>
  <si>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</si>
  <si>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</si>
  <si>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</si>
  <si>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</si>
  <si>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</si>
  <si>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</si>
  <si>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</si>
  <si>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</si>
  <si>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</si>
  <si>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</si>
  <si>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</si>
  <si>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</si>
  <si>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</si>
  <si>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</si>
  <si>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</si>
  <si>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</si>
  <si>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</si>
  <si>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</si>
  <si>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</si>
  <si>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</si>
  <si>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</si>
  <si>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</si>
  <si>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</si>
  <si>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</si>
  <si>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</si>
  <si>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</si>
  <si>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</si>
  <si>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</si>
  <si>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</si>
  <si>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</si>
  <si>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</si>
  <si>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</si>
  <si>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</si>
  <si>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</si>
  <si>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</si>
  <si>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</si>
  <si>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</si>
  <si>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</si>
  <si>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</si>
  <si>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</si>
  <si>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</si>
  <si>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</si>
  <si>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</si>
  <si>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</si>
  <si>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</si>
  <si>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</si>
  <si>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</si>
  <si>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</si>
  <si>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</si>
  <si>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</si>
  <si>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</si>
  <si>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</si>
  <si>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</si>
  <si>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</si>
  <si>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</si>
  <si>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</si>
  <si>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</si>
  <si>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</si>
  <si>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</si>
  <si>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</si>
  <si>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</si>
  <si>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</si>
  <si>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</si>
  <si>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</si>
  <si>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</si>
  <si>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</si>
  <si>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</si>
  <si>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</si>
  <si>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</si>
  <si>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</si>
  <si>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</si>
  <si>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</si>
  <si>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</si>
  <si>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</si>
  <si>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</si>
  <si>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</si>
  <si>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</si>
  <si>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</si>
  <si>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</si>
  <si>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</si>
  <si>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</si>
  <si>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</si>
  <si>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</si>
  <si>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</si>
  <si>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</si>
  <si>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</si>
  <si>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</si>
  <si>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</si>
  <si>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</si>
  <si>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</si>
  <si>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</si>
  <si>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</si>
  <si>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</si>
  <si>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</si>
  <si>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</si>
  <si>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</si>
  <si>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</si>
  <si>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</si>
  <si>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</si>
  <si>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</si>
  <si>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</si>
  <si>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</si>
  <si>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</si>
  <si>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</si>
  <si>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</si>
  <si>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</si>
  <si>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</si>
  <si>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</si>
  <si>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</si>
  <si>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</si>
  <si>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</si>
  <si>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</si>
  <si>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</si>
  <si>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</si>
  <si>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</si>
  <si>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</si>
  <si>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</si>
  <si>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</si>
  <si>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</si>
  <si>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</si>
  <si>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</si>
  <si>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</si>
  <si>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</si>
  <si>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</si>
  <si>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</si>
  <si>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</si>
  <si>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</si>
  <si>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</si>
  <si>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</si>
  <si>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</si>
  <si>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</si>
  <si>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</si>
  <si>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</si>
  <si>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</si>
  <si>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</si>
  <si>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</si>
  <si>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</si>
  <si>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</si>
  <si>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</si>
  <si>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</si>
  <si>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</si>
  <si>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</si>
  <si>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</si>
  <si>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</si>
  <si>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</si>
  <si>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</si>
  <si>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</si>
  <si>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</si>
  <si>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</si>
  <si>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</si>
  <si>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</si>
  <si>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</si>
  <si>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</si>
  <si>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</si>
  <si>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</si>
  <si>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</si>
  <si>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</si>
  <si>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</si>
  <si>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</si>
  <si>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</si>
  <si>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</si>
  <si>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</si>
  <si>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</si>
  <si>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</si>
  <si>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</si>
  <si>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</si>
  <si>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</si>
  <si>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</si>
  <si>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</si>
  <si>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</si>
  <si>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</si>
  <si>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</si>
  <si>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</si>
  <si>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</si>
  <si>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</si>
  <si>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</si>
  <si>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</si>
  <si>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</si>
  <si>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</si>
  <si>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</si>
  <si>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</si>
  <si>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</si>
  <si>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</si>
  <si>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</si>
  <si>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</si>
  <si>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</si>
  <si>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</si>
  <si>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</si>
  <si>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</si>
  <si>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</si>
  <si>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</si>
  <si>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</si>
  <si>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</si>
  <si>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</si>
  <si>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</si>
  <si>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</si>
  <si>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</si>
  <si>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</si>
  <si>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</si>
  <si>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</si>
  <si>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</si>
  <si>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</si>
  <si>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</si>
  <si>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</si>
  <si>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</si>
  <si>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</si>
  <si>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</si>
  <si>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</si>
  <si>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</si>
  <si>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</si>
  <si>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</si>
  <si>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</si>
  <si>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</si>
  <si>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</si>
  <si>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</si>
  <si>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</si>
  <si>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</si>
  <si>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</si>
  <si>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</si>
  <si>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</si>
  <si>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</si>
  <si>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</si>
  <si>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</si>
  <si>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</si>
  <si>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</si>
  <si>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</si>
  <si>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</si>
  <si>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</si>
  <si>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</si>
  <si>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</si>
  <si>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</si>
  <si>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</si>
  <si>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</si>
  <si>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</si>
  <si>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</si>
  <si>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</si>
  <si>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</si>
  <si>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</si>
  <si>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</si>
  <si>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</si>
  <si>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</si>
  <si>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</si>
  <si>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</si>
  <si>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</si>
  <si>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</si>
  <si>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</si>
  <si>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</si>
  <si>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</si>
  <si>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</si>
  <si>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</si>
  <si>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</si>
  <si>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</si>
  <si>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</si>
  <si>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</si>
  <si>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</si>
  <si>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</si>
  <si>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</si>
  <si>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</si>
  <si>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</si>
  <si>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</si>
  <si>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</si>
  <si>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</si>
  <si>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</si>
  <si>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</si>
  <si>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</si>
  <si>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</si>
  <si>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</si>
  <si>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</si>
  <si>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</si>
  <si>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</si>
  <si>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</si>
  <si>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</si>
  <si>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</si>
  <si>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</si>
  <si>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</si>
  <si>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</si>
  <si>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</si>
  <si>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</si>
  <si>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</si>
  <si>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</si>
  <si>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</si>
  <si>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</si>
  <si>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</si>
  <si>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</si>
  <si>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</si>
  <si>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</si>
  <si>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</si>
  <si>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</si>
  <si>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</si>
  <si>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</si>
  <si>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</si>
  <si>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</si>
  <si>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</si>
  <si>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</si>
  <si>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</si>
  <si>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</si>
  <si>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</si>
  <si>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</si>
  <si>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</si>
  <si>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</si>
  <si>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</si>
  <si>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</si>
  <si>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</si>
  <si>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</si>
  <si>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</si>
  <si>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</si>
  <si>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</si>
  <si>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</si>
  <si>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</si>
  <si>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</si>
  <si>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</si>
  <si>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</si>
  <si>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</si>
  <si>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</si>
  <si>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</si>
  <si>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</si>
  <si>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</si>
  <si>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</si>
  <si>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</si>
  <si>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</si>
  <si>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</si>
  <si>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</si>
  <si>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</si>
  <si>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</si>
  <si>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</si>
  <si>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</si>
  <si>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</si>
  <si>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</si>
  <si>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</si>
  <si>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</si>
  <si>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</si>
  <si>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</si>
  <si>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</si>
  <si>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</si>
  <si>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</si>
  <si>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</si>
  <si>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</si>
  <si>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</si>
  <si>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</si>
  <si>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</si>
  <si>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</si>
  <si>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</si>
  <si>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</si>
  <si>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</si>
  <si>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</si>
  <si>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</si>
  <si>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</si>
  <si>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</si>
  <si>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</si>
  <si>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</si>
  <si>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</si>
  <si>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</si>
  <si>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</si>
  <si>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</si>
  <si>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</si>
  <si>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</si>
  <si>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</si>
  <si>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</si>
  <si>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</si>
  <si>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</si>
  <si>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</si>
  <si>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</si>
  <si>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</si>
  <si>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</si>
  <si>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</si>
  <si>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</si>
  <si>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</si>
  <si>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</si>
  <si>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</si>
  <si>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</si>
  <si>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</si>
  <si>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</si>
  <si>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</si>
  <si>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</si>
  <si>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</si>
  <si>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</si>
  <si>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</si>
  <si>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</si>
  <si>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</si>
  <si>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</si>
  <si>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</si>
  <si>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</si>
  <si>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</si>
  <si>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</si>
  <si>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</si>
  <si>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</si>
  <si>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</si>
  <si>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</si>
  <si>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</si>
  <si>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</si>
  <si>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</si>
  <si>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</si>
  <si>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</si>
  <si>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</si>
  <si>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</si>
  <si>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</si>
  <si>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</si>
  <si>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</si>
  <si>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</si>
  <si>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</si>
  <si>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</si>
  <si>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</si>
  <si>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</si>
  <si>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</si>
  <si>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</si>
  <si>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</si>
  <si>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</si>
  <si>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</si>
  <si>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</si>
  <si>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</si>
  <si>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</si>
  <si>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</si>
  <si>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</si>
  <si>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</si>
  <si>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</si>
  <si>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</si>
  <si>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</si>
  <si>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</si>
  <si>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</si>
  <si>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</si>
  <si>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</si>
  <si>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</si>
  <si>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</si>
  <si>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</si>
  <si>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</si>
  <si>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</si>
  <si>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</si>
  <si>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</si>
  <si>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</si>
  <si>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</si>
  <si>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</si>
  <si>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</si>
  <si>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</si>
  <si>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</si>
  <si>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</si>
  <si>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</si>
  <si>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</si>
  <si>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</si>
  <si>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</si>
  <si>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</si>
  <si>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</si>
  <si>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</si>
  <si>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</si>
  <si>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</si>
  <si>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</si>
  <si>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</si>
  <si>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</si>
  <si>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</si>
  <si>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</si>
  <si>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</si>
  <si>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</si>
  <si>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</si>
  <si>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</si>
  <si>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</si>
  <si>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</si>
  <si>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</si>
  <si>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</si>
  <si>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</si>
  <si>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</si>
  <si>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</si>
  <si>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</si>
  <si>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</si>
  <si>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</si>
  <si>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</si>
  <si>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</si>
  <si>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</si>
  <si>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</si>
  <si>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</si>
  <si>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</si>
  <si>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</si>
  <si>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</si>
  <si>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</si>
  <si>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</si>
  <si>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</si>
  <si>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</si>
  <si>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</si>
  <si>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</si>
  <si>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</si>
  <si>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</si>
  <si>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</si>
  <si>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</si>
  <si>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</si>
  <si>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</si>
  <si>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</si>
  <si>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</si>
  <si>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</si>
  <si>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</si>
  <si>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</si>
  <si>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</si>
  <si>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</si>
  <si>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</si>
  <si>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</si>
  <si>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</si>
  <si>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</si>
  <si>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</si>
  <si>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</si>
  <si>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</si>
  <si>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</si>
  <si>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</si>
  <si>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</si>
  <si>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</si>
  <si>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</si>
  <si>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</si>
  <si>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</si>
  <si>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</si>
  <si>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</si>
  <si>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</si>
  <si>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</si>
  <si>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</si>
  <si>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</si>
  <si>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</si>
  <si>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</si>
  <si>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</si>
  <si>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</si>
  <si>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</si>
  <si>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</si>
  <si>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</si>
  <si>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</si>
  <si>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</si>
  <si>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</si>
  <si>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</si>
  <si>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</si>
  <si>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</si>
  <si>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</si>
  <si>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</si>
  <si>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</si>
  <si>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</si>
  <si>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</si>
  <si>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</si>
  <si>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</si>
  <si>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</si>
  <si>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</si>
  <si>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</si>
  <si>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</si>
  <si>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</si>
  <si>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</si>
  <si>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</si>
  <si>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</si>
  <si>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</si>
  <si>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</si>
  <si>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</si>
  <si>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</si>
  <si>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</si>
  <si>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</si>
  <si>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</si>
  <si>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</si>
  <si>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</si>
  <si>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</si>
  <si>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</si>
  <si>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</si>
  <si>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</si>
  <si>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</si>
  <si>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</si>
  <si>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</si>
  <si>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</si>
  <si>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</si>
  <si>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</si>
  <si>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</si>
  <si>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</si>
  <si>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</si>
  <si>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</si>
  <si>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</si>
  <si>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</si>
  <si>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</si>
  <si>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</si>
  <si>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</si>
  <si>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</si>
  <si>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</si>
  <si>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</si>
  <si>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</si>
  <si>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</si>
  <si>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</si>
  <si>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</si>
  <si>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</si>
  <si>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</si>
  <si>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</si>
  <si>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</si>
  <si>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</si>
  <si>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</si>
  <si>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</si>
  <si>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</si>
  <si>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</si>
  <si>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</si>
  <si>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</si>
  <si>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</si>
  <si>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</si>
  <si>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</si>
  <si>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</si>
  <si>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</si>
  <si>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</si>
  <si>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</si>
  <si>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</si>
  <si>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</si>
  <si>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</si>
  <si>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</si>
  <si>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</si>
  <si>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</si>
  <si>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</si>
  <si>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</si>
  <si>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</si>
  <si>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</si>
  <si>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</si>
  <si>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</si>
  <si>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</si>
  <si>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</si>
  <si>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</si>
  <si>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</si>
  <si>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</si>
  <si>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</si>
  <si>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</si>
  <si>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</si>
  <si>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</si>
  <si>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</si>
  <si>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</si>
  <si>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</si>
  <si>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</si>
  <si>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</si>
  <si>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</si>
  <si>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</si>
  <si>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</si>
  <si>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</si>
  <si>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</si>
  <si>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x</t>
  </si>
  <si>
    <t>Burke Montague &amp; Associates LLC</t>
  </si>
  <si>
    <t>Kathleen Wilson</t>
  </si>
  <si>
    <t>253 W Broadway</t>
  </si>
  <si>
    <t>Bradley</t>
  </si>
  <si>
    <t>IL</t>
  </si>
  <si>
    <t>815-933-5641</t>
  </si>
  <si>
    <t>815-939-0016</t>
  </si>
  <si>
    <t>kwilson@mybmacpa.com</t>
  </si>
  <si>
    <t>066-003660</t>
  </si>
  <si>
    <t>Kankakee</t>
  </si>
  <si>
    <t>St George CCSD 258</t>
  </si>
  <si>
    <t>5200 E Center</t>
  </si>
  <si>
    <t>Bourbonnais</t>
  </si>
  <si>
    <t>Helen Boehrnsen</t>
  </si>
  <si>
    <t>WCF Bonds</t>
  </si>
  <si>
    <t>Refunding Bonds</t>
  </si>
  <si>
    <t>IKAN ROE</t>
  </si>
  <si>
    <t>Kankakee County Sp Ed</t>
  </si>
  <si>
    <t>Inhouse CIO</t>
  </si>
  <si>
    <t>IT service</t>
  </si>
  <si>
    <t>Bus lease</t>
  </si>
  <si>
    <t>Santander Leasing LLC</t>
  </si>
  <si>
    <t>10-2660-300</t>
  </si>
  <si>
    <t>40-2550-300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</si>
</sst>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505">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6" xfId="12" applyNumberFormat="1" applyFont="1" applyBorder="1" applyAlignment="1" applyProtection="1">
      <alignment horizontal="right" vertical="center"/>
    </xf>
    <xf numFmtId="0" fontId="10" fillId="0" borderId="126" xfId="12" applyFont="1" applyBorder="1" applyAlignment="1" applyProtection="1">
      <alignment vertical="center"/>
    </xf>
    <xf numFmtId="0" fontId="13" fillId="0" borderId="129" xfId="12" applyFont="1" applyBorder="1" applyAlignment="1" applyProtection="1">
      <alignment vertical="center"/>
    </xf>
    <xf numFmtId="0" fontId="13" fillId="0" borderId="127" xfId="12" applyFont="1" applyBorder="1" applyAlignment="1" applyProtection="1">
      <alignment vertical="center"/>
    </xf>
    <xf numFmtId="1" fontId="9" fillId="0" borderId="0" xfId="0" applyNumberFormat="1" applyFont="1" applyAlignment="1">
      <alignment horizontal="center" vertical="center"/>
    </xf>
    <xf numFmtId="0" fontId="10" fillId="0" borderId="136"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10" borderId="101" xfId="0" applyFont="1" applyFill="1" applyBorder="1" applyAlignment="1">
      <alignment horizontal="center" vertical="center"/>
    </xf>
    <xf numFmtId="0" fontId="75" fillId="10" borderId="102" xfId="0" applyFont="1" applyFill="1" applyBorder="1" applyAlignment="1">
      <alignment horizontal="center" vertical="center"/>
    </xf>
    <xf numFmtId="0" fontId="53" fillId="18" borderId="122" xfId="0" applyFont="1" applyFill="1" applyBorder="1" applyAlignment="1" applyProtection="1">
      <alignment horizontal="left" vertical="center"/>
    </xf>
    <xf numFmtId="164" fontId="53" fillId="18" borderId="122" xfId="0" applyNumberFormat="1" applyFont="1" applyFill="1" applyBorder="1" applyAlignment="1" applyProtection="1">
      <alignment horizontal="center" vertical="center"/>
    </xf>
    <xf numFmtId="164" fontId="63" fillId="18" borderId="122" xfId="0" applyNumberFormat="1" applyFont="1" applyFill="1" applyBorder="1" applyAlignment="1" applyProtection="1">
      <alignment vertical="center"/>
    </xf>
    <xf numFmtId="0" fontId="76" fillId="11" borderId="123" xfId="0" applyFont="1" applyFill="1" applyBorder="1" applyAlignment="1">
      <alignment horizontal="left" vertical="center"/>
    </xf>
    <xf numFmtId="38" fontId="48" fillId="11" borderId="103" xfId="0" applyNumberFormat="1" applyFont="1" applyFill="1" applyBorder="1" applyAlignment="1">
      <alignment horizontal="right"/>
    </xf>
    <xf numFmtId="38" fontId="48" fillId="11" borderId="110" xfId="0" applyNumberFormat="1" applyFont="1" applyFill="1" applyBorder="1" applyAlignment="1">
      <alignment horizontal="right"/>
    </xf>
    <xf numFmtId="0" fontId="77" fillId="12" borderId="103" xfId="0" applyFont="1" applyFill="1" applyBorder="1" applyAlignment="1">
      <alignment vertical="center"/>
    </xf>
    <xf numFmtId="164" fontId="53" fillId="14" borderId="118" xfId="0" applyNumberFormat="1" applyFont="1" applyFill="1" applyBorder="1" applyAlignment="1" applyProtection="1">
      <alignment horizontal="center" vertical="center"/>
    </xf>
    <xf numFmtId="164" fontId="63" fillId="14" borderId="110" xfId="0" applyNumberFormat="1" applyFont="1" applyFill="1" applyBorder="1" applyAlignment="1" applyProtection="1">
      <alignment vertical="center"/>
    </xf>
    <xf numFmtId="0" fontId="56" fillId="14" borderId="103" xfId="0" applyFont="1" applyFill="1" applyBorder="1" applyAlignment="1" applyProtection="1">
      <alignment vertical="center"/>
    </xf>
    <xf numFmtId="38" fontId="48" fillId="12" borderId="121" xfId="0" applyNumberFormat="1" applyFont="1" applyFill="1" applyBorder="1" applyAlignment="1" applyProtection="1">
      <alignment horizontal="right"/>
      <protection locked="0"/>
    </xf>
    <xf numFmtId="38" fontId="48" fillId="12" borderId="103" xfId="0" applyNumberFormat="1" applyFont="1" applyFill="1" applyBorder="1" applyAlignment="1" applyProtection="1">
      <alignment horizontal="right"/>
      <protection locked="0"/>
    </xf>
    <xf numFmtId="38" fontId="48" fillId="12" borderId="110" xfId="0" applyNumberFormat="1" applyFont="1" applyFill="1" applyBorder="1" applyAlignment="1" applyProtection="1">
      <alignment horizontal="right"/>
      <protection locked="0"/>
    </xf>
    <xf numFmtId="0" fontId="53" fillId="18" borderId="110" xfId="0" applyFont="1" applyFill="1" applyBorder="1" applyAlignment="1" applyProtection="1">
      <alignment horizontal="center" vertical="center"/>
    </xf>
    <xf numFmtId="164" fontId="53" fillId="18" borderId="110" xfId="0" applyNumberFormat="1" applyFont="1" applyFill="1" applyBorder="1" applyAlignment="1" applyProtection="1">
      <alignment horizontal="center" vertical="center"/>
    </xf>
    <xf numFmtId="164" fontId="63" fillId="18"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3" fillId="18" borderId="0" xfId="0" applyFont="1" applyFill="1" applyBorder="1" applyAlignment="1" applyProtection="1">
      <alignment horizontal="left" vertical="center"/>
    </xf>
    <xf numFmtId="164" fontId="53" fillId="18" borderId="0" xfId="0" applyNumberFormat="1" applyFont="1" applyFill="1" applyBorder="1" applyAlignment="1" applyProtection="1">
      <alignment horizontal="center" vertical="center"/>
    </xf>
    <xf numFmtId="164" fontId="63" fillId="18" borderId="0" xfId="0" applyNumberFormat="1" applyFont="1" applyFill="1" applyBorder="1" applyAlignment="1" applyProtection="1">
      <alignment vertical="center"/>
    </xf>
    <xf numFmtId="0" fontId="61" fillId="14" borderId="118" xfId="0" applyFont="1" applyFill="1" applyBorder="1" applyAlignment="1" applyProtection="1">
      <alignment horizontal="left" vertical="center"/>
    </xf>
    <xf numFmtId="164" fontId="53" fillId="14" borderId="110"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77" fillId="12" borderId="103" xfId="0" applyFont="1" applyFill="1" applyBorder="1" applyAlignment="1">
      <alignment horizontal="left" vertical="center"/>
    </xf>
    <xf numFmtId="0" fontId="53" fillId="14" borderId="119" xfId="0" applyFont="1" applyFill="1" applyBorder="1" applyAlignment="1" applyProtection="1">
      <alignment horizontal="center" vertical="center"/>
    </xf>
    <xf numFmtId="164" fontId="53" fillId="14" borderId="120" xfId="0" applyNumberFormat="1" applyFont="1" applyFill="1" applyBorder="1" applyAlignment="1" applyProtection="1">
      <alignment horizontal="center" vertical="center"/>
    </xf>
    <xf numFmtId="164" fontId="63" fillId="14" borderId="120" xfId="0" applyNumberFormat="1" applyFont="1" applyFill="1" applyBorder="1" applyAlignment="1" applyProtection="1">
      <alignment vertical="center"/>
    </xf>
    <xf numFmtId="38" fontId="48" fillId="12" borderId="110" xfId="0" applyNumberFormat="1" applyFont="1" applyFill="1" applyBorder="1" applyAlignment="1">
      <alignment horizontal="right"/>
    </xf>
    <xf numFmtId="0" fontId="76" fillId="11" borderId="104" xfId="0" applyFont="1" applyFill="1" applyBorder="1" applyAlignment="1">
      <alignment horizontal="left" vertical="center"/>
    </xf>
    <xf numFmtId="38" fontId="48" fillId="11" borderId="104" xfId="0" applyNumberFormat="1" applyFont="1" applyFill="1" applyBorder="1" applyAlignment="1">
      <alignment horizontal="right"/>
    </xf>
    <xf numFmtId="38" fontId="48" fillId="11"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8" xfId="0" applyNumberFormat="1" applyFont="1" applyBorder="1" applyAlignment="1" applyProtection="1">
      <alignment horizontal="center" vertical="center"/>
    </xf>
    <xf numFmtId="38" fontId="54" fillId="0" borderId="128" xfId="0" applyNumberFormat="1" applyFont="1" applyBorder="1" applyAlignment="1" applyProtection="1">
      <alignment horizontal="right"/>
      <protection locked="0"/>
    </xf>
    <xf numFmtId="38" fontId="54" fillId="3" borderId="128"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1" xfId="0" applyFont="1" applyFill="1" applyBorder="1" applyAlignment="1" applyProtection="1">
      <alignment horizontal="center" vertical="center"/>
    </xf>
    <xf numFmtId="38" fontId="54" fillId="0" borderId="125"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38" fontId="54" fillId="0" borderId="112" xfId="0" applyNumberFormat="1" applyFont="1" applyFill="1" applyBorder="1" applyAlignment="1" applyProtection="1">
      <alignment horizontal="right"/>
      <protection locked="0"/>
    </xf>
    <xf numFmtId="38" fontId="54" fillId="0" borderId="55"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8"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8"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6"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8" xfId="0" applyFont="1" applyFill="1" applyBorder="1" applyAlignment="1">
      <alignment horizontal="center" vertical="center"/>
    </xf>
    <xf numFmtId="38" fontId="54" fillId="0" borderId="128"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6"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7" xfId="0" applyNumberFormat="1" applyFont="1" applyFill="1" applyBorder="1" applyAlignment="1">
      <alignment horizontal="center" vertical="center"/>
    </xf>
    <xf numFmtId="49" fontId="61" fillId="0" borderId="128"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8"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6"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20"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6"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6"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4" xfId="3" applyNumberFormat="1" applyFont="1" applyBorder="1" applyAlignment="1">
      <alignment horizontal="center" vertical="center"/>
    </xf>
    <xf numFmtId="0" fontId="56" fillId="0" borderId="134"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4"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3" xfId="0" applyFont="1" applyBorder="1"/>
    <xf numFmtId="0" fontId="54" fillId="0" borderId="13" xfId="0" applyFont="1" applyBorder="1"/>
    <xf numFmtId="0" fontId="54" fillId="0" borderId="126" xfId="0" applyFont="1" applyBorder="1" applyAlignment="1">
      <alignment horizontal="left" vertical="top"/>
    </xf>
    <xf numFmtId="164" fontId="112" fillId="0" borderId="129" xfId="0" applyNumberFormat="1" applyFont="1" applyBorder="1" applyAlignment="1">
      <alignment horizontal="right" vertical="top"/>
    </xf>
    <xf numFmtId="0" fontId="54" fillId="0" borderId="129" xfId="0" applyNumberFormat="1" applyFont="1" applyBorder="1" applyAlignment="1">
      <alignment horizontal="left" vertical="center" wrapText="1" indent="1"/>
    </xf>
    <xf numFmtId="0" fontId="84" fillId="0" borderId="128" xfId="0" applyFont="1" applyBorder="1" applyAlignment="1">
      <alignment horizontal="left" vertical="center" wrapText="1"/>
    </xf>
    <xf numFmtId="0" fontId="54" fillId="0" borderId="129" xfId="0" applyFont="1" applyBorder="1" applyAlignment="1">
      <alignment horizontal="left" vertical="top"/>
    </xf>
    <xf numFmtId="0" fontId="54" fillId="0" borderId="0" xfId="0" applyFont="1" applyBorder="1" applyAlignment="1">
      <alignment vertical="top"/>
    </xf>
    <xf numFmtId="0" fontId="114" fillId="0" borderId="129" xfId="0" applyNumberFormat="1" applyFont="1" applyBorder="1" applyAlignment="1">
      <alignment horizontal="left" vertical="center"/>
    </xf>
    <xf numFmtId="0" fontId="112" fillId="0" borderId="129" xfId="0" applyFont="1" applyBorder="1" applyAlignment="1">
      <alignment vertical="top"/>
    </xf>
    <xf numFmtId="0" fontId="112" fillId="0" borderId="129" xfId="0" applyFont="1" applyBorder="1" applyAlignment="1">
      <alignment horizontal="left" vertical="top"/>
    </xf>
    <xf numFmtId="0" fontId="54" fillId="0" borderId="126" xfId="0" applyFont="1" applyBorder="1" applyAlignment="1"/>
    <xf numFmtId="164" fontId="112" fillId="0" borderId="129" xfId="0" applyNumberFormat="1" applyFont="1" applyBorder="1" applyAlignment="1"/>
    <xf numFmtId="0" fontId="54" fillId="0" borderId="129" xfId="0" applyFont="1" applyBorder="1" applyAlignment="1"/>
    <xf numFmtId="0" fontId="61" fillId="0" borderId="127"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5"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6" xfId="0" applyFont="1" applyFill="1" applyBorder="1" applyAlignment="1"/>
    <xf numFmtId="0" fontId="53" fillId="0" borderId="129" xfId="0" applyFont="1" applyFill="1" applyBorder="1" applyAlignment="1">
      <alignment horizontal="left" vertical="top"/>
    </xf>
    <xf numFmtId="0" fontId="53" fillId="0" borderId="127"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7"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4" xfId="3" quotePrefix="1" applyNumberFormat="1" applyFont="1" applyBorder="1" applyAlignment="1" applyProtection="1">
      <alignment horizontal="left"/>
    </xf>
    <xf numFmtId="0" fontId="61" fillId="0" borderId="145" xfId="3" applyNumberFormat="1" applyFont="1" applyBorder="1" applyAlignment="1" applyProtection="1">
      <alignment horizontal="center"/>
    </xf>
    <xf numFmtId="0" fontId="61" fillId="0" borderId="145" xfId="3" applyNumberFormat="1" applyFont="1" applyBorder="1" applyProtection="1"/>
    <xf numFmtId="0" fontId="54" fillId="0" borderId="144" xfId="3" applyNumberFormat="1" applyFont="1" applyBorder="1" applyAlignment="1" applyProtection="1"/>
    <xf numFmtId="0" fontId="61" fillId="0" borderId="146" xfId="3" applyNumberFormat="1" applyFont="1" applyBorder="1" applyAlignment="1" applyProtection="1">
      <alignment horizontal="centerContinuous"/>
    </xf>
    <xf numFmtId="0" fontId="54" fillId="0" borderId="144" xfId="3" applyNumberFormat="1" applyFont="1" applyBorder="1" applyAlignment="1" applyProtection="1">
      <alignment horizontal="left"/>
    </xf>
    <xf numFmtId="0" fontId="61" fillId="0" borderId="146" xfId="3" applyNumberFormat="1" applyFont="1" applyBorder="1" applyProtection="1"/>
    <xf numFmtId="0" fontId="61" fillId="0" borderId="145"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4"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6" fillId="0" borderId="77" xfId="3" applyNumberFormat="1" applyFont="1" applyBorder="1" applyAlignment="1" applyProtection="1">
      <alignment horizontal="center"/>
    </xf>
    <xf numFmtId="0" fontId="54" fillId="0" borderId="0" xfId="3" applyNumberFormat="1" applyFont="1" applyProtection="1"/>
    <xf numFmtId="0" fontId="61" fillId="0" borderId="0" xfId="3" quotePrefix="1" applyNumberFormat="1" applyFont="1" applyAlignment="1" applyProtection="1">
      <alignment horizontal="left"/>
    </xf>
    <xf numFmtId="0" fontId="53" fillId="0" borderId="0" xfId="3" applyNumberFormat="1" applyFont="1" applyProtection="1"/>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8"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5"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9"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7" xfId="3" applyFont="1" applyBorder="1" applyProtection="1"/>
    <xf numFmtId="0" fontId="54" fillId="0" borderId="148" xfId="3" applyFont="1" applyBorder="1" applyProtection="1">
      <protection locked="0"/>
    </xf>
    <xf numFmtId="0" fontId="54" fillId="0" borderId="147"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6" xfId="3" applyNumberFormat="1" applyFont="1" applyBorder="1" applyAlignment="1" applyProtection="1">
      <alignment horizontal="center"/>
    </xf>
    <xf numFmtId="0" fontId="63" fillId="0" borderId="145" xfId="3" applyFont="1" applyBorder="1" applyAlignment="1" applyProtection="1">
      <alignment horizontal="centerContinuous"/>
    </xf>
    <xf numFmtId="0" fontId="63" fillId="0" borderId="146"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6"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1" borderId="72" xfId="3" applyFont="1" applyFill="1" applyBorder="1" applyAlignment="1" applyProtection="1">
      <alignment horizontal="center"/>
    </xf>
    <xf numFmtId="0" fontId="63" fillId="22"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1"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2"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1" borderId="0" xfId="3" applyFont="1" applyFill="1" applyProtection="1"/>
    <xf numFmtId="169" fontId="56" fillId="21" borderId="0" xfId="3" applyNumberFormat="1" applyFont="1" applyFill="1" applyProtection="1"/>
    <xf numFmtId="1" fontId="56" fillId="21" borderId="0" xfId="3" applyNumberFormat="1" applyFont="1" applyFill="1" applyProtection="1"/>
    <xf numFmtId="0" fontId="56" fillId="21"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5" xfId="3" applyFont="1" applyBorder="1" applyProtection="1"/>
    <xf numFmtId="0" fontId="56" fillId="0" borderId="145" xfId="3" applyFont="1" applyBorder="1" applyProtection="1"/>
    <xf numFmtId="0" fontId="56" fillId="0" borderId="145"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5" xfId="3" quotePrefix="1" applyFont="1" applyBorder="1" applyAlignment="1" applyProtection="1">
      <alignment horizontal="left"/>
    </xf>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5" xfId="3" applyFont="1" applyBorder="1" applyProtection="1"/>
    <xf numFmtId="0" fontId="56" fillId="0" borderId="0" xfId="3" applyFont="1" applyBorder="1" applyAlignment="1" applyProtection="1">
      <alignment horizontal="left"/>
    </xf>
    <xf numFmtId="0" fontId="63" fillId="0" borderId="145" xfId="3" applyFont="1" applyBorder="1" applyAlignment="1" applyProtection="1">
      <alignment horizontal="left"/>
    </xf>
    <xf numFmtId="0" fontId="56" fillId="9" borderId="145" xfId="3" applyFont="1" applyFill="1" applyBorder="1" applyProtection="1"/>
    <xf numFmtId="0" fontId="56" fillId="9" borderId="145" xfId="3" applyFont="1" applyFill="1" applyBorder="1" applyAlignment="1" applyProtection="1">
      <alignment horizontal="center"/>
    </xf>
    <xf numFmtId="0" fontId="56" fillId="9" borderId="146" xfId="3" applyFont="1" applyFill="1" applyBorder="1" applyProtection="1"/>
    <xf numFmtId="0" fontId="61" fillId="9" borderId="5" xfId="3" applyFont="1" applyFill="1" applyBorder="1" applyProtection="1"/>
    <xf numFmtId="0" fontId="61" fillId="9" borderId="111" xfId="3" applyFont="1" applyFill="1" applyBorder="1" applyProtection="1"/>
    <xf numFmtId="14" fontId="56" fillId="9" borderId="0" xfId="3" applyNumberFormat="1" applyFont="1" applyFill="1" applyBorder="1" applyProtection="1"/>
    <xf numFmtId="0" fontId="56" fillId="9" borderId="0" xfId="3" applyFont="1" applyFill="1" applyBorder="1" applyProtection="1"/>
    <xf numFmtId="0" fontId="56" fillId="9" borderId="0" xfId="3" applyFont="1" applyFill="1" applyBorder="1" applyAlignment="1" applyProtection="1">
      <alignment horizontal="center"/>
    </xf>
    <xf numFmtId="0" fontId="56" fillId="9" borderId="9" xfId="3" applyFont="1" applyFill="1" applyBorder="1" applyProtection="1"/>
    <xf numFmtId="0" fontId="61" fillId="9" borderId="0" xfId="3" applyFont="1" applyFill="1" applyBorder="1" applyProtection="1"/>
    <xf numFmtId="0" fontId="56" fillId="9" borderId="50" xfId="3" applyFont="1" applyFill="1" applyBorder="1" applyProtection="1"/>
    <xf numFmtId="0" fontId="56" fillId="9" borderId="9" xfId="3" applyFont="1" applyFill="1" applyBorder="1" applyAlignment="1" applyProtection="1">
      <alignment horizontal="center"/>
    </xf>
    <xf numFmtId="0" fontId="56" fillId="9" borderId="59" xfId="3" applyFont="1" applyFill="1" applyBorder="1" applyProtection="1"/>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5"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50"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63" fillId="9" borderId="144" xfId="3" applyFont="1" applyFill="1" applyBorder="1" applyProtection="1"/>
    <xf numFmtId="0" fontId="63" fillId="9" borderId="145" xfId="3" applyFont="1" applyFill="1" applyBorder="1" applyProtection="1"/>
    <xf numFmtId="0" fontId="56" fillId="0" borderId="5" xfId="3" applyFont="1" applyFill="1" applyBorder="1" applyProtection="1"/>
    <xf numFmtId="14" fontId="56" fillId="9" borderId="74" xfId="3" applyNumberFormat="1" applyFont="1" applyFill="1" applyBorder="1" applyAlignment="1" applyProtection="1">
      <alignment horizontal="center"/>
    </xf>
    <xf numFmtId="0" fontId="56" fillId="9" borderId="74" xfId="3" applyFont="1" applyFill="1" applyBorder="1" applyAlignment="1" applyProtection="1">
      <alignment horizontal="center"/>
    </xf>
    <xf numFmtId="0" fontId="56" fillId="9" borderId="40" xfId="3" applyFont="1" applyFill="1" applyBorder="1" applyProtection="1"/>
    <xf numFmtId="0" fontId="71" fillId="0" borderId="152" xfId="3" applyFont="1" applyBorder="1" applyAlignment="1" applyProtection="1">
      <alignment horizontal="left"/>
    </xf>
    <xf numFmtId="0" fontId="56" fillId="0" borderId="152" xfId="3" applyFont="1" applyBorder="1" applyProtection="1"/>
    <xf numFmtId="0" fontId="56" fillId="0" borderId="152"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9"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30"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8" xfId="0" applyNumberFormat="1" applyFont="1" applyBorder="1" applyAlignment="1">
      <alignment horizontal="left" vertical="center" wrapText="1" indent="1"/>
    </xf>
    <xf numFmtId="3" fontId="61" fillId="0" borderId="126"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8"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8" xfId="0" applyNumberFormat="1" applyFont="1" applyFill="1" applyBorder="1" applyAlignment="1" applyProtection="1">
      <alignment horizontal="right" vertical="center"/>
      <protection locked="0"/>
    </xf>
    <xf numFmtId="38" fontId="53" fillId="6" borderId="156" xfId="0" applyNumberFormat="1" applyFont="1" applyFill="1" applyBorder="1" applyAlignment="1">
      <alignment horizontal="center" vertical="center" wrapText="1"/>
    </xf>
    <xf numFmtId="38" fontId="53" fillId="6" borderId="156" xfId="0" applyNumberFormat="1" applyFont="1" applyFill="1" applyBorder="1" applyAlignment="1">
      <alignment horizontal="center" vertical="top" wrapText="1"/>
    </xf>
    <xf numFmtId="38" fontId="63" fillId="6" borderId="156"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1" xfId="17" applyFont="1" applyBorder="1" applyAlignment="1">
      <alignment horizontal="left" vertical="top"/>
    </xf>
    <xf numFmtId="0" fontId="125" fillId="0" borderId="142" xfId="17" applyFont="1" applyBorder="1" applyAlignment="1">
      <alignment horizontal="center" vertical="top"/>
    </xf>
    <xf numFmtId="0" fontId="125" fillId="0" borderId="143"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3" borderId="158" xfId="17" applyNumberFormat="1" applyFill="1" applyBorder="1" applyAlignment="1">
      <alignment horizontal="right" vertical="top"/>
    </xf>
    <xf numFmtId="38" fontId="6" fillId="23" borderId="159"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4" borderId="157" xfId="17" applyFont="1" applyFill="1" applyBorder="1" applyAlignment="1">
      <alignment horizontal="center" vertical="center" wrapText="1"/>
    </xf>
    <xf numFmtId="38" fontId="124" fillId="24" borderId="157" xfId="17" applyNumberFormat="1" applyFont="1" applyFill="1" applyBorder="1" applyAlignment="1">
      <alignment horizontal="center" vertical="center" wrapText="1"/>
    </xf>
    <xf numFmtId="3" fontId="54" fillId="24" borderId="132" xfId="0" applyNumberFormat="1" applyFont="1" applyFill="1" applyBorder="1" applyAlignment="1">
      <alignment horizontal="center"/>
    </xf>
    <xf numFmtId="3" fontId="54" fillId="24" borderId="132" xfId="0" applyNumberFormat="1" applyFont="1" applyFill="1" applyBorder="1" applyAlignment="1">
      <alignment horizontal="right"/>
    </xf>
    <xf numFmtId="3" fontId="54" fillId="24" borderId="133" xfId="0" applyNumberFormat="1" applyFont="1" applyFill="1" applyBorder="1" applyAlignment="1">
      <alignment horizontal="center"/>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3" fontId="64" fillId="24" borderId="126" xfId="0" applyNumberFormat="1" applyFont="1" applyFill="1" applyBorder="1" applyAlignment="1">
      <alignment horizontal="center" vertical="center" wrapText="1"/>
    </xf>
    <xf numFmtId="49" fontId="61" fillId="24" borderId="11" xfId="0" applyNumberFormat="1" applyFont="1" applyFill="1" applyBorder="1" applyAlignment="1">
      <alignment horizontal="center" vertical="center"/>
    </xf>
    <xf numFmtId="38" fontId="54" fillId="24" borderId="13" xfId="0" applyNumberFormat="1" applyFont="1" applyFill="1" applyBorder="1" applyAlignment="1">
      <alignment horizontal="right"/>
    </xf>
    <xf numFmtId="38" fontId="54" fillId="24" borderId="21" xfId="0" applyNumberFormat="1" applyFont="1" applyFill="1" applyBorder="1" applyAlignment="1">
      <alignment horizontal="right"/>
    </xf>
    <xf numFmtId="38" fontId="54" fillId="24" borderId="14" xfId="0" applyNumberFormat="1" applyFont="1" applyFill="1" applyBorder="1" applyAlignment="1">
      <alignment horizontal="right"/>
    </xf>
    <xf numFmtId="38" fontId="53" fillId="24" borderId="13"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21" xfId="1"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38" fontId="54" fillId="24" borderId="19" xfId="0" applyNumberFormat="1" applyFont="1" applyFill="1" applyBorder="1" applyAlignment="1" applyProtection="1">
      <alignment horizontal="right"/>
    </xf>
    <xf numFmtId="38" fontId="54" fillId="24" borderId="20"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0" fontId="56" fillId="24" borderId="31" xfId="0" applyFont="1" applyFill="1" applyBorder="1" applyAlignment="1">
      <alignment horizontal="center" vertical="center"/>
    </xf>
    <xf numFmtId="38" fontId="54" fillId="24" borderId="13" xfId="0" applyNumberFormat="1" applyFont="1" applyFill="1" applyBorder="1" applyAlignment="1" applyProtection="1">
      <alignment horizontal="right"/>
    </xf>
    <xf numFmtId="38" fontId="54" fillId="24" borderId="11" xfId="0" applyNumberFormat="1" applyFont="1" applyFill="1" applyBorder="1" applyAlignment="1" applyProtection="1">
      <alignment horizontal="right"/>
    </xf>
    <xf numFmtId="38" fontId="54" fillId="24" borderId="49" xfId="0" applyNumberFormat="1" applyFont="1" applyFill="1" applyBorder="1" applyAlignment="1" applyProtection="1">
      <alignment horizontal="right"/>
    </xf>
    <xf numFmtId="38" fontId="54" fillId="24" borderId="34" xfId="0" applyNumberFormat="1" applyFont="1" applyFill="1" applyBorder="1" applyAlignment="1" applyProtection="1">
      <alignment horizontal="right"/>
    </xf>
    <xf numFmtId="38" fontId="54" fillId="24" borderId="31" xfId="0" applyNumberFormat="1" applyFont="1" applyFill="1" applyBorder="1" applyAlignment="1" applyProtection="1">
      <alignment horizontal="right"/>
    </xf>
    <xf numFmtId="3" fontId="53" fillId="24" borderId="13" xfId="0" applyNumberFormat="1" applyFont="1" applyFill="1" applyBorder="1" applyAlignment="1" applyProtection="1">
      <alignment horizontal="right" vertical="center"/>
    </xf>
    <xf numFmtId="3" fontId="53" fillId="24" borderId="21" xfId="0" applyNumberFormat="1" applyFont="1" applyFill="1" applyBorder="1" applyAlignment="1" applyProtection="1">
      <alignment horizontal="right" vertical="center"/>
    </xf>
    <xf numFmtId="3" fontId="53" fillId="24" borderId="14" xfId="0" applyNumberFormat="1" applyFont="1" applyFill="1" applyBorder="1" applyAlignment="1" applyProtection="1">
      <alignment horizontal="right" vertical="center"/>
    </xf>
    <xf numFmtId="0" fontId="63" fillId="18" borderId="14" xfId="0" applyFont="1" applyFill="1" applyBorder="1" applyAlignment="1" applyProtection="1">
      <alignment horizontal="left" vertical="center"/>
    </xf>
    <xf numFmtId="0" fontId="63" fillId="18" borderId="2" xfId="0" applyFont="1" applyFill="1" applyBorder="1" applyAlignment="1" applyProtection="1">
      <alignment horizontal="center" vertical="top"/>
    </xf>
    <xf numFmtId="0" fontId="63" fillId="18" borderId="2" xfId="0" applyFont="1" applyFill="1" applyBorder="1" applyAlignment="1" applyProtection="1">
      <alignment horizontal="center" vertical="center"/>
    </xf>
    <xf numFmtId="3" fontId="53" fillId="24" borderId="13" xfId="0" applyNumberFormat="1" applyFont="1" applyFill="1" applyBorder="1" applyAlignment="1" applyProtection="1">
      <alignment horizontal="center" vertical="center"/>
    </xf>
    <xf numFmtId="49" fontId="63" fillId="24" borderId="21" xfId="0" applyNumberFormat="1" applyFont="1" applyFill="1" applyBorder="1" applyAlignment="1" applyProtection="1">
      <alignment horizontal="center" vertical="center"/>
    </xf>
    <xf numFmtId="3" fontId="54" fillId="24" borderId="21" xfId="0" applyNumberFormat="1" applyFont="1" applyFill="1" applyBorder="1" applyAlignment="1" applyProtection="1">
      <alignment horizontal="center"/>
    </xf>
    <xf numFmtId="3" fontId="56" fillId="24" borderId="21" xfId="0" applyNumberFormat="1" applyFont="1" applyFill="1" applyBorder="1" applyAlignment="1" applyProtection="1">
      <alignment horizontal="center"/>
    </xf>
    <xf numFmtId="38" fontId="56" fillId="24" borderId="21" xfId="0" applyNumberFormat="1" applyFont="1" applyFill="1" applyBorder="1" applyAlignment="1" applyProtection="1">
      <alignment horizontal="center"/>
    </xf>
    <xf numFmtId="3" fontId="56" fillId="24" borderId="14" xfId="0" applyNumberFormat="1" applyFont="1" applyFill="1" applyBorder="1" applyAlignment="1" applyProtection="1">
      <alignment horizontal="center"/>
    </xf>
    <xf numFmtId="0" fontId="53" fillId="24" borderId="49" xfId="0" applyFont="1" applyFill="1" applyBorder="1" applyAlignment="1" applyProtection="1">
      <alignment horizontal="center" vertical="center" wrapText="1"/>
    </xf>
    <xf numFmtId="0" fontId="54" fillId="24" borderId="34"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wrapText="1"/>
    </xf>
    <xf numFmtId="0" fontId="56" fillId="24" borderId="31" xfId="0" applyFont="1" applyFill="1" applyBorder="1" applyAlignment="1">
      <alignment horizontal="center" vertical="center" wrapText="1"/>
    </xf>
    <xf numFmtId="164" fontId="53" fillId="24" borderId="49" xfId="0" applyNumberFormat="1" applyFont="1" applyFill="1" applyBorder="1" applyAlignment="1" applyProtection="1">
      <alignment horizontal="center" vertical="center"/>
    </xf>
    <xf numFmtId="3" fontId="63" fillId="18" borderId="20" xfId="0" applyNumberFormat="1" applyFont="1" applyFill="1" applyBorder="1" applyAlignment="1" applyProtection="1">
      <alignment horizontal="left" vertical="center"/>
    </xf>
    <xf numFmtId="0" fontId="63" fillId="18" borderId="2" xfId="0" applyFont="1" applyFill="1" applyBorder="1" applyAlignment="1">
      <alignment horizontal="center" vertical="center"/>
    </xf>
    <xf numFmtId="164" fontId="63" fillId="18" borderId="20" xfId="0" applyNumberFormat="1" applyFont="1" applyFill="1" applyBorder="1" applyAlignment="1" applyProtection="1">
      <alignment horizontal="left" vertical="center"/>
    </xf>
    <xf numFmtId="0" fontId="63" fillId="18" borderId="29" xfId="0" applyFont="1" applyFill="1" applyBorder="1" applyAlignment="1" applyProtection="1">
      <alignment horizontal="center" vertical="center"/>
    </xf>
    <xf numFmtId="0" fontId="63" fillId="18" borderId="128" xfId="0" applyFont="1" applyFill="1" applyBorder="1" applyAlignment="1" applyProtection="1">
      <alignment horizontal="center" vertical="center"/>
    </xf>
    <xf numFmtId="164" fontId="63" fillId="18" borderId="21" xfId="0" applyNumberFormat="1" applyFont="1" applyFill="1" applyBorder="1" applyAlignment="1" applyProtection="1">
      <alignment horizontal="left" vertical="center"/>
    </xf>
    <xf numFmtId="0" fontId="63" fillId="18" borderId="14" xfId="0" applyFont="1" applyFill="1" applyBorder="1" applyAlignment="1" applyProtection="1">
      <alignment horizontal="center" vertical="center"/>
    </xf>
    <xf numFmtId="0" fontId="63" fillId="18" borderId="31" xfId="0" applyFont="1" applyFill="1" applyBorder="1" applyAlignment="1" applyProtection="1">
      <alignment horizontal="center" vertical="center"/>
    </xf>
    <xf numFmtId="164" fontId="63" fillId="16" borderId="21" xfId="0" applyNumberFormat="1" applyFont="1" applyFill="1" applyBorder="1" applyAlignment="1" applyProtection="1">
      <alignment horizontal="left" vertical="center" indent="1"/>
    </xf>
    <xf numFmtId="0" fontId="61" fillId="16" borderId="14" xfId="0" applyFont="1" applyFill="1" applyBorder="1" applyAlignment="1" applyProtection="1">
      <alignment horizontal="center" vertical="center"/>
    </xf>
    <xf numFmtId="164" fontId="63" fillId="16" borderId="20" xfId="0" applyNumberFormat="1" applyFont="1" applyFill="1" applyBorder="1" applyAlignment="1" applyProtection="1">
      <alignment horizontal="left" vertical="center" indent="1"/>
    </xf>
    <xf numFmtId="1" fontId="61" fillId="16" borderId="11" xfId="0" applyNumberFormat="1" applyFont="1" applyFill="1" applyBorder="1" applyAlignment="1" applyProtection="1">
      <alignment horizontal="center" vertical="center"/>
    </xf>
    <xf numFmtId="1" fontId="61" fillId="16" borderId="4" xfId="0" applyNumberFormat="1" applyFont="1" applyFill="1" applyBorder="1" applyAlignment="1" applyProtection="1">
      <alignment horizontal="center" vertical="center"/>
    </xf>
    <xf numFmtId="0" fontId="63" fillId="16" borderId="21" xfId="0" applyFont="1" applyFill="1" applyBorder="1" applyAlignment="1">
      <alignment horizontal="left" vertical="center" indent="1"/>
    </xf>
    <xf numFmtId="0" fontId="61" fillId="16" borderId="14" xfId="0" applyFont="1" applyFill="1" applyBorder="1" applyAlignment="1">
      <alignment horizontal="left" vertical="center"/>
    </xf>
    <xf numFmtId="0" fontId="61" fillId="16" borderId="11" xfId="0" applyFont="1" applyFill="1" applyBorder="1" applyAlignment="1" applyProtection="1">
      <alignment horizontal="center" vertical="center"/>
    </xf>
    <xf numFmtId="3" fontId="63" fillId="18" borderId="126" xfId="0" applyNumberFormat="1" applyFont="1" applyFill="1" applyBorder="1" applyAlignment="1">
      <alignment horizontal="left" vertical="center" wrapText="1"/>
    </xf>
    <xf numFmtId="49" fontId="63" fillId="18" borderId="128" xfId="0" applyNumberFormat="1" applyFont="1" applyFill="1" applyBorder="1" applyAlignment="1">
      <alignment horizontal="center" vertical="center"/>
    </xf>
    <xf numFmtId="0" fontId="63" fillId="18" borderId="17" xfId="0" applyFont="1" applyFill="1" applyBorder="1" applyAlignment="1">
      <alignment horizontal="left" vertical="center" wrapText="1"/>
    </xf>
    <xf numFmtId="49" fontId="63" fillId="18" borderId="29" xfId="0" applyNumberFormat="1" applyFont="1" applyFill="1" applyBorder="1" applyAlignment="1">
      <alignment horizontal="center" vertical="center"/>
    </xf>
    <xf numFmtId="3" fontId="63" fillId="18" borderId="33" xfId="0" applyNumberFormat="1" applyFont="1" applyFill="1" applyBorder="1" applyAlignment="1">
      <alignment horizontal="left" vertical="center" wrapText="1"/>
    </xf>
    <xf numFmtId="49" fontId="63" fillId="18" borderId="33" xfId="0" applyNumberFormat="1" applyFont="1" applyFill="1" applyBorder="1" applyAlignment="1">
      <alignment horizontal="center" vertical="center"/>
    </xf>
    <xf numFmtId="164" fontId="63" fillId="18" borderId="126" xfId="0" applyNumberFormat="1" applyFont="1" applyFill="1" applyBorder="1" applyAlignment="1">
      <alignment horizontal="left" vertical="center" wrapText="1"/>
    </xf>
    <xf numFmtId="49" fontId="63" fillId="18" borderId="4" xfId="0" applyNumberFormat="1" applyFont="1" applyFill="1" applyBorder="1" applyAlignment="1">
      <alignment horizontal="center" vertical="center"/>
    </xf>
    <xf numFmtId="3" fontId="63" fillId="18" borderId="13" xfId="0" applyNumberFormat="1" applyFont="1" applyFill="1" applyBorder="1" applyAlignment="1">
      <alignment horizontal="left" vertical="center" wrapText="1"/>
    </xf>
    <xf numFmtId="49" fontId="63" fillId="18" borderId="2" xfId="0" applyNumberFormat="1" applyFont="1" applyFill="1" applyBorder="1" applyAlignment="1">
      <alignment horizontal="center" vertical="center"/>
    </xf>
    <xf numFmtId="164" fontId="63" fillId="18" borderId="17" xfId="0" applyNumberFormat="1" applyFont="1" applyFill="1" applyBorder="1" applyAlignment="1">
      <alignment horizontal="left" vertical="center" wrapText="1"/>
    </xf>
    <xf numFmtId="0" fontId="63" fillId="18" borderId="36" xfId="0" applyFont="1" applyFill="1" applyBorder="1" applyAlignment="1">
      <alignment horizontal="left" vertical="center" wrapText="1"/>
    </xf>
    <xf numFmtId="49" fontId="63" fillId="18" borderId="27" xfId="0" applyNumberFormat="1" applyFont="1" applyFill="1" applyBorder="1" applyAlignment="1">
      <alignment horizontal="center" vertical="center"/>
    </xf>
    <xf numFmtId="3" fontId="63" fillId="18" borderId="37" xfId="0" applyNumberFormat="1" applyFont="1" applyFill="1" applyBorder="1" applyAlignment="1">
      <alignment horizontal="left" vertical="center" wrapText="1"/>
    </xf>
    <xf numFmtId="0" fontId="63" fillId="18" borderId="13" xfId="0" applyFont="1" applyFill="1" applyBorder="1" applyAlignment="1">
      <alignment horizontal="left" vertical="center" wrapText="1"/>
    </xf>
    <xf numFmtId="49" fontId="63" fillId="18" borderId="14" xfId="0" applyNumberFormat="1" applyFont="1" applyFill="1" applyBorder="1" applyAlignment="1">
      <alignment horizontal="center" vertical="center"/>
    </xf>
    <xf numFmtId="0" fontId="63" fillId="18" borderId="37" xfId="0" applyFont="1" applyFill="1" applyBorder="1" applyAlignment="1">
      <alignment horizontal="left" vertical="center" wrapText="1"/>
    </xf>
    <xf numFmtId="164" fontId="63" fillId="18" borderId="13" xfId="0" applyNumberFormat="1" applyFont="1" applyFill="1" applyBorder="1" applyAlignment="1">
      <alignment horizontal="left" vertical="center" wrapText="1"/>
    </xf>
    <xf numFmtId="0" fontId="63" fillId="18" borderId="128" xfId="0" applyFont="1" applyFill="1" applyBorder="1" applyAlignment="1">
      <alignment horizontal="left" vertical="center" wrapText="1"/>
    </xf>
    <xf numFmtId="3" fontId="63" fillId="18" borderId="128" xfId="0" applyNumberFormat="1" applyFont="1" applyFill="1" applyBorder="1" applyAlignment="1">
      <alignment horizontal="left" vertical="center" wrapText="1"/>
    </xf>
    <xf numFmtId="38" fontId="54" fillId="25" borderId="19" xfId="0" applyNumberFormat="1" applyFont="1" applyFill="1" applyBorder="1" applyAlignment="1">
      <alignment horizontal="right"/>
    </xf>
    <xf numFmtId="38" fontId="54" fillId="25" borderId="20" xfId="0" applyNumberFormat="1" applyFont="1" applyFill="1" applyBorder="1" applyAlignment="1">
      <alignment horizontal="right"/>
    </xf>
    <xf numFmtId="38" fontId="54" fillId="25" borderId="11" xfId="0" applyNumberFormat="1" applyFont="1" applyFill="1" applyBorder="1" applyAlignment="1">
      <alignment horizontal="right"/>
    </xf>
    <xf numFmtId="0" fontId="63" fillId="18" borderId="50" xfId="0" applyFont="1" applyFill="1" applyBorder="1" applyAlignment="1" applyProtection="1">
      <alignment horizontal="left" vertical="center"/>
    </xf>
    <xf numFmtId="0" fontId="63" fillId="18" borderId="22" xfId="0" applyFont="1" applyFill="1" applyBorder="1" applyAlignment="1" applyProtection="1">
      <alignment horizontal="center" vertical="center"/>
    </xf>
    <xf numFmtId="0" fontId="63" fillId="18" borderId="46" xfId="0" applyFont="1" applyFill="1" applyBorder="1" applyAlignment="1" applyProtection="1">
      <alignment horizontal="left" vertical="center"/>
    </xf>
    <xf numFmtId="0" fontId="63" fillId="18" borderId="46" xfId="0" applyFont="1" applyFill="1" applyBorder="1" applyAlignment="1" applyProtection="1">
      <alignment horizontal="left" vertical="center" wrapText="1"/>
    </xf>
    <xf numFmtId="0" fontId="63" fillId="18" borderId="46" xfId="0" applyFont="1" applyFill="1" applyBorder="1" applyAlignment="1" applyProtection="1">
      <alignment horizontal="left" vertical="center" indent="1"/>
    </xf>
    <xf numFmtId="0" fontId="64" fillId="24" borderId="13" xfId="0" applyFont="1" applyFill="1" applyBorder="1" applyAlignment="1">
      <alignment horizontal="left" vertical="center"/>
    </xf>
    <xf numFmtId="0" fontId="64" fillId="24" borderId="21" xfId="0" applyFont="1" applyFill="1" applyBorder="1" applyAlignment="1">
      <alignment horizontal="left" vertical="center"/>
    </xf>
    <xf numFmtId="0" fontId="64" fillId="24" borderId="14" xfId="0" applyFont="1" applyFill="1" applyBorder="1" applyAlignment="1">
      <alignment horizontal="left" vertical="center"/>
    </xf>
    <xf numFmtId="0" fontId="53" fillId="16" borderId="12" xfId="0" applyFont="1" applyFill="1" applyBorder="1" applyAlignment="1" applyProtection="1">
      <alignment vertical="center"/>
    </xf>
    <xf numFmtId="0" fontId="63" fillId="0" borderId="160" xfId="0" applyFont="1" applyBorder="1" applyAlignment="1">
      <alignment horizontal="centerContinuous" vertical="center"/>
    </xf>
    <xf numFmtId="0" fontId="54" fillId="0" borderId="161" xfId="0" applyFont="1" applyBorder="1" applyAlignment="1">
      <alignment horizontal="centerContinuous" vertical="center"/>
    </xf>
    <xf numFmtId="0" fontId="56" fillId="0" borderId="161" xfId="0" applyFont="1" applyBorder="1" applyAlignment="1">
      <alignment horizontal="centerContinuous" vertical="center"/>
    </xf>
    <xf numFmtId="0" fontId="63" fillId="0" borderId="105" xfId="0" applyFont="1" applyBorder="1" applyAlignment="1">
      <alignment horizontal="center"/>
    </xf>
    <xf numFmtId="0" fontId="56" fillId="24" borderId="16" xfId="3" applyFont="1" applyFill="1" applyBorder="1" applyAlignment="1">
      <alignment horizontal="left" vertical="center"/>
    </xf>
    <xf numFmtId="0" fontId="56" fillId="24" borderId="10" xfId="3" applyFont="1" applyFill="1" applyBorder="1" applyAlignment="1">
      <alignment horizontal="left" vertical="center"/>
    </xf>
    <xf numFmtId="0" fontId="56" fillId="24" borderId="19" xfId="3" applyNumberFormat="1" applyFont="1" applyFill="1" applyBorder="1" applyAlignment="1">
      <alignment vertical="center"/>
    </xf>
    <xf numFmtId="0" fontId="56" fillId="24" borderId="20" xfId="3" applyNumberFormat="1" applyFont="1" applyFill="1" applyBorder="1" applyAlignment="1">
      <alignment vertical="center"/>
    </xf>
    <xf numFmtId="0" fontId="56" fillId="24" borderId="11" xfId="3" applyNumberFormat="1" applyFont="1" applyFill="1" applyBorder="1" applyAlignment="1">
      <alignment vertical="center"/>
    </xf>
    <xf numFmtId="0" fontId="5" fillId="0" borderId="0" xfId="17" quotePrefix="1" applyNumberFormat="1" applyFont="1"/>
    <xf numFmtId="0" fontId="126" fillId="21" borderId="158" xfId="17" applyFont="1" applyFill="1" applyBorder="1" applyAlignment="1" applyProtection="1">
      <alignment horizontal="left" vertical="top" wrapText="1"/>
    </xf>
    <xf numFmtId="49" fontId="126" fillId="21" borderId="158" xfId="17" applyNumberFormat="1" applyFont="1" applyFill="1" applyBorder="1" applyAlignment="1" applyProtection="1">
      <alignment horizontal="center" vertical="top"/>
    </xf>
    <xf numFmtId="0" fontId="126" fillId="21" borderId="158" xfId="17" applyFont="1" applyFill="1" applyBorder="1" applyAlignment="1" applyProtection="1">
      <alignment vertical="top"/>
    </xf>
    <xf numFmtId="38" fontId="126" fillId="21" borderId="158" xfId="17" applyNumberFormat="1" applyFont="1" applyFill="1" applyBorder="1" applyAlignment="1" applyProtection="1">
      <alignment horizontal="right" vertical="top"/>
    </xf>
    <xf numFmtId="38" fontId="126" fillId="21" borderId="158" xfId="17" applyNumberFormat="1" applyFont="1" applyFill="1" applyBorder="1" applyAlignment="1" applyProtection="1">
      <alignment vertical="top"/>
    </xf>
    <xf numFmtId="0" fontId="6" fillId="0" borderId="158" xfId="17" applyBorder="1" applyAlignment="1" applyProtection="1">
      <alignment horizontal="left" vertical="top" wrapText="1"/>
      <protection locked="0"/>
    </xf>
    <xf numFmtId="0" fontId="6" fillId="0" borderId="158" xfId="17" applyBorder="1" applyAlignment="1" applyProtection="1">
      <alignment vertical="top"/>
      <protection locked="0"/>
    </xf>
    <xf numFmtId="0" fontId="5" fillId="0" borderId="158" xfId="17" applyFont="1" applyBorder="1" applyAlignment="1" applyProtection="1">
      <alignment horizontal="left" vertical="top" wrapText="1"/>
      <protection locked="0"/>
    </xf>
    <xf numFmtId="0" fontId="5" fillId="0" borderId="158"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8" xfId="17" applyNumberFormat="1" applyBorder="1" applyAlignment="1" applyProtection="1">
      <alignment horizontal="center" vertical="center"/>
      <protection locked="0"/>
    </xf>
    <xf numFmtId="49" fontId="4" fillId="0" borderId="158" xfId="17" applyNumberFormat="1" applyFont="1" applyBorder="1" applyAlignment="1" applyProtection="1">
      <alignment horizontal="center" vertical="center"/>
      <protection locked="0"/>
    </xf>
    <xf numFmtId="3" fontId="63" fillId="17" borderId="36" xfId="0" applyNumberFormat="1" applyFont="1" applyFill="1" applyBorder="1" applyAlignment="1">
      <alignment horizontal="left" vertical="center" wrapText="1" indent="1"/>
    </xf>
    <xf numFmtId="49" fontId="63" fillId="17" borderId="27" xfId="0" applyNumberFormat="1" applyFont="1" applyFill="1" applyBorder="1" applyAlignment="1">
      <alignment horizontal="center" vertical="center"/>
    </xf>
    <xf numFmtId="38" fontId="54" fillId="17" borderId="27" xfId="0" applyNumberFormat="1" applyFont="1" applyFill="1" applyBorder="1" applyAlignment="1">
      <alignment horizontal="right"/>
    </xf>
    <xf numFmtId="38" fontId="54" fillId="17" borderId="2" xfId="0" applyNumberFormat="1" applyFont="1" applyFill="1" applyBorder="1" applyAlignment="1">
      <alignment horizontal="right"/>
    </xf>
    <xf numFmtId="38" fontId="54" fillId="17" borderId="4" xfId="0" applyNumberFormat="1" applyFont="1" applyFill="1" applyBorder="1" applyAlignment="1">
      <alignment horizontal="right"/>
    </xf>
    <xf numFmtId="49" fontId="63" fillId="17" borderId="36" xfId="0" applyNumberFormat="1" applyFont="1" applyFill="1" applyBorder="1" applyAlignment="1">
      <alignment horizontal="center" vertical="center"/>
    </xf>
    <xf numFmtId="38" fontId="54" fillId="17" borderId="30" xfId="0" applyNumberFormat="1" applyFont="1" applyFill="1" applyBorder="1" applyAlignment="1">
      <alignment horizontal="right"/>
    </xf>
    <xf numFmtId="49" fontId="63" fillId="17" borderId="30" xfId="0" applyNumberFormat="1" applyFont="1" applyFill="1" applyBorder="1" applyAlignment="1">
      <alignment horizontal="center" vertical="center"/>
    </xf>
    <xf numFmtId="0" fontId="63" fillId="17" borderId="32" xfId="0" applyNumberFormat="1" applyFont="1" applyFill="1" applyBorder="1" applyAlignment="1">
      <alignment horizontal="center" vertical="center"/>
    </xf>
    <xf numFmtId="38" fontId="54" fillId="17" borderId="32" xfId="0" applyNumberFormat="1" applyFont="1" applyFill="1" applyBorder="1" applyAlignment="1">
      <alignment horizontal="right"/>
    </xf>
    <xf numFmtId="0" fontId="63" fillId="17" borderId="27" xfId="0" applyFont="1" applyFill="1" applyBorder="1" applyAlignment="1">
      <alignment horizontal="center" vertical="center"/>
    </xf>
    <xf numFmtId="38" fontId="54" fillId="17" borderId="33" xfId="0" applyNumberFormat="1" applyFont="1" applyFill="1" applyBorder="1" applyAlignment="1">
      <alignment horizontal="right"/>
    </xf>
    <xf numFmtId="3" fontId="63" fillId="17" borderId="27" xfId="0" applyNumberFormat="1" applyFont="1" applyFill="1" applyBorder="1" applyAlignment="1">
      <alignment horizontal="left" vertical="center" indent="1"/>
    </xf>
    <xf numFmtId="0" fontId="63" fillId="17" borderId="27" xfId="0" applyFont="1" applyFill="1" applyBorder="1" applyAlignment="1">
      <alignment horizontal="center" vertical="top"/>
    </xf>
    <xf numFmtId="0" fontId="56" fillId="17" borderId="30" xfId="0" applyFont="1" applyFill="1" applyBorder="1" applyAlignment="1">
      <alignment horizontal="left" vertical="center" indent="1"/>
    </xf>
    <xf numFmtId="38" fontId="54" fillId="17" borderId="26" xfId="0" applyNumberFormat="1" applyFont="1" applyFill="1" applyBorder="1" applyAlignment="1">
      <alignment horizontal="right"/>
    </xf>
    <xf numFmtId="38" fontId="54" fillId="17" borderId="28" xfId="0" applyNumberFormat="1" applyFont="1" applyFill="1" applyBorder="1" applyAlignment="1">
      <alignment horizontal="right"/>
    </xf>
    <xf numFmtId="38" fontId="54" fillId="17" borderId="29" xfId="0" applyNumberFormat="1" applyFont="1" applyFill="1" applyBorder="1" applyAlignment="1">
      <alignment horizontal="right"/>
    </xf>
    <xf numFmtId="3" fontId="63" fillId="17" borderId="55" xfId="0" applyNumberFormat="1" applyFont="1" applyFill="1" applyBorder="1" applyAlignment="1">
      <alignment horizontal="left" vertical="center" wrapText="1" indent="1"/>
    </xf>
    <xf numFmtId="49" fontId="63" fillId="17" borderId="32" xfId="0" applyNumberFormat="1" applyFont="1" applyFill="1" applyBorder="1" applyAlignment="1">
      <alignment horizontal="center" vertical="center"/>
    </xf>
    <xf numFmtId="38" fontId="54" fillId="17" borderId="27" xfId="0" applyNumberFormat="1" applyFont="1" applyFill="1" applyBorder="1" applyAlignment="1" applyProtection="1">
      <alignment horizontal="right"/>
    </xf>
    <xf numFmtId="3" fontId="63" fillId="17" borderId="55" xfId="0" applyNumberFormat="1" applyFont="1" applyFill="1" applyBorder="1" applyAlignment="1">
      <alignment horizontal="left" vertical="top" wrapText="1" indent="1"/>
    </xf>
    <xf numFmtId="49" fontId="61" fillId="17" borderId="51" xfId="0" applyNumberFormat="1" applyFont="1" applyFill="1" applyBorder="1" applyAlignment="1">
      <alignment horizontal="center" vertical="top"/>
    </xf>
    <xf numFmtId="3" fontId="63" fillId="17" borderId="27" xfId="0" applyNumberFormat="1" applyFont="1" applyFill="1" applyBorder="1" applyAlignment="1">
      <alignment horizontal="left" vertical="center" wrapText="1" indent="1"/>
    </xf>
    <xf numFmtId="3" fontId="63" fillId="17" borderId="36" xfId="0" applyNumberFormat="1" applyFont="1" applyFill="1" applyBorder="1" applyAlignment="1">
      <alignment horizontal="left" vertical="top" wrapText="1" indent="1"/>
    </xf>
    <xf numFmtId="0" fontId="61" fillId="17" borderId="30" xfId="0" applyFont="1" applyFill="1" applyBorder="1" applyAlignment="1">
      <alignment vertical="top"/>
    </xf>
    <xf numFmtId="3" fontId="63" fillId="17" borderId="36" xfId="0" applyNumberFormat="1" applyFont="1" applyFill="1" applyBorder="1" applyAlignment="1">
      <alignment horizontal="left" vertical="center" indent="1"/>
    </xf>
    <xf numFmtId="0" fontId="63" fillId="17" borderId="30" xfId="0" applyFont="1" applyFill="1" applyBorder="1" applyAlignment="1">
      <alignment horizontal="center" vertical="center"/>
    </xf>
    <xf numFmtId="0" fontId="63" fillId="17" borderId="27" xfId="0" applyFont="1" applyFill="1" applyBorder="1" applyAlignment="1">
      <alignment horizontal="center" vertical="center" wrapText="1"/>
    </xf>
    <xf numFmtId="49" fontId="63" fillId="17" borderId="27" xfId="0" applyNumberFormat="1" applyFont="1" applyFill="1" applyBorder="1" applyAlignment="1">
      <alignment horizontal="center" vertical="top" wrapText="1"/>
    </xf>
    <xf numFmtId="3" fontId="63" fillId="17" borderId="36" xfId="0" applyNumberFormat="1" applyFont="1" applyFill="1" applyBorder="1" applyAlignment="1">
      <alignment horizontal="left" vertical="top" indent="1"/>
    </xf>
    <xf numFmtId="38" fontId="54" fillId="17" borderId="3" xfId="0" applyNumberFormat="1" applyFont="1" applyFill="1" applyBorder="1" applyAlignment="1">
      <alignment horizontal="right"/>
    </xf>
    <xf numFmtId="0" fontId="63" fillId="17" borderId="36" xfId="0" applyFont="1" applyFill="1" applyBorder="1" applyAlignment="1">
      <alignment horizontal="left" vertical="center" wrapText="1" indent="1"/>
    </xf>
    <xf numFmtId="49" fontId="61" fillId="17" borderId="51" xfId="0" applyNumberFormat="1" applyFont="1" applyFill="1" applyBorder="1" applyAlignment="1">
      <alignment horizontal="center" vertical="center"/>
    </xf>
    <xf numFmtId="38" fontId="54" fillId="17" borderId="33" xfId="0" applyNumberFormat="1" applyFont="1" applyFill="1" applyBorder="1" applyAlignment="1" applyProtection="1">
      <alignment horizontal="right"/>
    </xf>
    <xf numFmtId="38" fontId="54" fillId="17" borderId="32" xfId="0" applyNumberFormat="1" applyFont="1" applyFill="1" applyBorder="1" applyAlignment="1" applyProtection="1">
      <alignment horizontal="right"/>
    </xf>
    <xf numFmtId="0" fontId="61"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center" wrapText="1" indent="1"/>
    </xf>
    <xf numFmtId="0" fontId="61" fillId="17" borderId="30" xfId="0" applyFont="1" applyFill="1" applyBorder="1" applyAlignment="1" applyProtection="1">
      <alignment horizontal="left" vertical="center"/>
    </xf>
    <xf numFmtId="38" fontId="54" fillId="17" borderId="36" xfId="0" applyNumberFormat="1" applyFont="1" applyFill="1" applyBorder="1" applyAlignment="1" applyProtection="1">
      <alignment horizontal="right"/>
    </xf>
    <xf numFmtId="0" fontId="63" fillId="17" borderId="35" xfId="0" applyFont="1" applyFill="1" applyBorder="1" applyAlignment="1" applyProtection="1">
      <alignment horizontal="left" vertical="center" indent="1"/>
    </xf>
    <xf numFmtId="0" fontId="61" fillId="17" borderId="30" xfId="0" applyFont="1" applyFill="1" applyBorder="1" applyAlignment="1" applyProtection="1">
      <alignment horizontal="center" vertical="center"/>
    </xf>
    <xf numFmtId="37" fontId="54" fillId="17" borderId="36" xfId="0" applyNumberFormat="1" applyFont="1" applyFill="1" applyBorder="1" applyAlignment="1" applyProtection="1">
      <alignment horizontal="right"/>
    </xf>
    <xf numFmtId="37" fontId="54" fillId="17" borderId="27" xfId="0" applyNumberFormat="1" applyFont="1" applyFill="1" applyBorder="1" applyAlignment="1" applyProtection="1">
      <alignment horizontal="right"/>
    </xf>
    <xf numFmtId="0" fontId="61" fillId="17" borderId="30" xfId="0" applyFont="1" applyFill="1" applyBorder="1" applyAlignment="1" applyProtection="1">
      <alignment horizontal="left" vertical="center" indent="2"/>
    </xf>
    <xf numFmtId="0" fontId="63" fillId="17" borderId="52" xfId="0" applyFont="1" applyFill="1" applyBorder="1" applyAlignment="1" applyProtection="1">
      <alignment horizontal="left" vertical="top" wrapText="1" indent="1"/>
    </xf>
    <xf numFmtId="49" fontId="63" fillId="17" borderId="33" xfId="0" applyNumberFormat="1" applyFont="1" applyFill="1" applyBorder="1" applyAlignment="1">
      <alignment horizontal="center" vertical="center"/>
    </xf>
    <xf numFmtId="38" fontId="54" fillId="17" borderId="37" xfId="0" applyNumberFormat="1" applyFont="1" applyFill="1" applyBorder="1" applyAlignment="1" applyProtection="1">
      <alignment horizontal="right"/>
    </xf>
    <xf numFmtId="49" fontId="63" fillId="17" borderId="35" xfId="0" applyNumberFormat="1" applyFont="1" applyFill="1" applyBorder="1" applyAlignment="1" applyProtection="1">
      <alignment horizontal="left" vertical="top" indent="1"/>
    </xf>
    <xf numFmtId="49" fontId="63" fillId="17" borderId="27" xfId="0" applyNumberFormat="1" applyFont="1" applyFill="1" applyBorder="1" applyAlignment="1">
      <alignment horizontal="center" vertical="top"/>
    </xf>
    <xf numFmtId="38" fontId="54" fillId="17" borderId="12" xfId="0" applyNumberFormat="1" applyFont="1" applyFill="1" applyBorder="1" applyAlignment="1" applyProtection="1">
      <alignment horizontal="right"/>
    </xf>
    <xf numFmtId="49" fontId="61" fillId="17" borderId="30" xfId="0" applyNumberFormat="1" applyFont="1" applyFill="1" applyBorder="1" applyAlignment="1" applyProtection="1">
      <alignment horizontal="center" vertical="center"/>
    </xf>
    <xf numFmtId="1" fontId="61" fillId="17" borderId="30" xfId="0" applyNumberFormat="1" applyFont="1" applyFill="1" applyBorder="1" applyAlignment="1" applyProtection="1">
      <alignment horizontal="center" vertical="center"/>
    </xf>
    <xf numFmtId="38" fontId="54" fillId="17" borderId="3" xfId="0" applyNumberFormat="1" applyFont="1" applyFill="1" applyBorder="1" applyAlignment="1" applyProtection="1">
      <alignment horizontal="right"/>
    </xf>
    <xf numFmtId="38" fontId="54" fillId="17" borderId="55" xfId="0" applyNumberFormat="1" applyFont="1" applyFill="1" applyBorder="1" applyAlignment="1" applyProtection="1">
      <alignment horizontal="right"/>
    </xf>
    <xf numFmtId="0" fontId="63" fillId="17" borderId="35" xfId="0" applyFont="1" applyFill="1" applyBorder="1" applyAlignment="1" applyProtection="1">
      <alignment horizontal="left" indent="1"/>
    </xf>
    <xf numFmtId="0" fontId="61" fillId="17" borderId="30" xfId="0" applyFont="1" applyFill="1" applyBorder="1" applyAlignment="1" applyProtection="1">
      <alignment horizontal="center"/>
    </xf>
    <xf numFmtId="0" fontId="63" fillId="17" borderId="36" xfId="0" applyFont="1" applyFill="1" applyBorder="1" applyAlignment="1" applyProtection="1">
      <alignment horizontal="left" vertical="center" indent="1"/>
    </xf>
    <xf numFmtId="0" fontId="61" fillId="17" borderId="27" xfId="0" applyFont="1" applyFill="1" applyBorder="1" applyAlignment="1" applyProtection="1">
      <alignment horizontal="center" vertical="center"/>
    </xf>
    <xf numFmtId="0" fontId="63" fillId="17" borderId="30" xfId="0" applyFont="1" applyFill="1" applyBorder="1" applyAlignment="1">
      <alignment vertical="center"/>
    </xf>
    <xf numFmtId="49" fontId="63" fillId="17" borderId="33" xfId="0" applyNumberFormat="1" applyFont="1" applyFill="1" applyBorder="1" applyAlignment="1" applyProtection="1">
      <alignment horizontal="left" vertical="center" wrapText="1" indent="1"/>
    </xf>
    <xf numFmtId="49" fontId="63" fillId="17" borderId="53" xfId="0" applyNumberFormat="1" applyFont="1" applyFill="1" applyBorder="1" applyAlignment="1">
      <alignment horizontal="center" vertical="center"/>
    </xf>
    <xf numFmtId="0" fontId="63" fillId="17" borderId="52" xfId="0" applyFont="1" applyFill="1" applyBorder="1" applyAlignment="1" applyProtection="1">
      <alignment horizontal="left" wrapText="1" indent="1"/>
    </xf>
    <xf numFmtId="0" fontId="61" fillId="17" borderId="53" xfId="0" applyFont="1" applyFill="1" applyBorder="1" applyAlignment="1" applyProtection="1">
      <alignment horizontal="left" indent="2"/>
    </xf>
    <xf numFmtId="176" fontId="56" fillId="17" borderId="2" xfId="0" applyNumberFormat="1" applyFont="1" applyFill="1" applyBorder="1" applyAlignment="1" applyProtection="1">
      <alignment vertical="center"/>
    </xf>
    <xf numFmtId="38" fontId="56" fillId="17" borderId="2" xfId="0" applyNumberFormat="1" applyFont="1" applyFill="1" applyBorder="1" applyAlignment="1" applyProtection="1">
      <alignment horizontal="right" vertical="center"/>
    </xf>
    <xf numFmtId="38" fontId="56" fillId="17" borderId="2" xfId="0" applyNumberFormat="1" applyFont="1" applyFill="1" applyBorder="1" applyAlignment="1" applyProtection="1">
      <alignment vertical="center"/>
    </xf>
    <xf numFmtId="37" fontId="56" fillId="17" borderId="13" xfId="5" applyNumberFormat="1" applyFont="1" applyFill="1" applyBorder="1" applyAlignment="1" applyProtection="1">
      <alignment horizontal="right"/>
    </xf>
    <xf numFmtId="0" fontId="63" fillId="17" borderId="35" xfId="0" applyFont="1" applyFill="1" applyBorder="1" applyAlignment="1" applyProtection="1">
      <alignment horizontal="left" vertical="center" indent="2"/>
    </xf>
    <xf numFmtId="38" fontId="54" fillId="17" borderId="30" xfId="0" applyNumberFormat="1" applyFont="1" applyFill="1" applyBorder="1" applyAlignment="1" applyProtection="1">
      <alignment horizontal="right"/>
    </xf>
    <xf numFmtId="0" fontId="63" fillId="17" borderId="20" xfId="0" applyFont="1" applyFill="1" applyBorder="1" applyAlignment="1" applyProtection="1">
      <alignment horizontal="left" vertical="center" indent="2"/>
    </xf>
    <xf numFmtId="0" fontId="63" fillId="17" borderId="14" xfId="0" applyFont="1" applyFill="1" applyBorder="1" applyAlignment="1" applyProtection="1">
      <alignment horizontal="center" vertical="center"/>
    </xf>
    <xf numFmtId="38" fontId="54" fillId="17" borderId="26" xfId="0" applyNumberFormat="1" applyFont="1" applyFill="1" applyBorder="1" applyAlignment="1" applyProtection="1">
      <alignment horizontal="right"/>
    </xf>
    <xf numFmtId="0" fontId="63" fillId="17" borderId="30" xfId="0" applyFont="1" applyFill="1" applyBorder="1" applyAlignment="1" applyProtection="1">
      <alignment horizontal="center" vertical="center"/>
    </xf>
    <xf numFmtId="38" fontId="54" fillId="17" borderId="4" xfId="0" applyNumberFormat="1" applyFont="1" applyFill="1" applyBorder="1" applyAlignment="1" applyProtection="1">
      <alignment horizontal="right"/>
    </xf>
    <xf numFmtId="38" fontId="54" fillId="17" borderId="2" xfId="0" applyNumberFormat="1" applyFont="1" applyFill="1" applyBorder="1" applyAlignment="1" applyProtection="1">
      <alignment horizontal="right"/>
    </xf>
    <xf numFmtId="0" fontId="72" fillId="17" borderId="20" xfId="0" applyFont="1" applyFill="1" applyBorder="1" applyAlignment="1" applyProtection="1">
      <alignment horizontal="left" vertical="center" indent="1"/>
    </xf>
    <xf numFmtId="0" fontId="61" fillId="17" borderId="4" xfId="0" applyFont="1" applyFill="1" applyBorder="1" applyAlignment="1" applyProtection="1">
      <alignment horizontal="center"/>
    </xf>
    <xf numFmtId="38" fontId="54" fillId="17" borderId="28" xfId="0" applyNumberFormat="1" applyFont="1" applyFill="1" applyBorder="1" applyAlignment="1" applyProtection="1">
      <alignment horizontal="right"/>
    </xf>
    <xf numFmtId="38" fontId="54" fillId="17" borderId="18" xfId="0" applyNumberFormat="1" applyFont="1" applyFill="1" applyBorder="1" applyAlignment="1" applyProtection="1">
      <alignment horizontal="right"/>
    </xf>
    <xf numFmtId="38" fontId="54" fillId="17" borderId="0" xfId="0" applyNumberFormat="1" applyFont="1" applyFill="1" applyAlignment="1" applyProtection="1">
      <alignment horizontal="right"/>
    </xf>
    <xf numFmtId="38" fontId="54" fillId="17" borderId="128" xfId="0" applyNumberFormat="1" applyFont="1" applyFill="1" applyBorder="1" applyAlignment="1" applyProtection="1">
      <alignment horizontal="right" vertical="center"/>
      <protection locked="0"/>
    </xf>
    <xf numFmtId="38" fontId="54" fillId="17" borderId="2" xfId="0" applyNumberFormat="1" applyFont="1" applyFill="1" applyBorder="1" applyAlignment="1" applyProtection="1">
      <alignment horizontal="right" vertical="center"/>
      <protection locked="0"/>
    </xf>
    <xf numFmtId="38" fontId="54" fillId="17" borderId="27" xfId="0" applyNumberFormat="1" applyFont="1" applyFill="1" applyBorder="1" applyAlignment="1" applyProtection="1">
      <alignment horizontal="right" vertical="center"/>
      <protection locked="0"/>
    </xf>
    <xf numFmtId="38" fontId="54" fillId="17" borderId="128"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horizontal="right" vertical="center"/>
    </xf>
    <xf numFmtId="0" fontId="63" fillId="17" borderId="27" xfId="0" applyFont="1" applyFill="1" applyBorder="1" applyAlignment="1">
      <alignment horizontal="left" vertical="center" wrapText="1" indent="1"/>
    </xf>
    <xf numFmtId="38" fontId="54" fillId="17" borderId="27" xfId="0" applyNumberFormat="1" applyFont="1" applyFill="1" applyBorder="1" applyAlignment="1" applyProtection="1">
      <alignment horizontal="right" vertical="center"/>
    </xf>
    <xf numFmtId="38" fontId="54" fillId="17" borderId="2" xfId="9" applyNumberFormat="1" applyFont="1" applyFill="1" applyBorder="1" applyAlignment="1" applyProtection="1">
      <alignment horizontal="right"/>
    </xf>
    <xf numFmtId="49" fontId="61" fillId="17" borderId="41"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vertical="center"/>
    </xf>
    <xf numFmtId="49" fontId="61" fillId="17" borderId="7" xfId="0" applyNumberFormat="1" applyFont="1" applyFill="1" applyBorder="1" applyAlignment="1" applyProtection="1">
      <alignment horizontal="center" vertical="center"/>
    </xf>
    <xf numFmtId="38" fontId="54" fillId="17" borderId="41" xfId="0" applyNumberFormat="1" applyFont="1" applyFill="1" applyBorder="1" applyAlignment="1" applyProtection="1">
      <alignment horizontal="right" vertical="center"/>
    </xf>
    <xf numFmtId="49" fontId="61" fillId="17" borderId="7" xfId="0" applyNumberFormat="1" applyFont="1" applyFill="1" applyBorder="1" applyAlignment="1" applyProtection="1">
      <alignment horizontal="left" vertical="center" indent="2"/>
    </xf>
    <xf numFmtId="0" fontId="56" fillId="17" borderId="7" xfId="0" applyFont="1" applyFill="1" applyBorder="1" applyAlignment="1">
      <alignment horizontal="left" indent="2"/>
    </xf>
    <xf numFmtId="38" fontId="54" fillId="17" borderId="60" xfId="0" applyNumberFormat="1" applyFont="1" applyFill="1" applyBorder="1" applyAlignment="1" applyProtection="1"/>
    <xf numFmtId="38" fontId="54" fillId="17" borderId="41" xfId="0" applyNumberFormat="1" applyFont="1" applyFill="1" applyBorder="1" applyAlignment="1" applyProtection="1">
      <alignment horizontal="right"/>
    </xf>
    <xf numFmtId="0" fontId="63" fillId="17" borderId="54" xfId="0" applyFont="1" applyFill="1" applyBorder="1" applyAlignment="1" applyProtection="1">
      <alignment horizontal="left" vertical="center" indent="2"/>
    </xf>
    <xf numFmtId="0" fontId="63" fillId="17" borderId="41" xfId="0" applyFont="1" applyFill="1" applyBorder="1" applyAlignment="1" applyProtection="1">
      <alignment horizontal="center" vertical="center"/>
    </xf>
    <xf numFmtId="0" fontId="63" fillId="17" borderId="41" xfId="0" applyFont="1" applyFill="1" applyBorder="1" applyAlignment="1" applyProtection="1">
      <alignment horizontal="left" vertical="center" indent="1"/>
    </xf>
    <xf numFmtId="0" fontId="56" fillId="17" borderId="41" xfId="0" applyFont="1" applyFill="1" applyBorder="1" applyAlignment="1" applyProtection="1">
      <alignment vertical="center"/>
    </xf>
    <xf numFmtId="38" fontId="54" fillId="17" borderId="22" xfId="0" applyNumberFormat="1" applyFont="1" applyFill="1" applyBorder="1" applyAlignment="1" applyProtection="1">
      <alignment horizontal="right" vertical="center"/>
    </xf>
    <xf numFmtId="0" fontId="61" fillId="17" borderId="0" xfId="10" applyFont="1" applyFill="1" applyAlignment="1">
      <alignment vertical="center"/>
    </xf>
    <xf numFmtId="0" fontId="61" fillId="17" borderId="0" xfId="10" applyFont="1" applyFill="1" applyAlignment="1">
      <alignment horizontal="center" vertical="center"/>
    </xf>
    <xf numFmtId="0" fontId="61" fillId="17" borderId="0" xfId="10" applyFont="1" applyFill="1" applyAlignment="1">
      <alignment horizontal="right" vertical="center"/>
    </xf>
    <xf numFmtId="0" fontId="63" fillId="17" borderId="0" xfId="10" applyFont="1" applyFill="1" applyAlignment="1">
      <alignment horizontal="right" vertical="center" indent="3"/>
    </xf>
    <xf numFmtId="0" fontId="61" fillId="17" borderId="0" xfId="10" applyFont="1" applyFill="1" applyBorder="1" applyAlignment="1">
      <alignment horizontal="right" vertical="center"/>
    </xf>
    <xf numFmtId="3" fontId="63" fillId="17" borderId="57" xfId="10" applyNumberFormat="1" applyFont="1" applyFill="1" applyBorder="1" applyAlignment="1" applyProtection="1">
      <alignment vertical="center"/>
    </xf>
    <xf numFmtId="0" fontId="61" fillId="17" borderId="0" xfId="10" applyFont="1" applyFill="1" applyAlignment="1">
      <alignment horizontal="left" vertical="center"/>
    </xf>
    <xf numFmtId="0" fontId="63" fillId="17" borderId="0" xfId="10" applyFont="1" applyFill="1" applyAlignment="1">
      <alignment horizontal="right" vertical="center"/>
    </xf>
    <xf numFmtId="38" fontId="63" fillId="17" borderId="47" xfId="10" applyNumberFormat="1" applyFont="1" applyFill="1" applyBorder="1" applyAlignment="1">
      <alignment horizontal="right"/>
    </xf>
    <xf numFmtId="0" fontId="61" fillId="17" borderId="0" xfId="10" quotePrefix="1" applyFont="1" applyFill="1" applyAlignment="1">
      <alignment horizontal="left" vertical="center"/>
    </xf>
    <xf numFmtId="38" fontId="61" fillId="17" borderId="58" xfId="10" applyNumberFormat="1" applyFont="1" applyFill="1" applyBorder="1" applyAlignment="1" applyProtection="1">
      <alignment horizontal="right"/>
    </xf>
    <xf numFmtId="0" fontId="61" fillId="17" borderId="0" xfId="11" quotePrefix="1" applyFont="1" applyFill="1" applyAlignment="1">
      <alignment horizontal="left" vertical="center"/>
    </xf>
    <xf numFmtId="0" fontId="63" fillId="17" borderId="0" xfId="10" quotePrefix="1" applyFont="1" applyFill="1" applyAlignment="1">
      <alignment horizontal="left" vertical="center"/>
    </xf>
    <xf numFmtId="40" fontId="63" fillId="17" borderId="47" xfId="10" applyNumberFormat="1" applyFont="1" applyFill="1" applyBorder="1" applyAlignment="1" applyProtection="1">
      <alignment horizontal="right"/>
    </xf>
    <xf numFmtId="0" fontId="61" fillId="17" borderId="0" xfId="11" applyFont="1" applyFill="1" applyAlignment="1">
      <alignment horizontal="left" vertical="center"/>
    </xf>
    <xf numFmtId="0" fontId="61" fillId="17" borderId="0" xfId="11" applyFont="1" applyFill="1" applyAlignment="1">
      <alignment horizontal="right" vertical="center"/>
    </xf>
    <xf numFmtId="0" fontId="63" fillId="17" borderId="0" xfId="11" applyFont="1" applyFill="1" applyAlignment="1">
      <alignment horizontal="right" vertical="center"/>
    </xf>
    <xf numFmtId="0" fontId="61" fillId="17" borderId="0" xfId="11" applyFont="1" applyFill="1" applyBorder="1" applyAlignment="1">
      <alignment horizontal="right" vertical="center"/>
    </xf>
    <xf numFmtId="38" fontId="63" fillId="17" borderId="9" xfId="11" applyNumberFormat="1" applyFont="1" applyFill="1" applyBorder="1" applyAlignment="1" applyProtection="1">
      <alignment horizontal="right"/>
    </xf>
    <xf numFmtId="38" fontId="61" fillId="17" borderId="6" xfId="11" applyNumberFormat="1" applyFont="1" applyFill="1" applyBorder="1" applyAlignment="1" applyProtection="1">
      <alignment horizontal="right"/>
    </xf>
    <xf numFmtId="0" fontId="61" fillId="17" borderId="0" xfId="11" applyFont="1" applyFill="1" applyAlignment="1">
      <alignment vertical="center"/>
    </xf>
    <xf numFmtId="40" fontId="61" fillId="17" borderId="9" xfId="11" applyNumberFormat="1" applyFont="1" applyFill="1" applyBorder="1" applyAlignment="1" applyProtection="1">
      <alignment horizontal="right"/>
    </xf>
    <xf numFmtId="40" fontId="63" fillId="17" borderId="57" xfId="11" applyNumberFormat="1" applyFont="1" applyFill="1" applyBorder="1" applyAlignment="1" applyProtection="1">
      <alignment horizontal="right"/>
    </xf>
    <xf numFmtId="38" fontId="6" fillId="17" borderId="158" xfId="17" applyNumberFormat="1" applyFill="1" applyBorder="1" applyAlignment="1" applyProtection="1">
      <alignment horizontal="right" vertical="top"/>
    </xf>
    <xf numFmtId="38" fontId="6" fillId="17" borderId="158" xfId="17" applyNumberFormat="1" applyFill="1" applyBorder="1" applyAlignment="1" applyProtection="1">
      <alignment vertical="top"/>
    </xf>
    <xf numFmtId="38" fontId="6" fillId="17" borderId="159" xfId="17" applyNumberFormat="1" applyFill="1" applyBorder="1" applyAlignment="1" applyProtection="1">
      <alignment horizontal="right" vertical="top"/>
    </xf>
    <xf numFmtId="38" fontId="6" fillId="17" borderId="159" xfId="17" applyNumberFormat="1" applyFill="1" applyBorder="1" applyAlignment="1" applyProtection="1">
      <alignment vertical="top"/>
    </xf>
    <xf numFmtId="0" fontId="6" fillId="17" borderId="159" xfId="17" applyFill="1" applyBorder="1" applyAlignment="1" applyProtection="1">
      <alignment horizontal="left" vertical="top" wrapText="1"/>
    </xf>
    <xf numFmtId="49" fontId="6" fillId="17" borderId="159" xfId="17" applyNumberFormat="1" applyFill="1" applyBorder="1" applyAlignment="1" applyProtection="1">
      <alignment vertical="top"/>
    </xf>
    <xf numFmtId="0" fontId="6" fillId="17" borderId="159" xfId="17" applyFill="1" applyBorder="1" applyAlignment="1" applyProtection="1">
      <alignment vertical="top"/>
    </xf>
    <xf numFmtId="0" fontId="54" fillId="17" borderId="127" xfId="0" applyFont="1" applyFill="1" applyBorder="1"/>
    <xf numFmtId="37" fontId="54" fillId="17" borderId="127" xfId="0" applyNumberFormat="1" applyFont="1" applyFill="1" applyBorder="1"/>
    <xf numFmtId="37" fontId="54" fillId="17" borderId="129" xfId="0" applyNumberFormat="1" applyFont="1" applyFill="1" applyBorder="1"/>
    <xf numFmtId="0" fontId="54" fillId="17" borderId="14" xfId="0" applyFont="1" applyFill="1" applyBorder="1"/>
    <xf numFmtId="0" fontId="54" fillId="17" borderId="21" xfId="0" applyFont="1" applyFill="1" applyBorder="1"/>
    <xf numFmtId="37" fontId="54" fillId="17" borderId="14" xfId="0" applyNumberFormat="1" applyFont="1" applyFill="1" applyBorder="1"/>
    <xf numFmtId="37" fontId="54" fillId="17" borderId="21" xfId="0" applyNumberFormat="1" applyFont="1" applyFill="1" applyBorder="1"/>
    <xf numFmtId="38" fontId="54" fillId="17" borderId="14" xfId="0" applyNumberFormat="1" applyFont="1" applyFill="1" applyBorder="1"/>
    <xf numFmtId="0" fontId="61" fillId="17" borderId="0" xfId="0" applyFont="1" applyFill="1" applyBorder="1" applyAlignment="1">
      <alignment horizontal="right"/>
    </xf>
    <xf numFmtId="38" fontId="54" fillId="17" borderId="18" xfId="0" applyNumberFormat="1" applyFont="1" applyFill="1" applyBorder="1"/>
    <xf numFmtId="0" fontId="54" fillId="17" borderId="13" xfId="0" applyFont="1" applyFill="1" applyBorder="1" applyAlignment="1">
      <alignment horizontal="right"/>
    </xf>
    <xf numFmtId="10" fontId="53" fillId="17" borderId="14" xfId="0" applyNumberFormat="1" applyFont="1" applyFill="1" applyBorder="1" applyAlignment="1">
      <alignment horizontal="left" indent="2"/>
    </xf>
    <xf numFmtId="38" fontId="54" fillId="17" borderId="2" xfId="3" applyNumberFormat="1" applyFont="1" applyFill="1" applyBorder="1" applyAlignment="1">
      <alignment vertical="center"/>
    </xf>
    <xf numFmtId="38" fontId="54" fillId="17" borderId="2" xfId="3" applyNumberFormat="1" applyFont="1" applyFill="1" applyBorder="1" applyAlignment="1" applyProtection="1">
      <alignment vertical="center"/>
    </xf>
    <xf numFmtId="38" fontId="54" fillId="17" borderId="27" xfId="3" applyNumberFormat="1" applyFont="1" applyFill="1" applyBorder="1" applyAlignment="1">
      <alignment vertical="center"/>
    </xf>
    <xf numFmtId="9" fontId="54" fillId="17" borderId="4" xfId="3" applyNumberFormat="1" applyFont="1" applyFill="1" applyBorder="1" applyAlignment="1">
      <alignment horizontal="center" vertical="center"/>
    </xf>
    <xf numFmtId="38" fontId="54" fillId="17" borderId="22" xfId="3" applyNumberFormat="1" applyFont="1" applyFill="1" applyBorder="1" applyAlignment="1">
      <alignment horizontal="right" vertical="center"/>
    </xf>
    <xf numFmtId="38" fontId="54" fillId="17" borderId="41"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4" fillId="17" borderId="128" xfId="0" applyNumberFormat="1" applyFont="1" applyFill="1" applyBorder="1" applyAlignment="1" applyProtection="1">
      <alignment horizontal="right"/>
    </xf>
    <xf numFmtId="0" fontId="63" fillId="16" borderId="17" xfId="0" applyFont="1" applyFill="1" applyBorder="1" applyAlignment="1">
      <alignment horizontal="left" vertical="center" wrapText="1"/>
    </xf>
    <xf numFmtId="49" fontId="63" fillId="16" borderId="26" xfId="0" applyNumberFormat="1" applyFont="1" applyFill="1" applyBorder="1" applyAlignment="1">
      <alignment horizontal="center" vertical="center"/>
    </xf>
    <xf numFmtId="38" fontId="54" fillId="16" borderId="26" xfId="0" applyNumberFormat="1" applyFont="1" applyFill="1" applyBorder="1" applyAlignment="1">
      <alignment horizontal="right"/>
    </xf>
    <xf numFmtId="38" fontId="54" fillId="16"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7" borderId="13" xfId="0" applyFont="1" applyFill="1" applyBorder="1" applyAlignment="1">
      <alignment horizontal="left" vertical="center" wrapText="1"/>
    </xf>
    <xf numFmtId="49" fontId="63" fillId="17"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7"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7"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8"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2" xfId="3" applyFont="1" applyBorder="1" applyProtection="1"/>
    <xf numFmtId="49" fontId="61" fillId="0" borderId="14"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26" xfId="0" applyNumberFormat="1" applyFont="1" applyFill="1" applyBorder="1" applyAlignment="1" applyProtection="1">
      <alignment horizontal="right"/>
    </xf>
    <xf numFmtId="38" fontId="6"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49" fontId="4" fillId="0" borderId="158" xfId="17" applyNumberFormat="1" applyFont="1" applyBorder="1" applyAlignment="1" applyProtection="1">
      <alignment horizontal="center"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4" borderId="0" xfId="18" applyFont="1" applyFill="1" applyAlignment="1">
      <alignment horizontal="centerContinuous" vertical="center"/>
    </xf>
    <xf numFmtId="0" fontId="99" fillId="24" borderId="0" xfId="18" applyFont="1" applyFill="1" applyAlignment="1">
      <alignment horizontal="centerContinuous"/>
    </xf>
    <xf numFmtId="0" fontId="87" fillId="0" borderId="138"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3"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5"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60" xfId="18" applyFont="1" applyBorder="1" applyAlignment="1">
      <alignment horizontal="left" vertical="center" wrapText="1"/>
    </xf>
    <xf numFmtId="0" fontId="103" fillId="0" borderId="161" xfId="18" applyFont="1" applyBorder="1" applyAlignment="1">
      <alignment horizontal="left" vertical="center" wrapText="1"/>
    </xf>
    <xf numFmtId="49" fontId="103" fillId="18"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3"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1" xfId="18" applyFont="1" applyBorder="1" applyAlignment="1">
      <alignment vertical="top"/>
    </xf>
    <xf numFmtId="0" fontId="47" fillId="0" borderId="142" xfId="18" applyFont="1" applyBorder="1" applyAlignment="1">
      <alignment vertical="top"/>
    </xf>
    <xf numFmtId="0" fontId="48" fillId="16" borderId="76" xfId="18" applyFont="1" applyFill="1" applyBorder="1" applyAlignment="1">
      <alignment vertical="top"/>
    </xf>
    <xf numFmtId="0" fontId="47" fillId="0" borderId="141" xfId="18" applyFont="1" applyBorder="1" applyAlignment="1">
      <alignment vertical="top" wrapText="1"/>
    </xf>
    <xf numFmtId="0" fontId="47" fillId="0" borderId="142"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3" borderId="46" xfId="0" applyFont="1" applyFill="1" applyBorder="1" applyAlignment="1" applyProtection="1">
      <alignment horizontal="left" vertical="center"/>
    </xf>
    <xf numFmtId="0" fontId="63" fillId="13" borderId="6" xfId="0" applyFont="1" applyFill="1" applyBorder="1" applyAlignment="1" applyProtection="1">
      <alignment horizontal="left" vertical="center"/>
    </xf>
    <xf numFmtId="0" fontId="61" fillId="13" borderId="7" xfId="0" applyFont="1" applyFill="1" applyBorder="1" applyAlignment="1" applyProtection="1">
      <alignment horizontal="left" vertical="center" indent="2"/>
    </xf>
    <xf numFmtId="0" fontId="64" fillId="13"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4" borderId="0" xfId="18" applyFont="1" applyFill="1" applyAlignment="1">
      <alignment horizontal="centerContinuous" vertical="center"/>
    </xf>
    <xf numFmtId="0" fontId="103" fillId="24" borderId="139" xfId="18" applyFont="1" applyFill="1" applyBorder="1" applyAlignment="1">
      <alignment horizontal="center" vertical="center" wrapText="1"/>
    </xf>
    <xf numFmtId="0" fontId="103" fillId="24" borderId="164" xfId="18" applyFont="1" applyFill="1" applyBorder="1" applyAlignment="1">
      <alignment horizontal="center" vertical="center" wrapText="1"/>
    </xf>
    <xf numFmtId="0" fontId="103" fillId="18" borderId="140" xfId="18" applyFont="1" applyFill="1" applyBorder="1" applyAlignment="1">
      <alignment horizontal="center" vertical="center" wrapText="1"/>
    </xf>
    <xf numFmtId="49" fontId="103" fillId="18" borderId="107" xfId="18" applyNumberFormat="1" applyFont="1" applyFill="1" applyBorder="1" applyAlignment="1">
      <alignment horizontal="center" vertical="center" wrapText="1"/>
    </xf>
    <xf numFmtId="0" fontId="48" fillId="18" borderId="108" xfId="18" applyFont="1" applyFill="1" applyBorder="1" applyAlignment="1">
      <alignment horizontal="center"/>
    </xf>
    <xf numFmtId="0" fontId="101" fillId="0" borderId="140" xfId="18" applyFont="1" applyFill="1" applyBorder="1" applyAlignment="1" applyProtection="1">
      <alignment horizontal="right"/>
    </xf>
    <xf numFmtId="0" fontId="64" fillId="24"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3" borderId="39" xfId="0" applyFont="1" applyFill="1" applyBorder="1"/>
    <xf numFmtId="0" fontId="54" fillId="13" borderId="23" xfId="0" applyFont="1" applyFill="1" applyBorder="1" applyAlignment="1">
      <alignment horizontal="left" vertical="top"/>
    </xf>
    <xf numFmtId="0" fontId="54" fillId="13" borderId="23" xfId="0" applyFont="1" applyFill="1" applyBorder="1" applyAlignment="1">
      <alignment vertical="top" wrapText="1"/>
    </xf>
    <xf numFmtId="0" fontId="63" fillId="13"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8" xfId="11" applyNumberFormat="1" applyFont="1" applyFill="1" applyBorder="1" applyAlignment="1" applyProtection="1">
      <alignment horizontal="right"/>
      <protection locked="0"/>
    </xf>
    <xf numFmtId="38" fontId="61" fillId="17" borderId="0" xfId="11" applyNumberFormat="1" applyFont="1" applyFill="1" applyBorder="1" applyAlignment="1" applyProtection="1">
      <alignment horizontal="right"/>
    </xf>
    <xf numFmtId="38" fontId="61" fillId="17" borderId="9" xfId="11" applyNumberFormat="1" applyFont="1" applyFill="1" applyBorder="1" applyAlignment="1" applyProtection="1">
      <alignment horizontal="right"/>
    </xf>
    <xf numFmtId="3" fontId="61" fillId="17" borderId="9" xfId="10" applyNumberFormat="1" applyFont="1" applyFill="1" applyBorder="1" applyAlignment="1" applyProtection="1">
      <alignment vertical="center"/>
    </xf>
    <xf numFmtId="3" fontId="61" fillId="17" borderId="6" xfId="10" applyNumberFormat="1" applyFont="1" applyFill="1" applyBorder="1" applyAlignment="1" applyProtection="1">
      <alignment vertical="center"/>
    </xf>
    <xf numFmtId="38" fontId="61" fillId="17" borderId="9" xfId="10" applyNumberFormat="1" applyFont="1" applyFill="1" applyBorder="1" applyAlignment="1" applyProtection="1">
      <alignment horizontal="right" vertical="center"/>
    </xf>
    <xf numFmtId="38" fontId="61" fillId="17" borderId="0" xfId="10" applyNumberFormat="1" applyFont="1" applyFill="1" applyAlignment="1">
      <alignment vertical="top"/>
    </xf>
    <xf numFmtId="38" fontId="61" fillId="17" borderId="6" xfId="10" applyNumberFormat="1" applyFont="1" applyFill="1" applyBorder="1" applyAlignment="1" applyProtection="1">
      <alignment horizontal="right" vertical="center"/>
    </xf>
    <xf numFmtId="38" fontId="61" fillId="17" borderId="6" xfId="10" applyNumberFormat="1" applyFont="1" applyFill="1" applyBorder="1" applyAlignment="1" applyProtection="1">
      <alignment horizontal="right"/>
    </xf>
    <xf numFmtId="38" fontId="61" fillId="17" borderId="0" xfId="10" applyNumberFormat="1" applyFont="1" applyFill="1" applyAlignment="1">
      <alignment horizontal="right"/>
    </xf>
    <xf numFmtId="38" fontId="61" fillId="17" borderId="9" xfId="10" applyNumberFormat="1" applyFont="1" applyFill="1" applyBorder="1" applyAlignment="1" applyProtection="1">
      <alignment horizontal="right"/>
    </xf>
    <xf numFmtId="38" fontId="61" fillId="17" borderId="6" xfId="10" applyNumberFormat="1" applyFont="1" applyFill="1" applyBorder="1" applyAlignment="1">
      <alignment horizontal="right"/>
    </xf>
    <xf numFmtId="38" fontId="61" fillId="17" borderId="148"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8" borderId="21" xfId="0" applyFont="1" applyFill="1" applyBorder="1" applyAlignment="1" applyProtection="1">
      <alignment vertical="center"/>
    </xf>
    <xf numFmtId="0" fontId="63" fillId="18" borderId="2" xfId="0" applyFont="1" applyFill="1" applyBorder="1" applyAlignment="1" applyProtection="1">
      <alignment vertical="center"/>
    </xf>
    <xf numFmtId="0" fontId="2" fillId="0" borderId="158" xfId="17" applyFont="1" applyBorder="1" applyAlignment="1" applyProtection="1">
      <alignment horizontal="left" vertical="top" wrapText="1"/>
      <protection locked="0"/>
    </xf>
    <xf numFmtId="0" fontId="2" fillId="0" borderId="158" xfId="17" applyFont="1" applyBorder="1" applyAlignment="1" applyProtection="1">
      <alignment vertical="top"/>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9" xfId="12" applyFont="1" applyBorder="1" applyAlignment="1" applyProtection="1">
      <alignment horizontal="center" vertical="center" wrapText="1"/>
    </xf>
    <xf numFmtId="0" fontId="134" fillId="0" borderId="127"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7" xfId="12" applyFont="1" applyBorder="1" applyAlignment="1" applyProtection="1">
      <alignment horizontal="left" vertical="center" indent="1"/>
      <protection locked="0"/>
    </xf>
    <xf numFmtId="0" fontId="12" fillId="0" borderId="127"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9"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6" xfId="12" applyNumberFormat="1" applyFont="1" applyBorder="1" applyAlignment="1" applyProtection="1">
      <alignment horizontal="left" vertical="center" indent="1"/>
      <protection locked="0"/>
    </xf>
    <xf numFmtId="0" fontId="12" fillId="0" borderId="129" xfId="12" applyNumberFormat="1" applyFont="1" applyBorder="1" applyAlignment="1" applyProtection="1">
      <alignment horizontal="left" vertical="center" indent="1"/>
      <protection locked="0"/>
    </xf>
    <xf numFmtId="0" fontId="12" fillId="0" borderId="127"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180" fontId="12" fillId="0" borderId="129" xfId="12" applyNumberFormat="1" applyFont="1" applyBorder="1" applyAlignment="1" applyProtection="1">
      <alignment horizontal="left" vertical="center" indent="1"/>
      <protection locked="0"/>
    </xf>
    <xf numFmtId="180" fontId="12" fillId="0" borderId="127"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4" fillId="0" borderId="129" xfId="3" applyFont="1" applyBorder="1" applyAlignment="1" applyProtection="1">
      <alignment horizontal="left" vertical="top"/>
      <protection locked="0"/>
    </xf>
    <xf numFmtId="0" fontId="54" fillId="0" borderId="127" xfId="3" applyFont="1" applyBorder="1" applyAlignment="1" applyProtection="1">
      <alignment horizontal="left" vertical="top"/>
      <protection locked="0"/>
    </xf>
    <xf numFmtId="0" fontId="53" fillId="0" borderId="135"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9" borderId="0" xfId="0" applyFont="1" applyFill="1" applyBorder="1" applyAlignment="1" applyProtection="1">
      <alignment horizontal="center" vertical="center"/>
    </xf>
    <xf numFmtId="0" fontId="53" fillId="19"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4" fillId="0" borderId="129" xfId="0" applyFont="1" applyBorder="1" applyAlignment="1" applyProtection="1">
      <alignment horizontal="left" vertical="top" wrapText="1"/>
      <protection locked="0"/>
    </xf>
    <xf numFmtId="0" fontId="54" fillId="0" borderId="127"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7" xfId="0" applyFont="1" applyFill="1" applyBorder="1" applyAlignment="1" applyProtection="1">
      <alignment horizontal="center" vertical="center" wrapText="1"/>
    </xf>
    <xf numFmtId="3" fontId="63" fillId="24" borderId="13" xfId="0" applyNumberFormat="1" applyFont="1" applyFill="1" applyBorder="1" applyAlignment="1" applyProtection="1">
      <alignment horizontal="left" vertical="center"/>
    </xf>
    <xf numFmtId="3" fontId="63" fillId="24" borderId="14" xfId="0" applyNumberFormat="1" applyFont="1" applyFill="1" applyBorder="1" applyAlignment="1" applyProtection="1">
      <alignment horizontal="left" vertical="center"/>
    </xf>
    <xf numFmtId="164" fontId="63" fillId="24" borderId="49" xfId="0" applyNumberFormat="1" applyFont="1" applyFill="1" applyBorder="1" applyAlignment="1" applyProtection="1">
      <alignment horizontal="left" vertical="center"/>
    </xf>
    <xf numFmtId="164" fontId="63" fillId="24" borderId="31" xfId="0" applyNumberFormat="1" applyFont="1" applyFill="1" applyBorder="1" applyAlignment="1" applyProtection="1">
      <alignment horizontal="left" vertical="center"/>
    </xf>
    <xf numFmtId="0" fontId="63" fillId="24" borderId="34" xfId="0" applyFont="1" applyFill="1" applyBorder="1" applyAlignment="1" applyProtection="1">
      <alignment horizontal="left" vertical="center"/>
    </xf>
    <xf numFmtId="0" fontId="63" fillId="24" borderId="31" xfId="0" applyFont="1" applyFill="1" applyBorder="1" applyAlignment="1" applyProtection="1">
      <alignment horizontal="left" vertical="center"/>
    </xf>
    <xf numFmtId="164" fontId="63" fillId="24" borderId="13" xfId="0" applyNumberFormat="1" applyFont="1" applyFill="1" applyBorder="1" applyAlignment="1" applyProtection="1">
      <alignment horizontal="left" vertical="center"/>
    </xf>
    <xf numFmtId="164" fontId="63" fillId="24" borderId="14" xfId="0" applyNumberFormat="1" applyFont="1" applyFill="1" applyBorder="1" applyAlignment="1" applyProtection="1">
      <alignment horizontal="left" vertical="center"/>
    </xf>
    <xf numFmtId="164" fontId="63" fillId="17" borderId="36" xfId="0" applyNumberFormat="1" applyFont="1" applyFill="1" applyBorder="1" applyAlignment="1" applyProtection="1">
      <alignment horizontal="left" vertical="center" wrapText="1" indent="2"/>
    </xf>
    <xf numFmtId="164" fontId="63" fillId="17" borderId="30" xfId="0" applyNumberFormat="1" applyFont="1" applyFill="1" applyBorder="1" applyAlignment="1" applyProtection="1">
      <alignment horizontal="left" vertical="center" wrapText="1" indent="2"/>
    </xf>
    <xf numFmtId="0" fontId="63" fillId="17" borderId="52" xfId="0" applyFont="1" applyFill="1" applyBorder="1" applyAlignment="1" applyProtection="1">
      <alignment horizontal="left" vertical="center" indent="2"/>
    </xf>
    <xf numFmtId="0" fontId="63" fillId="17" borderId="53" xfId="0" applyFont="1" applyFill="1" applyBorder="1" applyAlignment="1" applyProtection="1">
      <alignment horizontal="left" vertical="center" indent="2"/>
    </xf>
    <xf numFmtId="0" fontId="63" fillId="17" borderId="35" xfId="0" applyFont="1" applyFill="1" applyBorder="1" applyAlignment="1" applyProtection="1">
      <alignment horizontal="left" vertical="center" indent="2"/>
    </xf>
    <xf numFmtId="0" fontId="63"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center" wrapText="1" indent="2"/>
    </xf>
    <xf numFmtId="0" fontId="56" fillId="17"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7" xfId="0" applyNumberFormat="1" applyFont="1" applyBorder="1" applyAlignment="1" applyProtection="1">
      <alignment horizontal="center" vertical="center" wrapText="1"/>
    </xf>
    <xf numFmtId="0" fontId="63" fillId="17" borderId="34" xfId="0" applyFont="1" applyFill="1" applyBorder="1" applyAlignment="1" applyProtection="1">
      <alignment horizontal="left" vertical="center" indent="1"/>
    </xf>
    <xf numFmtId="0" fontId="63" fillId="17"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6" borderId="13" xfId="0" applyNumberFormat="1" applyFont="1" applyFill="1" applyBorder="1" applyAlignment="1" applyProtection="1">
      <alignment horizontal="left" vertical="center" wrapText="1" indent="1"/>
    </xf>
    <xf numFmtId="164" fontId="63" fillId="26" borderId="14" xfId="0" applyNumberFormat="1" applyFont="1" applyFill="1" applyBorder="1" applyAlignment="1" applyProtection="1">
      <alignment horizontal="left" vertical="center" wrapText="1" indent="1"/>
    </xf>
    <xf numFmtId="164" fontId="63" fillId="15" borderId="13" xfId="0" applyNumberFormat="1" applyFont="1" applyFill="1" applyBorder="1" applyAlignment="1" applyProtection="1">
      <alignment horizontal="left" vertical="center" wrapText="1" indent="1"/>
    </xf>
    <xf numFmtId="164" fontId="63" fillId="15" borderId="14" xfId="0" applyNumberFormat="1" applyFont="1" applyFill="1" applyBorder="1" applyAlignment="1" applyProtection="1">
      <alignment horizontal="left" vertical="center" wrapText="1" indent="1"/>
    </xf>
    <xf numFmtId="164" fontId="63" fillId="18" borderId="13" xfId="0" applyNumberFormat="1" applyFont="1" applyFill="1" applyBorder="1" applyAlignment="1" applyProtection="1">
      <alignment horizontal="left" vertical="center" wrapText="1"/>
    </xf>
    <xf numFmtId="164" fontId="63" fillId="18" borderId="14" xfId="0" applyNumberFormat="1" applyFont="1" applyFill="1" applyBorder="1" applyAlignment="1" applyProtection="1">
      <alignment horizontal="left" vertical="center" wrapText="1"/>
    </xf>
    <xf numFmtId="49" fontId="63" fillId="24" borderId="13" xfId="0" applyNumberFormat="1" applyFont="1" applyFill="1" applyBorder="1" applyAlignment="1" applyProtection="1">
      <alignment horizontal="left" vertical="center"/>
    </xf>
    <xf numFmtId="49" fontId="63" fillId="24" borderId="14" xfId="0" applyNumberFormat="1" applyFont="1" applyFill="1" applyBorder="1" applyAlignment="1" applyProtection="1">
      <alignment horizontal="left" vertical="center"/>
    </xf>
    <xf numFmtId="0" fontId="63" fillId="24" borderId="13" xfId="0" applyFont="1" applyFill="1" applyBorder="1" applyAlignment="1" applyProtection="1">
      <alignment vertical="center"/>
    </xf>
    <xf numFmtId="0" fontId="63" fillId="24" borderId="14" xfId="0" applyFont="1" applyFill="1" applyBorder="1" applyAlignment="1" applyProtection="1">
      <alignment vertical="center"/>
    </xf>
    <xf numFmtId="164" fontId="63" fillId="17" borderId="13" xfId="0" applyNumberFormat="1" applyFont="1" applyFill="1" applyBorder="1" applyAlignment="1" applyProtection="1">
      <alignment horizontal="left" vertical="center" wrapText="1" indent="2"/>
    </xf>
    <xf numFmtId="164" fontId="63" fillId="17"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7" borderId="24" xfId="0" applyFont="1" applyFill="1" applyBorder="1" applyAlignment="1" applyProtection="1">
      <alignment horizontal="left" vertical="center" indent="1"/>
    </xf>
    <xf numFmtId="0" fontId="56" fillId="17" borderId="51" xfId="0" applyFont="1" applyFill="1" applyBorder="1" applyAlignment="1">
      <alignment horizontal="left" vertical="center" indent="1"/>
    </xf>
    <xf numFmtId="0" fontId="63" fillId="18" borderId="21" xfId="0" applyFont="1" applyFill="1" applyBorder="1" applyAlignment="1">
      <alignment horizontal="left" vertical="center" wrapText="1"/>
    </xf>
    <xf numFmtId="0" fontId="56" fillId="18" borderId="14" xfId="0" applyFont="1" applyFill="1" applyBorder="1" applyAlignment="1">
      <alignment horizontal="left" vertical="center" wrapText="1"/>
    </xf>
    <xf numFmtId="0" fontId="63" fillId="18" borderId="34" xfId="0" applyFont="1" applyFill="1" applyBorder="1" applyAlignment="1">
      <alignment vertical="top" wrapText="1"/>
    </xf>
    <xf numFmtId="0" fontId="56" fillId="18" borderId="31" xfId="0" applyFont="1" applyFill="1" applyBorder="1" applyAlignment="1">
      <alignment vertical="top" wrapText="1"/>
    </xf>
    <xf numFmtId="0" fontId="63" fillId="17" borderId="35" xfId="0" applyFont="1" applyFill="1" applyBorder="1" applyAlignment="1" applyProtection="1">
      <alignment horizontal="left" vertical="top" wrapText="1" indent="1"/>
    </xf>
    <xf numFmtId="0" fontId="56" fillId="17" borderId="30" xfId="0" applyFont="1" applyFill="1" applyBorder="1" applyAlignment="1">
      <alignment horizontal="left" vertical="top" wrapText="1" indent="1"/>
    </xf>
    <xf numFmtId="0" fontId="63" fillId="17" borderId="35" xfId="0" applyFont="1" applyFill="1" applyBorder="1" applyAlignment="1" applyProtection="1">
      <alignment horizontal="left" vertical="top" indent="1"/>
    </xf>
    <xf numFmtId="0" fontId="56" fillId="17" borderId="30" xfId="0" applyFont="1" applyFill="1" applyBorder="1" applyAlignment="1">
      <alignment horizontal="left" vertical="top" indent="1"/>
    </xf>
    <xf numFmtId="0" fontId="63" fillId="18" borderId="34" xfId="0" applyFont="1" applyFill="1" applyBorder="1" applyAlignment="1">
      <alignment vertical="center" wrapText="1"/>
    </xf>
    <xf numFmtId="0" fontId="56" fillId="18" borderId="31" xfId="0" applyFont="1" applyFill="1" applyBorder="1" applyAlignment="1">
      <alignment vertical="center" wrapText="1"/>
    </xf>
    <xf numFmtId="3" fontId="63" fillId="17" borderId="49" xfId="0" applyNumberFormat="1" applyFont="1" applyFill="1" applyBorder="1" applyAlignment="1">
      <alignment horizontal="left" vertical="top" indent="1"/>
    </xf>
    <xf numFmtId="3" fontId="63" fillId="17"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4" borderId="19" xfId="0" applyFont="1" applyFill="1" applyBorder="1" applyAlignment="1">
      <alignment horizontal="center" vertical="center"/>
    </xf>
    <xf numFmtId="0" fontId="56" fillId="24" borderId="11" xfId="0" applyFont="1" applyFill="1" applyBorder="1" applyAlignment="1">
      <alignment horizontal="center" vertical="center"/>
    </xf>
    <xf numFmtId="0" fontId="64" fillId="25" borderId="20" xfId="0" applyFont="1" applyFill="1" applyBorder="1" applyAlignment="1">
      <alignment horizontal="center" vertical="center"/>
    </xf>
    <xf numFmtId="0" fontId="64" fillId="25" borderId="11" xfId="0" applyFont="1" applyFill="1" applyBorder="1" applyAlignment="1">
      <alignment horizontal="center" vertical="center"/>
    </xf>
    <xf numFmtId="0" fontId="56" fillId="25" borderId="11" xfId="0" applyFont="1" applyFill="1" applyBorder="1" applyAlignment="1">
      <alignment horizontal="center" vertical="center"/>
    </xf>
    <xf numFmtId="0" fontId="64" fillId="24" borderId="107" xfId="0" applyFont="1" applyFill="1" applyBorder="1" applyAlignment="1">
      <alignment horizontal="center" vertical="center"/>
    </xf>
    <xf numFmtId="0" fontId="56" fillId="24" borderId="132" xfId="0" applyFont="1" applyFill="1" applyBorder="1" applyAlignment="1">
      <alignment horizontal="center" vertical="center"/>
    </xf>
    <xf numFmtId="0" fontId="64" fillId="24" borderId="20" xfId="0" applyFont="1" applyFill="1" applyBorder="1" applyAlignment="1">
      <alignment horizontal="center" vertical="center"/>
    </xf>
    <xf numFmtId="3" fontId="63" fillId="17" borderId="34" xfId="0" applyNumberFormat="1" applyFont="1" applyFill="1" applyBorder="1" applyAlignment="1">
      <alignment horizontal="left" vertical="top" wrapText="1" indent="1"/>
    </xf>
    <xf numFmtId="0" fontId="56" fillId="17" borderId="31" xfId="0" applyFont="1" applyFill="1" applyBorder="1" applyAlignment="1">
      <alignment horizontal="left" vertical="top" wrapText="1"/>
    </xf>
    <xf numFmtId="3" fontId="63" fillId="17" borderId="23" xfId="0" applyNumberFormat="1" applyFont="1" applyFill="1" applyBorder="1" applyAlignment="1">
      <alignment horizontal="left" vertical="top" wrapText="1" indent="1"/>
    </xf>
    <xf numFmtId="0" fontId="56" fillId="17" borderId="38" xfId="0" applyFont="1" applyFill="1" applyBorder="1" applyAlignment="1">
      <alignment horizontal="left" vertical="top" wrapText="1" indent="1"/>
    </xf>
    <xf numFmtId="3" fontId="63" fillId="17" borderId="24" xfId="0" applyNumberFormat="1" applyFont="1" applyFill="1" applyBorder="1" applyAlignment="1">
      <alignment horizontal="left" vertical="top" wrapText="1" indent="1"/>
    </xf>
    <xf numFmtId="0" fontId="61" fillId="17" borderId="51" xfId="0" applyFont="1" applyFill="1" applyBorder="1" applyAlignment="1">
      <alignment horizontal="left" vertical="top" wrapText="1" indent="1"/>
    </xf>
    <xf numFmtId="3" fontId="63" fillId="17" borderId="35" xfId="0" applyNumberFormat="1" applyFont="1" applyFill="1" applyBorder="1" applyAlignment="1">
      <alignment horizontal="left" vertical="top" wrapText="1" indent="1"/>
    </xf>
    <xf numFmtId="3" fontId="63" fillId="17" borderId="35" xfId="0" applyNumberFormat="1" applyFont="1" applyFill="1" applyBorder="1" applyAlignment="1">
      <alignment horizontal="left" vertical="top" indent="1"/>
    </xf>
    <xf numFmtId="0" fontId="61" fillId="17"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4" borderId="20" xfId="0" applyFont="1" applyFill="1" applyBorder="1" applyAlignment="1">
      <alignment horizontal="center" vertical="center" wrapText="1"/>
    </xf>
    <xf numFmtId="0" fontId="56" fillId="24" borderId="11" xfId="0" applyFont="1" applyFill="1" applyBorder="1" applyAlignment="1">
      <alignment horizontal="center" vertical="center" wrapText="1"/>
    </xf>
    <xf numFmtId="3" fontId="64" fillId="24" borderId="13" xfId="0" applyNumberFormat="1" applyFont="1" applyFill="1" applyBorder="1" applyAlignment="1">
      <alignment horizontal="center" vertical="center"/>
    </xf>
    <xf numFmtId="0" fontId="56" fillId="24" borderId="14" xfId="0" applyFont="1" applyFill="1" applyBorder="1" applyAlignment="1">
      <alignment horizontal="center" vertical="center"/>
    </xf>
    <xf numFmtId="0" fontId="64" fillId="24" borderId="21" xfId="0" applyFont="1" applyFill="1" applyBorder="1" applyAlignment="1">
      <alignment horizontal="center" vertical="center"/>
    </xf>
    <xf numFmtId="3" fontId="63" fillId="16" borderId="10" xfId="0" applyNumberFormat="1" applyFont="1" applyFill="1" applyBorder="1" applyAlignment="1" applyProtection="1">
      <alignment horizontal="center" vertical="center" wrapText="1"/>
    </xf>
    <xf numFmtId="3" fontId="63" fillId="16" borderId="127"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7" borderId="13" xfId="0" applyNumberFormat="1" applyFont="1" applyFill="1" applyBorder="1" applyAlignment="1" applyProtection="1">
      <alignment horizontal="left" vertical="center" wrapText="1" indent="1"/>
    </xf>
    <xf numFmtId="0" fontId="56" fillId="17"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7" borderId="13" xfId="0" applyNumberFormat="1" applyFont="1" applyFill="1" applyBorder="1" applyAlignment="1" applyProtection="1">
      <alignment horizontal="left" vertical="center" indent="1"/>
    </xf>
    <xf numFmtId="0" fontId="56" fillId="17" borderId="14" xfId="0" applyFont="1" applyFill="1" applyBorder="1" applyAlignment="1">
      <alignment horizontal="left" vertical="center" indent="1"/>
    </xf>
    <xf numFmtId="0" fontId="64" fillId="13" borderId="13" xfId="9" applyFont="1" applyFill="1" applyBorder="1" applyAlignment="1">
      <alignment horizontal="center" vertical="center"/>
    </xf>
    <xf numFmtId="0" fontId="56" fillId="13"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3"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3" borderId="46" xfId="0" applyFont="1" applyFill="1" applyBorder="1" applyAlignment="1" applyProtection="1">
      <alignment horizontal="left" vertical="center" wrapText="1"/>
    </xf>
    <xf numFmtId="0" fontId="56" fillId="13" borderId="6" xfId="0" applyFont="1" applyFill="1" applyBorder="1" applyAlignment="1">
      <alignment horizontal="left" wrapText="1"/>
    </xf>
    <xf numFmtId="0" fontId="56" fillId="13"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8" xfId="0" applyFont="1" applyBorder="1" applyAlignment="1" applyProtection="1">
      <alignment horizontal="left" vertical="center" wrapText="1" indent="1"/>
    </xf>
    <xf numFmtId="0" fontId="61" fillId="0" borderId="149"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7" borderId="54" xfId="0" applyFont="1" applyFill="1" applyBorder="1" applyAlignment="1" applyProtection="1">
      <alignment horizontal="left" vertical="center" indent="1"/>
    </xf>
    <xf numFmtId="0" fontId="63" fillId="17" borderId="57" xfId="0" applyFont="1" applyFill="1" applyBorder="1" applyAlignment="1" applyProtection="1">
      <alignment horizontal="left" vertical="center" indent="1"/>
    </xf>
    <xf numFmtId="0" fontId="63" fillId="17" borderId="61" xfId="0" applyFont="1" applyFill="1" applyBorder="1" applyAlignment="1" applyProtection="1">
      <alignment horizontal="left" vertical="center" indent="1"/>
    </xf>
    <xf numFmtId="0" fontId="63" fillId="17" borderId="148" xfId="0" applyFont="1" applyFill="1" applyBorder="1" applyAlignment="1" applyProtection="1">
      <alignment horizontal="left" vertical="center" indent="1"/>
    </xf>
    <xf numFmtId="0" fontId="63" fillId="17" borderId="147" xfId="0" applyFont="1" applyFill="1" applyBorder="1" applyAlignment="1" applyProtection="1">
      <alignment horizontal="left" vertical="center" indent="1"/>
    </xf>
    <xf numFmtId="0" fontId="63" fillId="3" borderId="148" xfId="0" applyFont="1" applyFill="1" applyBorder="1" applyAlignment="1" applyProtection="1">
      <alignment horizontal="left" vertical="center"/>
    </xf>
    <xf numFmtId="0" fontId="63" fillId="3" borderId="149"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4" borderId="147" xfId="0" applyFont="1" applyFill="1" applyBorder="1" applyAlignment="1" applyProtection="1">
      <alignment horizontal="left" vertical="center" indent="1"/>
    </xf>
    <xf numFmtId="0" fontId="64" fillId="24" borderId="148" xfId="0" applyFont="1" applyFill="1" applyBorder="1" applyAlignment="1" applyProtection="1">
      <alignment horizontal="left" vertical="center" indent="1"/>
    </xf>
    <xf numFmtId="0" fontId="64" fillId="24" borderId="149"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4" borderId="92" xfId="10" applyFont="1" applyFill="1" applyBorder="1" applyAlignment="1">
      <alignment horizontal="center" vertical="center" wrapText="1"/>
    </xf>
    <xf numFmtId="0" fontId="64" fillId="24" borderId="25" xfId="0" applyFont="1" applyFill="1" applyBorder="1" applyAlignment="1">
      <alignment horizontal="center" vertical="center" wrapText="1"/>
    </xf>
    <xf numFmtId="0" fontId="64" fillId="24" borderId="93" xfId="0" applyFont="1" applyFill="1" applyBorder="1" applyAlignment="1">
      <alignment horizontal="center" vertical="center" wrapText="1"/>
    </xf>
    <xf numFmtId="0" fontId="129" fillId="24" borderId="94" xfId="10" applyFont="1" applyFill="1" applyBorder="1" applyAlignment="1">
      <alignment horizontal="center" vertical="center"/>
    </xf>
    <xf numFmtId="0" fontId="54" fillId="24" borderId="47" xfId="0" applyFont="1" applyFill="1" applyBorder="1" applyAlignment="1">
      <alignment horizontal="center" vertical="center"/>
    </xf>
    <xf numFmtId="0" fontId="54" fillId="24"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4" borderId="141" xfId="17" applyFont="1" applyFill="1" applyBorder="1" applyAlignment="1">
      <alignment horizontal="center" vertical="center"/>
    </xf>
    <xf numFmtId="0" fontId="125" fillId="24" borderId="142" xfId="17" applyFont="1" applyFill="1" applyBorder="1" applyAlignment="1">
      <alignment horizontal="center" vertical="center"/>
    </xf>
    <xf numFmtId="0" fontId="125" fillId="24" borderId="143" xfId="17" applyFont="1" applyFill="1" applyBorder="1" applyAlignment="1">
      <alignment horizontal="center" vertical="center"/>
    </xf>
    <xf numFmtId="0" fontId="125" fillId="24" borderId="98" xfId="17" applyFont="1" applyFill="1" applyBorder="1" applyAlignment="1">
      <alignment horizontal="center" vertical="center"/>
    </xf>
    <xf numFmtId="0" fontId="125" fillId="24" borderId="78" xfId="17" applyFont="1" applyFill="1" applyBorder="1" applyAlignment="1">
      <alignment horizontal="center" vertical="center"/>
    </xf>
    <xf numFmtId="0" fontId="125" fillId="24"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20" borderId="13" xfId="0" applyFont="1" applyFill="1" applyBorder="1" applyAlignment="1" applyProtection="1">
      <alignment horizontal="left" vertical="center" wrapText="1" indent="1"/>
    </xf>
    <xf numFmtId="0" fontId="56" fillId="20" borderId="21" xfId="0" applyFont="1" applyFill="1" applyBorder="1" applyAlignment="1">
      <alignment horizontal="left" vertical="center" wrapText="1" indent="1"/>
    </xf>
    <xf numFmtId="0" fontId="56" fillId="20"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2" xfId="18" applyFont="1" applyBorder="1" applyAlignment="1" applyProtection="1">
      <alignment horizontal="center" vertical="top" wrapText="1"/>
      <protection locked="0"/>
    </xf>
    <xf numFmtId="0" fontId="48" fillId="0" borderId="143"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4" borderId="0" xfId="18" applyFont="1" applyFill="1" applyAlignment="1">
      <alignment horizontal="center" vertical="center"/>
    </xf>
    <xf numFmtId="0" fontId="72" fillId="0" borderId="138"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2" xfId="18" applyFont="1" applyBorder="1" applyAlignment="1" applyProtection="1">
      <alignment horizontal="center" vertical="top" wrapText="1"/>
      <protection locked="0"/>
    </xf>
    <xf numFmtId="0" fontId="3" fillId="0" borderId="143"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4" borderId="17" xfId="3" applyNumberFormat="1" applyFont="1" applyFill="1" applyBorder="1" applyAlignment="1">
      <alignment horizontal="left" vertical="top" wrapText="1"/>
    </xf>
    <xf numFmtId="0" fontId="54" fillId="24" borderId="0" xfId="3" applyFont="1" applyFill="1" applyBorder="1" applyAlignment="1">
      <alignment vertical="top"/>
    </xf>
    <xf numFmtId="0" fontId="54" fillId="24"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4" xfId="3" applyFont="1" applyBorder="1" applyAlignment="1">
      <alignment horizontal="center" vertical="center" wrapText="1"/>
    </xf>
    <xf numFmtId="0" fontId="72" fillId="0" borderId="134" xfId="3" applyNumberFormat="1" applyFont="1" applyBorder="1" applyAlignment="1">
      <alignment horizontal="center"/>
    </xf>
    <xf numFmtId="0" fontId="56" fillId="0" borderId="135" xfId="3" applyNumberFormat="1" applyFont="1" applyBorder="1" applyAlignment="1" applyProtection="1">
      <alignment horizontal="center"/>
      <protection locked="0"/>
    </xf>
    <xf numFmtId="171" fontId="56" fillId="0" borderId="135" xfId="3" applyNumberFormat="1" applyFont="1" applyBorder="1" applyAlignment="1" applyProtection="1">
      <alignment horizontal="center"/>
      <protection locked="0"/>
    </xf>
    <xf numFmtId="0" fontId="56" fillId="0" borderId="135"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3" borderId="13" xfId="3" applyFont="1" applyFill="1" applyBorder="1" applyAlignment="1">
      <alignment horizontal="center" vertical="center" wrapText="1"/>
    </xf>
    <xf numFmtId="0" fontId="64" fillId="13" borderId="21" xfId="3" applyFont="1" applyFill="1" applyBorder="1" applyAlignment="1">
      <alignment horizontal="center" vertical="center" wrapText="1"/>
    </xf>
    <xf numFmtId="0" fontId="64" fillId="13" borderId="14" xfId="3" applyFont="1" applyFill="1" applyBorder="1" applyAlignment="1">
      <alignment horizontal="center" vertical="center" wrapText="1"/>
    </xf>
    <xf numFmtId="0" fontId="56" fillId="0" borderId="0" xfId="3" applyFont="1" applyBorder="1" applyAlignment="1">
      <alignment wrapText="1"/>
    </xf>
    <xf numFmtId="0" fontId="108" fillId="0" borderId="113"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8" fillId="0" borderId="117"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3" borderId="126" xfId="0" applyFont="1" applyFill="1" applyBorder="1" applyAlignment="1">
      <alignment horizontal="center" vertical="center"/>
    </xf>
    <xf numFmtId="0" fontId="111" fillId="13" borderId="129" xfId="0" applyFont="1" applyFill="1" applyBorder="1" applyAlignment="1">
      <alignment horizontal="center" vertical="center"/>
    </xf>
    <xf numFmtId="0" fontId="111" fillId="13" borderId="154" xfId="0" applyFont="1" applyFill="1" applyBorder="1" applyAlignment="1">
      <alignment horizontal="center" vertical="center"/>
    </xf>
    <xf numFmtId="164" fontId="111" fillId="13" borderId="17" xfId="0" applyNumberFormat="1" applyFont="1" applyFill="1" applyBorder="1" applyAlignment="1">
      <alignment horizontal="center" vertical="center"/>
    </xf>
    <xf numFmtId="164" fontId="111" fillId="13" borderId="0" xfId="0" applyNumberFormat="1" applyFont="1" applyFill="1" applyBorder="1" applyAlignment="1">
      <alignment horizontal="center" vertical="center"/>
    </xf>
    <xf numFmtId="164" fontId="111" fillId="13" borderId="63" xfId="0" applyNumberFormat="1" applyFont="1" applyFill="1" applyBorder="1" applyAlignment="1">
      <alignment horizontal="center" vertical="center"/>
    </xf>
    <xf numFmtId="164" fontId="60" fillId="13" borderId="126" xfId="0" applyNumberFormat="1" applyFont="1" applyFill="1" applyBorder="1" applyAlignment="1">
      <alignment horizontal="center" vertical="top"/>
    </xf>
    <xf numFmtId="164" fontId="112" fillId="13" borderId="129" xfId="0" applyNumberFormat="1" applyFont="1" applyFill="1" applyBorder="1" applyAlignment="1">
      <alignment horizontal="center" vertical="top"/>
    </xf>
    <xf numFmtId="164" fontId="112" fillId="13" borderId="154"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9" xfId="0" applyNumberFormat="1" applyFont="1" applyBorder="1" applyAlignment="1">
      <alignment horizontal="left" vertical="center" wrapText="1"/>
    </xf>
    <xf numFmtId="0" fontId="56" fillId="0" borderId="127"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7" xfId="3" applyNumberFormat="1" applyFont="1" applyBorder="1" applyProtection="1"/>
    <xf numFmtId="0" fontId="54" fillId="0" borderId="148"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8" xfId="3" applyNumberFormat="1"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64" fillId="0" borderId="149"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165" fontId="64" fillId="0" borderId="0" xfId="3" applyNumberFormat="1" applyFont="1" applyAlignment="1" applyProtection="1">
      <alignment horizontal="center" vertic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50" xfId="3" applyNumberFormat="1" applyFont="1" applyBorder="1" applyAlignment="1" applyProtection="1">
      <protection locked="0"/>
    </xf>
    <xf numFmtId="0" fontId="64" fillId="0" borderId="151" xfId="3" applyFont="1" applyBorder="1" applyAlignment="1" applyProtection="1">
      <protection locked="0"/>
    </xf>
    <xf numFmtId="0" fontId="61" fillId="0" borderId="0" xfId="3" applyFont="1" applyBorder="1" applyAlignment="1" applyProtection="1">
      <alignment horizontal="left" vertical="top" wrapText="1"/>
    </xf>
    <xf numFmtId="0" fontId="64" fillId="0" borderId="0" xfId="3" applyNumberFormat="1" applyFont="1" applyAlignment="1">
      <alignment horizont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150"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1"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50" xfId="3" applyFont="1" applyBorder="1" applyAlignment="1" applyProtection="1">
      <alignment horizontal="center"/>
    </xf>
    <xf numFmtId="0" fontId="61" fillId="0" borderId="76" xfId="3" applyFont="1" applyBorder="1" applyAlignment="1" applyProtection="1">
      <alignment horizontal="center"/>
    </xf>
    <xf numFmtId="0" fontId="61" fillId="0" borderId="151" xfId="3" applyFont="1" applyBorder="1" applyAlignment="1" applyProtection="1">
      <alignment horizontal="center"/>
    </xf>
    <xf numFmtId="38" fontId="61" fillId="0" borderId="150"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1" xfId="3" applyNumberFormat="1" applyFont="1" applyBorder="1" applyAlignment="1" applyProtection="1">
      <alignment horizontal="right" vertical="center"/>
      <protection locked="0"/>
    </xf>
    <xf numFmtId="0" fontId="63" fillId="0" borderId="150"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1"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50" xfId="3" applyNumberFormat="1" applyFont="1" applyBorder="1" applyProtection="1">
      <protection locked="0"/>
    </xf>
    <xf numFmtId="6" fontId="61" fillId="0" borderId="151"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5"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xf numFmtId="49" fontId="1" fillId="0" borderId="158" xfId="17" applyNumberFormat="1" applyFont="1" applyBorder="1" applyAlignment="1" applyProtection="1">
      <alignment horizontal="center" vertical="top"/>
      <protection locked="0"/>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4" sqref="A14"/>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00" t="s">
        <v>425</v>
      </c>
      <c r="J1" s="2001"/>
      <c r="K1" s="2001"/>
      <c r="L1" s="2001"/>
      <c r="M1" s="2001"/>
      <c r="N1" s="2001"/>
      <c r="O1" s="2001"/>
      <c r="P1" s="2001"/>
      <c r="Q1" s="2001"/>
      <c r="R1" s="2001"/>
      <c r="S1" s="2001"/>
    </row>
    <row r="2" spans="1:28" ht="12" customHeight="1" x14ac:dyDescent="0.2">
      <c r="A2" s="47" t="s">
        <v>1684</v>
      </c>
      <c r="D2" s="48"/>
      <c r="I2" s="2002" t="s">
        <v>1036</v>
      </c>
      <c r="J2" s="2001"/>
      <c r="K2" s="2001"/>
      <c r="L2" s="2001"/>
      <c r="M2" s="2001"/>
      <c r="N2" s="2001"/>
      <c r="O2" s="2001"/>
      <c r="P2" s="2001"/>
      <c r="Q2" s="2001"/>
      <c r="R2" s="2001"/>
      <c r="S2" s="2001"/>
    </row>
    <row r="3" spans="1:28" ht="12" customHeight="1" x14ac:dyDescent="0.2">
      <c r="A3" s="155" t="s">
        <v>1685</v>
      </c>
      <c r="B3" s="156"/>
      <c r="C3" s="156"/>
      <c r="D3" s="157"/>
      <c r="I3" s="2002" t="s">
        <v>54</v>
      </c>
      <c r="J3" s="2001"/>
      <c r="K3" s="2001"/>
      <c r="L3" s="2001"/>
      <c r="M3" s="2001"/>
      <c r="N3" s="2001"/>
      <c r="O3" s="2001"/>
      <c r="P3" s="2001"/>
      <c r="Q3" s="2001"/>
      <c r="R3" s="2001"/>
      <c r="S3" s="2001"/>
    </row>
    <row r="4" spans="1:28" ht="12" customHeight="1" x14ac:dyDescent="0.2">
      <c r="A4" s="37"/>
      <c r="I4" s="2002" t="s">
        <v>545</v>
      </c>
      <c r="J4" s="2001"/>
      <c r="K4" s="2001"/>
      <c r="L4" s="2001"/>
      <c r="M4" s="2001"/>
      <c r="N4" s="2001"/>
      <c r="O4" s="2001"/>
      <c r="P4" s="2001"/>
      <c r="Q4" s="2001"/>
      <c r="R4" s="2001"/>
      <c r="S4" s="2001"/>
    </row>
    <row r="5" spans="1:28" ht="14.1" customHeight="1" x14ac:dyDescent="0.2">
      <c r="B5" s="104" t="s">
        <v>2077</v>
      </c>
      <c r="C5" s="26" t="s">
        <v>966</v>
      </c>
      <c r="D5" s="84"/>
      <c r="E5" s="84"/>
      <c r="H5" s="38"/>
      <c r="I5" s="2010" t="s">
        <v>701</v>
      </c>
      <c r="J5" s="2009"/>
      <c r="K5" s="2009"/>
      <c r="L5" s="2009"/>
      <c r="M5" s="2009"/>
      <c r="N5" s="2009"/>
      <c r="O5" s="2009"/>
      <c r="P5" s="2009"/>
      <c r="Q5" s="2009"/>
      <c r="R5" s="2009"/>
      <c r="S5" s="2009"/>
    </row>
    <row r="6" spans="1:28" ht="14.1" customHeight="1" x14ac:dyDescent="0.2">
      <c r="B6" s="104"/>
      <c r="C6" s="26" t="s">
        <v>967</v>
      </c>
      <c r="D6" s="84"/>
      <c r="E6" s="84"/>
      <c r="I6" s="2008" t="s">
        <v>938</v>
      </c>
      <c r="J6" s="2009"/>
      <c r="K6" s="2009"/>
      <c r="L6" s="2009"/>
      <c r="M6" s="2009"/>
      <c r="N6" s="2009"/>
      <c r="O6" s="2009"/>
      <c r="P6" s="2009"/>
      <c r="Q6" s="2009"/>
      <c r="R6" s="2009"/>
      <c r="S6" s="2009"/>
    </row>
    <row r="7" spans="1:28" ht="12.2" customHeight="1" x14ac:dyDescent="0.2">
      <c r="I7" s="2003">
        <v>43281</v>
      </c>
      <c r="J7" s="2004"/>
      <c r="K7" s="2004"/>
      <c r="L7" s="2004"/>
      <c r="M7" s="2004"/>
      <c r="N7" s="2004"/>
      <c r="O7" s="2004"/>
      <c r="P7" s="2004"/>
      <c r="Q7" s="2004"/>
      <c r="R7" s="2004"/>
      <c r="S7" s="200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5" t="s">
        <v>695</v>
      </c>
      <c r="J9" s="2006"/>
      <c r="K9" s="2006"/>
      <c r="L9" s="2006"/>
      <c r="M9" s="2006"/>
      <c r="N9" s="2006"/>
      <c r="O9" s="2006"/>
      <c r="P9" s="2006"/>
      <c r="Q9" s="2006"/>
      <c r="R9" s="2006"/>
      <c r="S9" s="2007"/>
      <c r="T9" s="2021" t="s">
        <v>554</v>
      </c>
      <c r="U9" s="2022"/>
      <c r="V9" s="2022"/>
      <c r="W9" s="2022"/>
      <c r="X9" s="2022"/>
      <c r="Y9" s="2022"/>
      <c r="Z9" s="2022"/>
      <c r="AA9" s="2023"/>
    </row>
    <row r="10" spans="1:28" ht="13.5" customHeight="1" x14ac:dyDescent="0.2">
      <c r="A10" s="2028" t="s">
        <v>696</v>
      </c>
      <c r="B10" s="2029"/>
      <c r="C10" s="2029"/>
      <c r="D10" s="2029"/>
      <c r="E10" s="2029"/>
      <c r="F10" s="2029"/>
      <c r="G10" s="2029"/>
      <c r="H10" s="2030"/>
      <c r="I10" s="29"/>
      <c r="J10" s="30"/>
      <c r="K10" s="28"/>
      <c r="R10" s="30"/>
      <c r="S10" s="30"/>
      <c r="T10" s="2024"/>
      <c r="U10" s="2009"/>
      <c r="V10" s="2009"/>
      <c r="W10" s="2009"/>
      <c r="X10" s="2009"/>
      <c r="Y10" s="2009"/>
      <c r="Z10" s="2009"/>
      <c r="AA10" s="2015"/>
    </row>
    <row r="11" spans="1:28" ht="14.25" customHeight="1" x14ac:dyDescent="0.2">
      <c r="A11" s="2031" t="s">
        <v>1012</v>
      </c>
      <c r="B11" s="2032"/>
      <c r="C11" s="2032"/>
      <c r="D11" s="2032"/>
      <c r="E11" s="2032"/>
      <c r="F11" s="2032"/>
      <c r="G11" s="2032"/>
      <c r="H11" s="2033"/>
      <c r="I11" s="27"/>
      <c r="J11" s="74"/>
      <c r="K11" s="27"/>
      <c r="O11" s="148" t="s">
        <v>2077</v>
      </c>
      <c r="P11" s="100" t="s">
        <v>210</v>
      </c>
      <c r="Q11" s="30"/>
      <c r="R11" s="28"/>
      <c r="S11" s="27"/>
      <c r="T11" s="2025"/>
      <c r="U11" s="2026"/>
      <c r="V11" s="2026"/>
      <c r="W11" s="2026"/>
      <c r="X11" s="2026"/>
      <c r="Y11" s="2026"/>
      <c r="Z11" s="2026"/>
      <c r="AA11" s="2027"/>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5">
        <v>32046258004</v>
      </c>
      <c r="B13" s="2036"/>
      <c r="C13" s="2036"/>
      <c r="D13" s="2036"/>
      <c r="E13" s="2036"/>
      <c r="F13" s="2036"/>
      <c r="G13" s="2036"/>
      <c r="H13" s="2037"/>
      <c r="I13" s="31"/>
      <c r="J13" s="30"/>
      <c r="K13" s="28"/>
      <c r="L13" s="30"/>
      <c r="M13" s="30"/>
      <c r="N13" s="30"/>
      <c r="O13" s="30"/>
      <c r="P13" s="30"/>
      <c r="Q13" s="30"/>
      <c r="R13" s="30"/>
      <c r="S13" s="30"/>
      <c r="T13" s="2040" t="s">
        <v>2078</v>
      </c>
      <c r="U13" s="2041"/>
      <c r="V13" s="2041"/>
      <c r="W13" s="2041"/>
      <c r="X13" s="2041"/>
      <c r="Y13" s="2042"/>
      <c r="Z13" s="2042"/>
      <c r="AA13" s="2043"/>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4" t="s">
        <v>2087</v>
      </c>
      <c r="B15" s="2038"/>
      <c r="C15" s="2038"/>
      <c r="D15" s="2038"/>
      <c r="E15" s="2038"/>
      <c r="F15" s="2038"/>
      <c r="G15" s="2038"/>
      <c r="H15" s="2039"/>
      <c r="T15" s="2044" t="s">
        <v>2079</v>
      </c>
      <c r="U15" s="1988"/>
      <c r="V15" s="1988"/>
      <c r="W15" s="1988"/>
      <c r="X15" s="1988"/>
      <c r="Y15" s="2045"/>
      <c r="Z15" s="2045"/>
      <c r="AA15" s="2046"/>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4" t="s">
        <v>2088</v>
      </c>
      <c r="B17" s="1995"/>
      <c r="C17" s="1995"/>
      <c r="D17" s="1995"/>
      <c r="E17" s="1995"/>
      <c r="F17" s="1995"/>
      <c r="G17" s="1995"/>
      <c r="H17" s="2020"/>
      <c r="T17" s="2051" t="s">
        <v>2080</v>
      </c>
      <c r="U17" s="2052"/>
      <c r="V17" s="2052"/>
      <c r="W17" s="2052"/>
      <c r="X17" s="2052"/>
      <c r="Y17" s="2052"/>
      <c r="Z17" s="2052"/>
      <c r="AA17" s="2053"/>
    </row>
    <row r="18" spans="1:27" ht="13.5" customHeight="1" x14ac:dyDescent="0.2">
      <c r="A18" s="85" t="s">
        <v>551</v>
      </c>
      <c r="B18" s="76"/>
      <c r="C18" s="72"/>
      <c r="D18" s="76"/>
      <c r="E18" s="76"/>
      <c r="F18" s="76"/>
      <c r="G18" s="76"/>
      <c r="H18" s="56"/>
      <c r="I18" s="2019" t="s">
        <v>697</v>
      </c>
      <c r="J18" s="1970"/>
      <c r="K18" s="1970"/>
      <c r="L18" s="1970"/>
      <c r="M18" s="1970"/>
      <c r="N18" s="1970"/>
      <c r="O18" s="1970"/>
      <c r="P18" s="1970"/>
      <c r="Q18" s="1970"/>
      <c r="R18" s="1970"/>
      <c r="S18" s="1971"/>
      <c r="T18" s="85" t="s">
        <v>735</v>
      </c>
      <c r="U18" s="51"/>
      <c r="V18" s="72"/>
      <c r="W18" s="50"/>
      <c r="X18" s="85" t="s">
        <v>284</v>
      </c>
      <c r="Y18" s="81"/>
      <c r="Z18" s="159" t="s">
        <v>698</v>
      </c>
      <c r="AA18" s="46"/>
    </row>
    <row r="19" spans="1:27" ht="13.5" customHeight="1" x14ac:dyDescent="0.2">
      <c r="A19" s="2034" t="s">
        <v>2089</v>
      </c>
      <c r="B19" s="1980"/>
      <c r="C19" s="1980"/>
      <c r="D19" s="1980"/>
      <c r="E19" s="1980"/>
      <c r="F19" s="1980"/>
      <c r="G19" s="1980"/>
      <c r="H19" s="1960"/>
      <c r="I19" s="30"/>
      <c r="J19" s="99"/>
      <c r="K19" s="40"/>
      <c r="L19" s="38"/>
      <c r="M19" s="112" t="s">
        <v>333</v>
      </c>
      <c r="P19" s="27"/>
      <c r="Q19" s="27"/>
      <c r="R19" s="27"/>
      <c r="S19" s="31"/>
      <c r="T19" s="2034" t="s">
        <v>2081</v>
      </c>
      <c r="U19" s="1959"/>
      <c r="V19" s="1959"/>
      <c r="W19" s="1960"/>
      <c r="X19" s="2049" t="s">
        <v>2082</v>
      </c>
      <c r="Y19" s="2050"/>
      <c r="Z19" s="2047">
        <v>60915</v>
      </c>
      <c r="AA19" s="2048"/>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8" t="s">
        <v>2090</v>
      </c>
      <c r="B21" s="1959"/>
      <c r="C21" s="1959"/>
      <c r="D21" s="1959"/>
      <c r="E21" s="1959"/>
      <c r="F21" s="1959"/>
      <c r="G21" s="1959"/>
      <c r="H21" s="1960"/>
      <c r="I21" s="2014" t="s">
        <v>699</v>
      </c>
      <c r="J21" s="2009"/>
      <c r="K21" s="2009"/>
      <c r="L21" s="2009"/>
      <c r="M21" s="2009"/>
      <c r="N21" s="2009"/>
      <c r="O21" s="2009"/>
      <c r="P21" s="2009"/>
      <c r="Q21" s="2009"/>
      <c r="R21" s="2009"/>
      <c r="S21" s="2015"/>
      <c r="T21" s="2058" t="s">
        <v>2083</v>
      </c>
      <c r="U21" s="2059"/>
      <c r="V21" s="2059"/>
      <c r="W21" s="2059"/>
      <c r="X21" s="2064" t="s">
        <v>2084</v>
      </c>
      <c r="Y21" s="2065"/>
      <c r="Z21" s="2065"/>
      <c r="AA21" s="2066"/>
    </row>
    <row r="22" spans="1:27" ht="13.5" customHeight="1" x14ac:dyDescent="0.2">
      <c r="A22" s="87" t="s">
        <v>552</v>
      </c>
      <c r="B22" s="59"/>
      <c r="C22" s="59"/>
      <c r="D22" s="59"/>
      <c r="E22" s="59"/>
      <c r="F22" s="59"/>
      <c r="G22" s="59"/>
      <c r="H22" s="60"/>
      <c r="I22" s="2016" t="s">
        <v>1504</v>
      </c>
      <c r="J22" s="2017"/>
      <c r="K22" s="2017"/>
      <c r="L22" s="2017"/>
      <c r="M22" s="2017"/>
      <c r="N22" s="2017"/>
      <c r="O22" s="2017"/>
      <c r="P22" s="2017"/>
      <c r="Q22" s="2017"/>
      <c r="R22" s="2017"/>
      <c r="S22" s="2018"/>
      <c r="T22" s="85" t="s">
        <v>1596</v>
      </c>
      <c r="U22" s="51"/>
      <c r="V22" s="72"/>
      <c r="W22" s="51"/>
      <c r="X22" s="160" t="s">
        <v>1385</v>
      </c>
      <c r="Z22" s="45"/>
      <c r="AA22" s="46"/>
    </row>
    <row r="23" spans="1:27" ht="13.5" customHeight="1" x14ac:dyDescent="0.2">
      <c r="A23" s="2011"/>
      <c r="B23" s="2012"/>
      <c r="C23" s="2012"/>
      <c r="D23" s="2012"/>
      <c r="E23" s="2012"/>
      <c r="F23" s="2012"/>
      <c r="G23" s="2012"/>
      <c r="H23" s="2013"/>
      <c r="T23" s="1994" t="s">
        <v>2086</v>
      </c>
      <c r="U23" s="2057"/>
      <c r="V23" s="2057"/>
      <c r="W23" s="2057"/>
      <c r="X23" s="2061">
        <v>43373</v>
      </c>
      <c r="Y23" s="2062"/>
      <c r="Z23" s="2062"/>
      <c r="AA23" s="2063"/>
    </row>
    <row r="24" spans="1:27" ht="14.1" customHeight="1" x14ac:dyDescent="0.2">
      <c r="A24" s="88" t="s">
        <v>698</v>
      </c>
      <c r="B24" s="49"/>
      <c r="C24" s="49"/>
      <c r="D24" s="49"/>
      <c r="E24" s="49"/>
      <c r="F24" s="49"/>
      <c r="G24" s="49"/>
      <c r="H24" s="61"/>
      <c r="J24" s="1981">
        <f>IF(B5="x",IF(AUDITCHECK!D29="AFR form Incomplete.","",IF(AUDITCHECK!D29="Deficit reduction plan is required.","School District must complete a deficit reduction plan in the 2018-2019 Budget",)),"")</f>
        <v>0</v>
      </c>
      <c r="K24" s="1981"/>
      <c r="L24" s="1981"/>
      <c r="M24" s="1981"/>
      <c r="N24" s="1981"/>
      <c r="O24" s="1981"/>
      <c r="P24" s="1981"/>
      <c r="Q24" s="1981"/>
      <c r="R24" s="1981"/>
      <c r="S24" s="1982"/>
      <c r="T24" s="105" t="s">
        <v>552</v>
      </c>
      <c r="U24" s="106"/>
      <c r="V24" s="106"/>
      <c r="W24" s="106"/>
      <c r="X24" s="107"/>
      <c r="Y24" s="107"/>
      <c r="Z24" s="107"/>
      <c r="AA24" s="108"/>
    </row>
    <row r="25" spans="1:27" ht="14.1" customHeight="1" x14ac:dyDescent="0.2">
      <c r="A25" s="1958">
        <v>60914</v>
      </c>
      <c r="B25" s="1959"/>
      <c r="C25" s="1959"/>
      <c r="D25" s="1959"/>
      <c r="E25" s="1959"/>
      <c r="F25" s="1959"/>
      <c r="G25" s="1959"/>
      <c r="H25" s="1960"/>
      <c r="I25" s="113"/>
      <c r="J25" s="1983"/>
      <c r="K25" s="1983"/>
      <c r="L25" s="1983"/>
      <c r="M25" s="1983"/>
      <c r="N25" s="1983"/>
      <c r="O25" s="1983"/>
      <c r="P25" s="1983"/>
      <c r="Q25" s="1983"/>
      <c r="R25" s="1983"/>
      <c r="S25" s="1984"/>
      <c r="T25" s="2054" t="s">
        <v>2085</v>
      </c>
      <c r="U25" s="2055"/>
      <c r="V25" s="2055"/>
      <c r="W25" s="2055"/>
      <c r="X25" s="2055"/>
      <c r="Y25" s="2055"/>
      <c r="Z25" s="2055"/>
      <c r="AA25" s="205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9" t="s">
        <v>1591</v>
      </c>
      <c r="J27" s="1970"/>
      <c r="K27" s="1970"/>
      <c r="L27" s="1970"/>
      <c r="M27" s="1970"/>
      <c r="N27" s="1970"/>
      <c r="O27" s="1970"/>
      <c r="P27" s="1970"/>
      <c r="Q27" s="1970"/>
      <c r="R27" s="1970"/>
      <c r="S27" s="197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80"/>
      <c r="Q35" s="1959"/>
      <c r="R35" s="195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4" t="s">
        <v>2091</v>
      </c>
      <c r="B38" s="1995"/>
      <c r="C38" s="1995"/>
      <c r="D38" s="1995"/>
      <c r="E38" s="1995"/>
      <c r="F38" s="1959"/>
      <c r="G38" s="1959"/>
      <c r="H38" s="1960"/>
      <c r="I38" s="1987"/>
      <c r="J38" s="1988"/>
      <c r="K38" s="1988"/>
      <c r="L38" s="1988"/>
      <c r="M38" s="1988"/>
      <c r="N38" s="1988"/>
      <c r="O38" s="1988"/>
      <c r="P38" s="1989"/>
      <c r="Q38" s="1989"/>
      <c r="R38" s="1989"/>
      <c r="S38" s="1990"/>
      <c r="T38" s="2044"/>
      <c r="U38" s="1988"/>
      <c r="V38" s="1988"/>
      <c r="W38" s="1988"/>
      <c r="X38" s="1989"/>
      <c r="Y38" s="1989"/>
      <c r="Z38" s="1989"/>
      <c r="AA38" s="1990"/>
    </row>
    <row r="39" spans="1:27" ht="12" customHeight="1" x14ac:dyDescent="0.2">
      <c r="A39" s="1964" t="s">
        <v>552</v>
      </c>
      <c r="B39" s="1965"/>
      <c r="C39" s="72"/>
      <c r="D39" s="69"/>
      <c r="E39" s="69"/>
      <c r="F39" s="79"/>
      <c r="G39" s="69"/>
      <c r="H39" s="56"/>
      <c r="I39" s="1964" t="s">
        <v>552</v>
      </c>
      <c r="J39" s="1965"/>
      <c r="K39" s="1965"/>
      <c r="L39" s="1965"/>
      <c r="M39" s="1965"/>
      <c r="N39" s="67"/>
      <c r="O39" s="72"/>
      <c r="P39" s="72"/>
      <c r="Q39" s="78"/>
      <c r="R39" s="72"/>
      <c r="S39" s="56"/>
      <c r="T39" s="72" t="s">
        <v>552</v>
      </c>
      <c r="U39" s="51"/>
      <c r="V39" s="72"/>
      <c r="W39" s="50"/>
      <c r="X39" s="78"/>
      <c r="Y39" s="45"/>
      <c r="Z39" s="45"/>
      <c r="AA39" s="46"/>
    </row>
    <row r="40" spans="1:27" ht="13.5" customHeight="1" x14ac:dyDescent="0.2">
      <c r="A40" s="1972"/>
      <c r="B40" s="1973"/>
      <c r="C40" s="1974"/>
      <c r="D40" s="1974"/>
      <c r="E40" s="1974"/>
      <c r="F40" s="1975"/>
      <c r="G40" s="1975"/>
      <c r="H40" s="1976"/>
      <c r="I40" s="1997"/>
      <c r="J40" s="1998"/>
      <c r="K40" s="1998"/>
      <c r="L40" s="1998"/>
      <c r="M40" s="1998"/>
      <c r="N40" s="1998"/>
      <c r="O40" s="1998"/>
      <c r="P40" s="1998"/>
      <c r="Q40" s="1998"/>
      <c r="R40" s="1998"/>
      <c r="S40" s="1999"/>
      <c r="T40" s="1997"/>
      <c r="U40" s="2060"/>
      <c r="V40" s="1998"/>
      <c r="W40" s="1998"/>
      <c r="X40" s="1998"/>
      <c r="Y40" s="1998"/>
      <c r="Z40" s="1998"/>
      <c r="AA40" s="1999"/>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6"/>
      <c r="B42" s="1978"/>
      <c r="C42" s="1979"/>
      <c r="D42" s="1977"/>
      <c r="E42" s="1978"/>
      <c r="F42" s="1978"/>
      <c r="G42" s="1978"/>
      <c r="H42" s="1979"/>
      <c r="I42" s="1961"/>
      <c r="J42" s="1962"/>
      <c r="K42" s="1962"/>
      <c r="L42" s="1962"/>
      <c r="M42" s="1962"/>
      <c r="N42" s="1962"/>
      <c r="O42" s="1963"/>
      <c r="P42" s="1996"/>
      <c r="Q42" s="1962"/>
      <c r="R42" s="1962"/>
      <c r="S42" s="1963"/>
      <c r="T42" s="1961"/>
      <c r="U42" s="1962"/>
      <c r="V42" s="1962"/>
      <c r="W42" s="1963"/>
      <c r="X42" s="1996"/>
      <c r="Y42" s="1962"/>
      <c r="Z42" s="1962"/>
      <c r="AA42" s="1963"/>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1"/>
      <c r="B44" s="1992"/>
      <c r="C44" s="1992"/>
      <c r="D44" s="1992"/>
      <c r="E44" s="1992"/>
      <c r="F44" s="1992"/>
      <c r="G44" s="1992"/>
      <c r="H44" s="1993"/>
      <c r="I44" s="1966"/>
      <c r="J44" s="1967"/>
      <c r="K44" s="1967"/>
      <c r="L44" s="1967"/>
      <c r="M44" s="1967"/>
      <c r="N44" s="1967"/>
      <c r="O44" s="1967"/>
      <c r="P44" s="1967"/>
      <c r="Q44" s="1967"/>
      <c r="R44" s="1967"/>
      <c r="S44" s="1968"/>
      <c r="T44" s="1966"/>
      <c r="U44" s="1985"/>
      <c r="V44" s="1985"/>
      <c r="W44" s="1985"/>
      <c r="X44" s="1985"/>
      <c r="Y44" s="1985"/>
      <c r="Z44" s="1967"/>
      <c r="AA44" s="196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E17" sqref="E17"/>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0" t="s">
        <v>1905</v>
      </c>
      <c r="B2" s="1550" t="s">
        <v>2037</v>
      </c>
      <c r="C2" s="715" t="s">
        <v>1910</v>
      </c>
      <c r="D2" s="715" t="s">
        <v>1911</v>
      </c>
      <c r="E2" s="715" t="s">
        <v>1912</v>
      </c>
      <c r="F2" s="715" t="s">
        <v>1913</v>
      </c>
    </row>
    <row r="3" spans="1:6" ht="12" customHeight="1" x14ac:dyDescent="0.2">
      <c r="A3" s="2201"/>
      <c r="B3" s="1547"/>
      <c r="C3" s="1548"/>
      <c r="D3" s="1549" t="s">
        <v>274</v>
      </c>
      <c r="E3" s="1548"/>
      <c r="F3" s="1549" t="s">
        <v>275</v>
      </c>
    </row>
    <row r="4" spans="1:6" ht="13.7" customHeight="1" x14ac:dyDescent="0.2">
      <c r="A4" s="716" t="s">
        <v>1217</v>
      </c>
      <c r="B4" s="1771">
        <f>'Revenues 9-14'!C5</f>
        <v>1723711</v>
      </c>
      <c r="C4" s="1546"/>
      <c r="D4" s="1774">
        <f>B4-C4</f>
        <v>1723711</v>
      </c>
      <c r="E4" s="1546">
        <v>1827447</v>
      </c>
      <c r="F4" s="1774">
        <f>E4-C4</f>
        <v>1827447</v>
      </c>
    </row>
    <row r="5" spans="1:6" ht="13.7" customHeight="1" x14ac:dyDescent="0.2">
      <c r="A5" s="716" t="s">
        <v>925</v>
      </c>
      <c r="B5" s="1772">
        <f>'Revenues 9-14'!D5</f>
        <v>308009</v>
      </c>
      <c r="C5" s="585"/>
      <c r="D5" s="1775">
        <f t="shared" ref="D5:D18" si="0">B5-C5</f>
        <v>308009</v>
      </c>
      <c r="E5" s="585">
        <v>240059</v>
      </c>
      <c r="F5" s="1775">
        <f>E5-C5</f>
        <v>240059</v>
      </c>
    </row>
    <row r="6" spans="1:6" ht="13.7" customHeight="1" x14ac:dyDescent="0.2">
      <c r="A6" s="716" t="s">
        <v>431</v>
      </c>
      <c r="B6" s="1772">
        <f>'Revenues 9-14'!E5</f>
        <v>493547</v>
      </c>
      <c r="C6" s="585"/>
      <c r="D6" s="1775">
        <f t="shared" si="0"/>
        <v>493547</v>
      </c>
      <c r="E6" s="585">
        <v>518734</v>
      </c>
      <c r="F6" s="1775">
        <f t="shared" ref="F6:F18" si="1">E6-C6</f>
        <v>518734</v>
      </c>
    </row>
    <row r="7" spans="1:6" ht="13.7" customHeight="1" x14ac:dyDescent="0.2">
      <c r="A7" s="716" t="s">
        <v>157</v>
      </c>
      <c r="B7" s="1772">
        <f>'Revenues 9-14'!F5</f>
        <v>47824</v>
      </c>
      <c r="C7" s="585"/>
      <c r="D7" s="1775">
        <f t="shared" si="0"/>
        <v>47824</v>
      </c>
      <c r="E7" s="585">
        <v>89770</v>
      </c>
      <c r="F7" s="1775">
        <f t="shared" si="1"/>
        <v>89770</v>
      </c>
    </row>
    <row r="8" spans="1:6" ht="13.7" customHeight="1" x14ac:dyDescent="0.2">
      <c r="A8" s="716" t="s">
        <v>1241</v>
      </c>
      <c r="B8" s="1772">
        <f>'Revenues 9-14'!G5</f>
        <v>33028</v>
      </c>
      <c r="C8" s="585"/>
      <c r="D8" s="1775">
        <f t="shared" si="0"/>
        <v>33028</v>
      </c>
      <c r="E8" s="585">
        <v>40938</v>
      </c>
      <c r="F8" s="1775">
        <f t="shared" si="1"/>
        <v>40938</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747</v>
      </c>
      <c r="C10" s="585"/>
      <c r="D10" s="1775">
        <f t="shared" si="0"/>
        <v>747</v>
      </c>
      <c r="E10" s="585">
        <v>1006</v>
      </c>
      <c r="F10" s="1775">
        <f t="shared" si="1"/>
        <v>1006</v>
      </c>
    </row>
    <row r="11" spans="1:6" x14ac:dyDescent="0.2">
      <c r="A11" s="716" t="s">
        <v>429</v>
      </c>
      <c r="B11" s="1772">
        <f>'Revenues 9-14'!J5</f>
        <v>11209</v>
      </c>
      <c r="C11" s="585"/>
      <c r="D11" s="1775">
        <f t="shared" si="0"/>
        <v>11209</v>
      </c>
      <c r="E11" s="585">
        <v>4953</v>
      </c>
      <c r="F11" s="1775">
        <f t="shared" si="1"/>
        <v>4953</v>
      </c>
    </row>
    <row r="12" spans="1:6" ht="13.7" customHeight="1" x14ac:dyDescent="0.2">
      <c r="A12" s="716" t="s">
        <v>159</v>
      </c>
      <c r="B12" s="1772">
        <f>'Revenues 9-14'!K5</f>
        <v>747</v>
      </c>
      <c r="C12" s="585"/>
      <c r="D12" s="1775">
        <f t="shared" si="0"/>
        <v>747</v>
      </c>
      <c r="E12" s="585">
        <v>1006</v>
      </c>
      <c r="F12" s="1775">
        <f t="shared" si="1"/>
        <v>1006</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0</v>
      </c>
      <c r="C14" s="585"/>
      <c r="D14" s="1775">
        <f t="shared" si="0"/>
        <v>0</v>
      </c>
      <c r="E14" s="585"/>
      <c r="F14" s="1775">
        <f t="shared" si="1"/>
        <v>0</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60077</v>
      </c>
      <c r="C16" s="585"/>
      <c r="D16" s="1775">
        <f t="shared" si="0"/>
        <v>60077</v>
      </c>
      <c r="E16" s="585">
        <v>66941</v>
      </c>
      <c r="F16" s="1775">
        <f t="shared" si="1"/>
        <v>66941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2678899</v>
      </c>
      <c r="C19" s="1773">
        <f>SUM(C4:C18)</f>
        <v>0</v>
      </c>
      <c r="D19" s="1773">
        <f>SUM(D4:D18)</f>
        <v>2678899</v>
      </c>
      <c r="E19" s="1773">
        <f>SUM(E4:E18)</f>
        <v>2790854</v>
      </c>
      <c r="F19" s="1773">
        <f>SUM(F4:F18)</f>
        <v>2790854</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J34" sqref="J34"/>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2" t="s">
        <v>650</v>
      </c>
      <c r="B1" s="2220"/>
      <c r="C1" s="722"/>
    </row>
    <row r="2" spans="1:7" ht="33.75" x14ac:dyDescent="0.2">
      <c r="A2" s="2227" t="s">
        <v>1905</v>
      </c>
      <c r="B2" s="2228"/>
      <c r="C2" s="1909" t="s">
        <v>2038</v>
      </c>
      <c r="D2" s="724" t="s">
        <v>2045</v>
      </c>
      <c r="E2" s="724" t="s">
        <v>2046</v>
      </c>
      <c r="F2" s="1909" t="s">
        <v>2039</v>
      </c>
    </row>
    <row r="3" spans="1:7" ht="15.75" customHeight="1" x14ac:dyDescent="0.2">
      <c r="A3" s="2229" t="s">
        <v>1176</v>
      </c>
      <c r="B3" s="2230"/>
      <c r="C3" s="2223"/>
      <c r="D3" s="2224"/>
      <c r="E3" s="2224"/>
      <c r="F3" s="2225"/>
    </row>
    <row r="4" spans="1:7" ht="12.75" customHeight="1" thickBot="1" x14ac:dyDescent="0.25">
      <c r="A4" s="2217" t="s">
        <v>651</v>
      </c>
      <c r="B4" s="2218"/>
      <c r="C4" s="581"/>
      <c r="D4" s="581"/>
      <c r="E4" s="581"/>
      <c r="F4" s="1777">
        <f>SUM(C4+D4)-E4</f>
        <v>0</v>
      </c>
    </row>
    <row r="5" spans="1:7" ht="15.75" customHeight="1" thickTop="1" x14ac:dyDescent="0.2">
      <c r="A5" s="2221" t="s">
        <v>1172</v>
      </c>
      <c r="B5" s="2216"/>
      <c r="C5" s="2210"/>
      <c r="D5" s="2211"/>
      <c r="E5" s="2211"/>
      <c r="F5" s="221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3" t="s">
        <v>652</v>
      </c>
      <c r="B15" s="2214"/>
      <c r="C15" s="1777">
        <f>SUM(C6:C14)</f>
        <v>0</v>
      </c>
      <c r="D15" s="1777">
        <f>SUM(D6:D14)</f>
        <v>0</v>
      </c>
      <c r="E15" s="1777">
        <f>SUM(E6:E14)</f>
        <v>0</v>
      </c>
      <c r="F15" s="1777">
        <f>SUM(F6:F14)</f>
        <v>0</v>
      </c>
      <c r="G15" s="552"/>
    </row>
    <row r="16" spans="1:7" s="202" customFormat="1" ht="15.75" customHeight="1" thickTop="1" x14ac:dyDescent="0.2">
      <c r="A16" s="2226" t="s">
        <v>1173</v>
      </c>
      <c r="B16" s="2216"/>
      <c r="C16" s="2210"/>
      <c r="D16" s="2211"/>
      <c r="E16" s="2211"/>
      <c r="F16" s="2212"/>
    </row>
    <row r="17" spans="1:11" ht="12.75" customHeight="1" thickBot="1" x14ac:dyDescent="0.25">
      <c r="A17" s="2208" t="s">
        <v>66</v>
      </c>
      <c r="B17" s="2209"/>
      <c r="C17" s="727"/>
      <c r="D17" s="585"/>
      <c r="E17" s="727"/>
      <c r="F17" s="1777">
        <f>SUM(C17+D17)-E17</f>
        <v>0</v>
      </c>
    </row>
    <row r="18" spans="1:11" ht="12.75" customHeight="1" thickTop="1" thickBot="1" x14ac:dyDescent="0.25">
      <c r="A18" s="2208" t="s">
        <v>6</v>
      </c>
      <c r="B18" s="2209"/>
      <c r="C18" s="727"/>
      <c r="D18" s="585"/>
      <c r="E18" s="727"/>
      <c r="F18" s="1777">
        <f>SUM(C18+D18)-E18</f>
        <v>0</v>
      </c>
    </row>
    <row r="19" spans="1:11" ht="12.75" customHeight="1" thickTop="1" thickBot="1" x14ac:dyDescent="0.25">
      <c r="A19" s="2208" t="s">
        <v>406</v>
      </c>
      <c r="B19" s="2209"/>
      <c r="C19" s="727"/>
      <c r="D19" s="585"/>
      <c r="E19" s="727"/>
      <c r="F19" s="1777">
        <f>SUM(C19+D19)-E19</f>
        <v>0</v>
      </c>
    </row>
    <row r="20" spans="1:11" ht="12.75" customHeight="1" thickTop="1" thickBot="1" x14ac:dyDescent="0.25">
      <c r="A20" s="2208" t="s">
        <v>468</v>
      </c>
      <c r="B20" s="2209"/>
      <c r="C20" s="727"/>
      <c r="D20" s="585"/>
      <c r="E20" s="727"/>
      <c r="F20" s="1777">
        <f>SUM(C20+D20)-E20</f>
        <v>0</v>
      </c>
    </row>
    <row r="21" spans="1:11" ht="14.25" thickTop="1" thickBot="1" x14ac:dyDescent="0.25">
      <c r="A21" s="2213" t="s">
        <v>653</v>
      </c>
      <c r="B21" s="2214"/>
      <c r="C21" s="1777">
        <f>SUM(C17:C20)</f>
        <v>0</v>
      </c>
      <c r="D21" s="1777">
        <f>SUM(D17:D20)</f>
        <v>0</v>
      </c>
      <c r="E21" s="1777">
        <f>SUM(E17:E20)</f>
        <v>0</v>
      </c>
      <c r="F21" s="1777">
        <f>SUM(F17:F20)</f>
        <v>0</v>
      </c>
      <c r="G21" s="552"/>
    </row>
    <row r="22" spans="1:11" ht="15.75" customHeight="1" thickTop="1" x14ac:dyDescent="0.2">
      <c r="A22" s="2215" t="s">
        <v>1174</v>
      </c>
      <c r="B22" s="2216"/>
      <c r="C22" s="2210"/>
      <c r="D22" s="2211"/>
      <c r="E22" s="2211"/>
      <c r="F22" s="2212"/>
    </row>
    <row r="23" spans="1:11" ht="13.5" thickBot="1" x14ac:dyDescent="0.25">
      <c r="A23" s="2217" t="s">
        <v>654</v>
      </c>
      <c r="B23" s="2218"/>
      <c r="C23" s="581"/>
      <c r="D23" s="581"/>
      <c r="E23" s="581"/>
      <c r="F23" s="1777">
        <f>SUM(C23+D23)-E23</f>
        <v>0</v>
      </c>
      <c r="G23" s="552"/>
    </row>
    <row r="24" spans="1:11" ht="15.75" customHeight="1" thickTop="1" x14ac:dyDescent="0.2">
      <c r="A24" s="2215" t="s">
        <v>1175</v>
      </c>
      <c r="B24" s="2216"/>
      <c r="C24" s="2210"/>
      <c r="D24" s="2211"/>
      <c r="E24" s="2211"/>
      <c r="F24" s="2212"/>
    </row>
    <row r="25" spans="1:11" ht="13.5" thickBot="1" x14ac:dyDescent="0.25">
      <c r="A25" s="2217" t="s">
        <v>655</v>
      </c>
      <c r="B25" s="2218"/>
      <c r="C25" s="581"/>
      <c r="D25" s="581"/>
      <c r="E25" s="581"/>
      <c r="F25" s="1777">
        <f>SUM(C25+D25)-E25</f>
        <v>0</v>
      </c>
      <c r="G25" s="552"/>
    </row>
    <row r="26" spans="1:11" ht="15.75" customHeight="1" thickTop="1" x14ac:dyDescent="0.2">
      <c r="A26" s="2221" t="s">
        <v>678</v>
      </c>
      <c r="B26" s="2216"/>
      <c r="C26" s="728"/>
      <c r="D26" s="728"/>
      <c r="E26" s="728"/>
      <c r="F26" s="729"/>
    </row>
    <row r="27" spans="1:11" ht="13.5" thickBot="1" x14ac:dyDescent="0.25">
      <c r="A27" s="2213" t="s">
        <v>1130</v>
      </c>
      <c r="B27" s="2214"/>
      <c r="C27" s="585"/>
      <c r="D27" s="585"/>
      <c r="E27" s="585"/>
      <c r="F27" s="1777">
        <f>SUM(C27+D27)-E27</f>
        <v>0</v>
      </c>
      <c r="G27" s="552"/>
    </row>
    <row r="28" spans="1:11" ht="7.5" customHeight="1" thickTop="1" x14ac:dyDescent="0.2">
      <c r="A28" s="594"/>
    </row>
    <row r="29" spans="1:11" ht="23.25" customHeight="1" x14ac:dyDescent="0.2">
      <c r="A29" s="2219" t="s">
        <v>603</v>
      </c>
      <c r="B29" s="2220"/>
      <c r="C29" s="730"/>
      <c r="D29" s="730"/>
      <c r="E29" s="730"/>
      <c r="F29" s="730"/>
      <c r="G29" s="730"/>
      <c r="H29" s="730"/>
      <c r="I29" s="730"/>
      <c r="J29" s="730"/>
    </row>
    <row r="30" spans="1:11" ht="33.75" x14ac:dyDescent="0.2">
      <c r="A30" s="1551" t="s">
        <v>1131</v>
      </c>
      <c r="B30" s="731" t="s">
        <v>1186</v>
      </c>
      <c r="C30" s="1910" t="s">
        <v>604</v>
      </c>
      <c r="D30" s="1910" t="s">
        <v>1772</v>
      </c>
      <c r="E30" s="1910" t="s">
        <v>2040</v>
      </c>
      <c r="F30" s="1910" t="s">
        <v>2041</v>
      </c>
      <c r="G30" s="1910" t="s">
        <v>2044</v>
      </c>
      <c r="H30" s="1910" t="s">
        <v>2042</v>
      </c>
      <c r="I30" s="1910" t="s">
        <v>2043</v>
      </c>
      <c r="J30" s="1911" t="s">
        <v>2</v>
      </c>
      <c r="K30" s="732"/>
    </row>
    <row r="31" spans="1:11" ht="12" customHeight="1" x14ac:dyDescent="0.2">
      <c r="A31" s="733" t="s">
        <v>470</v>
      </c>
      <c r="B31" s="734">
        <v>39722</v>
      </c>
      <c r="C31" s="735">
        <v>180000</v>
      </c>
      <c r="D31" s="736">
        <v>7</v>
      </c>
      <c r="E31" s="735">
        <v>45000</v>
      </c>
      <c r="F31" s="735"/>
      <c r="G31" s="735"/>
      <c r="H31" s="735">
        <v>20000</v>
      </c>
      <c r="I31" s="1778">
        <f>((E31+F31)-H31)+G31</f>
        <v>25000</v>
      </c>
      <c r="J31" s="735">
        <v>25000</v>
      </c>
      <c r="K31" s="737"/>
    </row>
    <row r="32" spans="1:11" ht="12" customHeight="1" x14ac:dyDescent="0.2">
      <c r="A32" s="733" t="s">
        <v>2092</v>
      </c>
      <c r="B32" s="734">
        <v>41091</v>
      </c>
      <c r="C32" s="735">
        <v>150000</v>
      </c>
      <c r="D32" s="736">
        <v>1</v>
      </c>
      <c r="E32" s="735">
        <v>113000</v>
      </c>
      <c r="F32" s="735"/>
      <c r="G32" s="735"/>
      <c r="H32" s="735">
        <v>13000</v>
      </c>
      <c r="I32" s="1778">
        <f>((E32+F32)-H32)+G32</f>
        <v>100000</v>
      </c>
      <c r="J32" s="735">
        <v>100000</v>
      </c>
      <c r="K32" s="737"/>
    </row>
    <row r="33" spans="1:11" ht="12" customHeight="1" x14ac:dyDescent="0.2">
      <c r="A33" s="733" t="s">
        <v>2093</v>
      </c>
      <c r="B33" s="734">
        <v>41456</v>
      </c>
      <c r="C33" s="735">
        <v>3775000</v>
      </c>
      <c r="D33" s="736">
        <v>3</v>
      </c>
      <c r="E33" s="735">
        <v>2580000</v>
      </c>
      <c r="F33" s="735"/>
      <c r="G33" s="735"/>
      <c r="H33" s="735">
        <v>385000</v>
      </c>
      <c r="I33" s="1778">
        <f t="shared" ref="I33:I48" si="1">((E33+F33)-H33)+G33</f>
        <v>2195000</v>
      </c>
      <c r="J33" s="735">
        <v>2194927</v>
      </c>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4105000</v>
      </c>
      <c r="D49" s="746"/>
      <c r="E49" s="1778">
        <f t="shared" ref="E49:J49" si="2">SUM(E31:E48)</f>
        <v>2738000</v>
      </c>
      <c r="F49" s="1778">
        <f t="shared" si="2"/>
        <v>0</v>
      </c>
      <c r="G49" s="1778">
        <f t="shared" si="2"/>
        <v>0</v>
      </c>
      <c r="H49" s="1778">
        <f t="shared" si="2"/>
        <v>418000</v>
      </c>
      <c r="I49" s="1778">
        <f t="shared" si="2"/>
        <v>2320000</v>
      </c>
      <c r="J49" s="1778">
        <f t="shared" si="2"/>
        <v>2319927</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2" t="s">
        <v>605</v>
      </c>
      <c r="C52" s="2203"/>
      <c r="D52" s="2203"/>
      <c r="E52" s="750" t="s">
        <v>900</v>
      </c>
      <c r="F52" s="2204"/>
      <c r="G52" s="2205"/>
      <c r="H52" s="737"/>
      <c r="I52" s="737"/>
      <c r="J52" s="747"/>
    </row>
    <row r="53" spans="1:11" ht="11.25" customHeight="1" x14ac:dyDescent="0.2">
      <c r="A53" s="751" t="s">
        <v>969</v>
      </c>
      <c r="B53" s="752" t="s">
        <v>1008</v>
      </c>
      <c r="C53" s="747"/>
      <c r="D53" s="738"/>
      <c r="E53" s="750" t="s">
        <v>518</v>
      </c>
      <c r="F53" s="2206"/>
      <c r="G53" s="2207"/>
      <c r="H53" s="737"/>
      <c r="I53" s="737"/>
      <c r="J53" s="747"/>
    </row>
    <row r="54" spans="1:11" ht="11.25" customHeight="1" x14ac:dyDescent="0.2">
      <c r="A54" s="753" t="s">
        <v>970</v>
      </c>
      <c r="B54" s="748" t="s">
        <v>1009</v>
      </c>
      <c r="C54" s="747"/>
      <c r="D54" s="738"/>
      <c r="E54" s="750" t="s">
        <v>519</v>
      </c>
      <c r="F54" s="2206"/>
      <c r="G54" s="2207"/>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A16" colorId="8" zoomScale="110" zoomScaleNormal="110" workbookViewId="0">
      <selection activeCell="M35" sqref="M3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1" t="s">
        <v>911</v>
      </c>
      <c r="B1" s="2232"/>
      <c r="C1" s="2232"/>
      <c r="D1" s="2232"/>
      <c r="E1" s="2232"/>
      <c r="F1" s="2232"/>
      <c r="G1" s="2233"/>
      <c r="H1" s="1552"/>
      <c r="I1" s="761"/>
      <c r="J1" s="433"/>
    </row>
    <row r="2" spans="1:11" ht="26.25" x14ac:dyDescent="0.2">
      <c r="A2" s="2250" t="s">
        <v>1776</v>
      </c>
      <c r="B2" s="2251"/>
      <c r="C2" s="2251"/>
      <c r="D2" s="2251"/>
      <c r="E2" s="2252"/>
      <c r="F2" s="762" t="s">
        <v>960</v>
      </c>
      <c r="G2" s="763" t="s">
        <v>1773</v>
      </c>
      <c r="H2" s="763" t="s">
        <v>430</v>
      </c>
      <c r="I2" s="763" t="s">
        <v>1220</v>
      </c>
      <c r="J2" s="763" t="s">
        <v>1919</v>
      </c>
      <c r="K2" s="763" t="s">
        <v>140</v>
      </c>
    </row>
    <row r="3" spans="1:11" x14ac:dyDescent="0.2">
      <c r="A3" s="2253" t="s">
        <v>1698</v>
      </c>
      <c r="B3" s="2254"/>
      <c r="C3" s="2254"/>
      <c r="D3" s="2254"/>
      <c r="E3" s="2255"/>
      <c r="F3" s="764"/>
      <c r="G3" s="765"/>
      <c r="H3" s="765"/>
      <c r="I3" s="765"/>
      <c r="J3" s="766"/>
      <c r="K3" s="766"/>
    </row>
    <row r="4" spans="1:11" x14ac:dyDescent="0.2">
      <c r="A4" s="2256" t="s">
        <v>387</v>
      </c>
      <c r="B4" s="2257"/>
      <c r="C4" s="2257"/>
      <c r="D4" s="2257"/>
      <c r="E4" s="2203"/>
      <c r="F4" s="767"/>
      <c r="G4" s="768"/>
      <c r="H4" s="769"/>
      <c r="I4" s="768"/>
      <c r="J4" s="770"/>
      <c r="K4" s="770"/>
    </row>
    <row r="5" spans="1:11" x14ac:dyDescent="0.2">
      <c r="A5" s="2234" t="s">
        <v>1129</v>
      </c>
      <c r="B5" s="2235"/>
      <c r="C5" s="2235"/>
      <c r="D5" s="2235"/>
      <c r="E5" s="2236"/>
      <c r="F5" s="771" t="s">
        <v>903</v>
      </c>
      <c r="G5" s="772"/>
      <c r="H5" s="765"/>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34" t="s">
        <v>1920</v>
      </c>
      <c r="B10" s="2235"/>
      <c r="C10" s="2235"/>
      <c r="D10" s="2235"/>
      <c r="E10" s="2237"/>
      <c r="F10" s="784" t="s">
        <v>917</v>
      </c>
      <c r="G10" s="783"/>
      <c r="H10" s="785"/>
      <c r="I10" s="765"/>
      <c r="J10" s="766"/>
      <c r="K10" s="766"/>
    </row>
    <row r="11" spans="1:11" x14ac:dyDescent="0.2">
      <c r="A11" s="2234" t="s">
        <v>162</v>
      </c>
      <c r="B11" s="2235"/>
      <c r="C11" s="2235"/>
      <c r="D11" s="2235"/>
      <c r="E11" s="2236"/>
      <c r="F11" s="771" t="s">
        <v>907</v>
      </c>
      <c r="G11" s="772"/>
      <c r="H11" s="765"/>
      <c r="I11" s="765"/>
      <c r="J11" s="766"/>
      <c r="K11" s="774"/>
    </row>
    <row r="12" spans="1:11" ht="13.5" thickBot="1" x14ac:dyDescent="0.25">
      <c r="A12" s="2261" t="s">
        <v>961</v>
      </c>
      <c r="B12" s="2262"/>
      <c r="C12" s="2262"/>
      <c r="D12" s="2262"/>
      <c r="E12" s="2263"/>
      <c r="F12" s="1779"/>
      <c r="G12" s="1780">
        <f>SUM(G5:G11)</f>
        <v>0</v>
      </c>
      <c r="H12" s="1780">
        <f>SUM(H5:H11)</f>
        <v>0</v>
      </c>
      <c r="I12" s="1780">
        <f>SUM(I5:I11)</f>
        <v>0</v>
      </c>
      <c r="J12" s="1780">
        <f>SUM(J5:J11)</f>
        <v>0</v>
      </c>
      <c r="K12" s="1780">
        <f>SUM(K5:K11)</f>
        <v>0</v>
      </c>
    </row>
    <row r="13" spans="1:11" ht="13.5" thickTop="1" x14ac:dyDescent="0.2">
      <c r="A13" s="2258" t="s">
        <v>388</v>
      </c>
      <c r="B13" s="2259"/>
      <c r="C13" s="2259"/>
      <c r="D13" s="2259"/>
      <c r="E13" s="2260"/>
      <c r="F13" s="786"/>
      <c r="G13" s="787"/>
      <c r="H13" s="788"/>
      <c r="I13" s="789"/>
      <c r="J13" s="789"/>
      <c r="K13" s="789"/>
    </row>
    <row r="14" spans="1:11" x14ac:dyDescent="0.2">
      <c r="A14" s="2241" t="s">
        <v>476</v>
      </c>
      <c r="B14" s="2241"/>
      <c r="C14" s="2241"/>
      <c r="D14" s="2241"/>
      <c r="E14" s="2242"/>
      <c r="F14" s="790" t="s">
        <v>909</v>
      </c>
      <c r="G14" s="783"/>
      <c r="H14" s="765"/>
      <c r="I14" s="772"/>
      <c r="J14" s="774"/>
      <c r="K14" s="766"/>
    </row>
    <row r="15" spans="1:11" x14ac:dyDescent="0.2">
      <c r="A15" s="2235" t="s">
        <v>4</v>
      </c>
      <c r="B15" s="2235"/>
      <c r="C15" s="2235"/>
      <c r="D15" s="2235"/>
      <c r="E15" s="2236"/>
      <c r="F15" s="790" t="s">
        <v>910</v>
      </c>
      <c r="G15" s="772"/>
      <c r="H15" s="765"/>
      <c r="I15" s="765"/>
      <c r="J15" s="766"/>
      <c r="K15" s="766"/>
    </row>
    <row r="16" spans="1:11" x14ac:dyDescent="0.2">
      <c r="A16" s="2235" t="s">
        <v>316</v>
      </c>
      <c r="B16" s="2235"/>
      <c r="C16" s="2235"/>
      <c r="D16" s="2235"/>
      <c r="E16" s="2236"/>
      <c r="F16" s="790" t="s">
        <v>980</v>
      </c>
      <c r="G16" s="773"/>
      <c r="H16" s="768"/>
      <c r="I16" s="768"/>
      <c r="J16" s="770"/>
      <c r="K16" s="770"/>
    </row>
    <row r="17" spans="1:11" x14ac:dyDescent="0.2">
      <c r="A17" s="2266" t="s">
        <v>992</v>
      </c>
      <c r="B17" s="2266"/>
      <c r="C17" s="2266"/>
      <c r="D17" s="2266"/>
      <c r="E17" s="2267"/>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43" t="s">
        <v>1916</v>
      </c>
      <c r="B19" s="2243"/>
      <c r="C19" s="2243"/>
      <c r="D19" s="2243"/>
      <c r="E19" s="2244"/>
      <c r="F19" s="790" t="s">
        <v>990</v>
      </c>
      <c r="G19" s="783"/>
      <c r="H19" s="783"/>
      <c r="I19" s="783"/>
      <c r="J19" s="766"/>
      <c r="K19" s="796"/>
    </row>
    <row r="20" spans="1:11" x14ac:dyDescent="0.2">
      <c r="A20" s="2245" t="s">
        <v>1921</v>
      </c>
      <c r="B20" s="2246"/>
      <c r="C20" s="2246"/>
      <c r="D20" s="2246"/>
      <c r="E20" s="2247"/>
      <c r="F20" s="790" t="s">
        <v>991</v>
      </c>
      <c r="G20" s="783"/>
      <c r="H20" s="783"/>
      <c r="I20" s="783"/>
      <c r="J20" s="766"/>
      <c r="K20" s="796"/>
    </row>
    <row r="21" spans="1:11" ht="13.5" thickBot="1" x14ac:dyDescent="0.25">
      <c r="A21" s="2264" t="s">
        <v>659</v>
      </c>
      <c r="B21" s="2264"/>
      <c r="C21" s="2264"/>
      <c r="D21" s="2264"/>
      <c r="E21" s="2264"/>
      <c r="F21" s="1781"/>
      <c r="G21" s="793"/>
      <c r="H21" s="797"/>
      <c r="I21" s="797"/>
      <c r="J21" s="1782">
        <f>SUM(J18:J20)</f>
        <v>0</v>
      </c>
      <c r="K21" s="794"/>
    </row>
    <row r="22" spans="1:11" ht="13.5" thickTop="1" x14ac:dyDescent="0.2">
      <c r="A22" s="2235" t="s">
        <v>1922</v>
      </c>
      <c r="B22" s="2235"/>
      <c r="C22" s="2235"/>
      <c r="D22" s="2235"/>
      <c r="E22" s="2236"/>
      <c r="F22" s="790" t="s">
        <v>917</v>
      </c>
      <c r="G22" s="783"/>
      <c r="H22" s="765"/>
      <c r="I22" s="765"/>
      <c r="J22" s="798"/>
      <c r="K22" s="766"/>
    </row>
    <row r="23" spans="1:11" ht="13.5" thickBot="1" x14ac:dyDescent="0.25">
      <c r="A23" s="2265" t="s">
        <v>962</v>
      </c>
      <c r="B23" s="2264"/>
      <c r="C23" s="2264"/>
      <c r="D23" s="2264"/>
      <c r="E23" s="2264"/>
      <c r="F23" s="1783"/>
      <c r="G23" s="1780">
        <f>SUM(G14:G16,G21,G22)</f>
        <v>0</v>
      </c>
      <c r="H23" s="1780">
        <f>SUM(H14:H16,H21,H22)</f>
        <v>0</v>
      </c>
      <c r="I23" s="1780">
        <f>SUM(I14:I16,I21,I22)</f>
        <v>0</v>
      </c>
      <c r="J23" s="1780">
        <f>SUM(J14:J16,J21,J22)</f>
        <v>0</v>
      </c>
      <c r="K23" s="1780">
        <f>SUM(K14:K16,K21,K22)</f>
        <v>0</v>
      </c>
    </row>
    <row r="24" spans="1:11" ht="14.25" thickTop="1" thickBot="1" x14ac:dyDescent="0.25">
      <c r="A24" s="2265" t="s">
        <v>2026</v>
      </c>
      <c r="B24" s="2264"/>
      <c r="C24" s="2264"/>
      <c r="D24" s="2264"/>
      <c r="E24" s="2264"/>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2036</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t="s">
        <v>2077</v>
      </c>
      <c r="E30" s="809" t="s">
        <v>792</v>
      </c>
      <c r="F30" s="202"/>
      <c r="G30" s="806"/>
    </row>
    <row r="31" spans="1:11" x14ac:dyDescent="0.2">
      <c r="A31" s="810"/>
      <c r="D31" s="237"/>
      <c r="E31" s="811" t="s">
        <v>793</v>
      </c>
      <c r="F31" s="812" t="s">
        <v>560</v>
      </c>
      <c r="G31" s="765"/>
      <c r="H31" s="2238"/>
      <c r="I31" s="2239"/>
      <c r="J31" s="2239"/>
      <c r="K31" s="2239"/>
    </row>
    <row r="32" spans="1:11" x14ac:dyDescent="0.2">
      <c r="A32" s="810"/>
      <c r="B32" s="237"/>
      <c r="C32" s="237"/>
      <c r="D32" s="237"/>
      <c r="E32" s="806"/>
      <c r="F32" s="812" t="s">
        <v>561</v>
      </c>
      <c r="G32" s="765"/>
      <c r="H32" s="2240"/>
      <c r="I32" s="2239"/>
      <c r="J32" s="2239"/>
      <c r="K32" s="2239"/>
    </row>
    <row r="33" spans="1:11" ht="1.5" customHeight="1" x14ac:dyDescent="0.2">
      <c r="A33" s="813" t="s">
        <v>1231</v>
      </c>
      <c r="B33" s="364"/>
      <c r="C33" s="364"/>
      <c r="D33" s="364"/>
      <c r="E33" s="364"/>
      <c r="F33" s="364"/>
      <c r="G33" s="814"/>
      <c r="H33" s="2240"/>
      <c r="I33" s="2239"/>
      <c r="J33" s="2239"/>
      <c r="K33" s="2239"/>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5" t="s">
        <v>562</v>
      </c>
      <c r="B41" s="2248"/>
      <c r="C41" s="2248"/>
      <c r="D41" s="2248"/>
      <c r="E41" s="2248"/>
      <c r="F41" s="2249"/>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I11" sqref="I11"/>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2035</v>
      </c>
      <c r="B1" s="2271"/>
      <c r="C1" s="2272"/>
      <c r="D1" s="827"/>
      <c r="E1" s="828"/>
      <c r="F1" s="828"/>
      <c r="G1" s="829"/>
      <c r="H1" s="830"/>
      <c r="I1" s="831"/>
      <c r="J1" s="2268"/>
      <c r="K1" s="2269"/>
      <c r="L1" s="2269"/>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671408</v>
      </c>
      <c r="D5" s="842"/>
      <c r="E5" s="842"/>
      <c r="F5" s="1782">
        <f>(C5+D5)-E5</f>
        <v>671408</v>
      </c>
      <c r="G5" s="838"/>
      <c r="H5" s="843"/>
      <c r="I5" s="843"/>
      <c r="J5" s="843"/>
      <c r="K5" s="794"/>
      <c r="L5" s="1791">
        <f>F5-K5</f>
        <v>671408</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7838412</v>
      </c>
      <c r="D8" s="845">
        <v>367674</v>
      </c>
      <c r="E8" s="845"/>
      <c r="F8" s="1782">
        <f>(C8+D8)-E8</f>
        <v>8206086</v>
      </c>
      <c r="G8" s="844">
        <v>50</v>
      </c>
      <c r="H8" s="766">
        <v>2308130</v>
      </c>
      <c r="I8" s="766">
        <v>163382</v>
      </c>
      <c r="J8" s="766"/>
      <c r="K8" s="1791">
        <f>(H8+I8)-J8</f>
        <v>2471512</v>
      </c>
      <c r="L8" s="1791">
        <f>F8-K8</f>
        <v>5734574</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70850</v>
      </c>
      <c r="D10" s="847"/>
      <c r="E10" s="847"/>
      <c r="F10" s="1786">
        <f>(C10+D10)-E10</f>
        <v>70850</v>
      </c>
      <c r="G10" s="844">
        <v>20</v>
      </c>
      <c r="H10" s="848">
        <v>19904</v>
      </c>
      <c r="I10" s="848">
        <v>3729</v>
      </c>
      <c r="J10" s="848"/>
      <c r="K10" s="1791">
        <f>(H10+I10)-J10</f>
        <v>23633</v>
      </c>
      <c r="L10" s="1791">
        <f>F10-K10</f>
        <v>47217</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1000959</v>
      </c>
      <c r="D12" s="845">
        <v>2144</v>
      </c>
      <c r="E12" s="845"/>
      <c r="F12" s="1782">
        <f>(C12+D12)-E12</f>
        <v>1003103</v>
      </c>
      <c r="G12" s="844">
        <v>10</v>
      </c>
      <c r="H12" s="766">
        <v>785157</v>
      </c>
      <c r="I12" s="766">
        <v>32662</v>
      </c>
      <c r="J12" s="766"/>
      <c r="K12" s="1791">
        <f>(H12+I12)-J12</f>
        <v>817819</v>
      </c>
      <c r="L12" s="1791">
        <f>F12-K12</f>
        <v>185284</v>
      </c>
    </row>
    <row r="13" spans="1:14" ht="14.25" thickTop="1" thickBot="1" x14ac:dyDescent="0.25">
      <c r="A13" s="849" t="s">
        <v>1184</v>
      </c>
      <c r="B13" s="841">
        <v>252</v>
      </c>
      <c r="C13" s="845">
        <v>348550</v>
      </c>
      <c r="D13" s="845">
        <v>42172</v>
      </c>
      <c r="E13" s="845"/>
      <c r="F13" s="1782">
        <f>(C13+D13)-E13</f>
        <v>390722</v>
      </c>
      <c r="G13" s="844">
        <v>5</v>
      </c>
      <c r="H13" s="766">
        <v>306893</v>
      </c>
      <c r="I13" s="766">
        <v>28070</v>
      </c>
      <c r="J13" s="766"/>
      <c r="K13" s="1791">
        <f>(H13+I13)-J13</f>
        <v>334963</v>
      </c>
      <c r="L13" s="1791">
        <f>F13-K13</f>
        <v>55759</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9930179</v>
      </c>
      <c r="D16" s="1782">
        <f>SUM(D3,D5:D6,D8:D10,D12:D15)</f>
        <v>411990</v>
      </c>
      <c r="E16" s="1782">
        <f>SUM(E3,E5:E6,E8:E10,E12:E15)</f>
        <v>0</v>
      </c>
      <c r="F16" s="1782">
        <f>SUM(F3,F5:F6,F8:F10,F12:F15)</f>
        <v>10342169</v>
      </c>
      <c r="G16" s="844"/>
      <c r="H16" s="1782">
        <f>SUM(H3,H6,H8:H10,H12:H14,)</f>
        <v>3420084</v>
      </c>
      <c r="I16" s="1782">
        <f>SUM(I3,I6,I8:I10,I12:I14,)</f>
        <v>227843</v>
      </c>
      <c r="J16" s="1782">
        <f>SUM(J3,J6,J8:J10,J12:J14,)</f>
        <v>0</v>
      </c>
      <c r="K16" s="1782">
        <f>(H16+I16)-J16</f>
        <v>3647927</v>
      </c>
      <c r="L16" s="1782">
        <f>F16-K16</f>
        <v>6694242</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227843</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48" activePane="bottomLeft" state="frozen"/>
      <selection activeCell="A47" sqref="A47"/>
      <selection pane="bottomLeft" activeCell="F8" sqref="F8"/>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2993045</v>
      </c>
      <c r="G8" s="866"/>
    </row>
    <row r="9" spans="1:7" x14ac:dyDescent="0.2">
      <c r="A9" s="870" t="s">
        <v>480</v>
      </c>
      <c r="B9" s="871" t="s">
        <v>1989</v>
      </c>
      <c r="C9" s="872"/>
      <c r="D9" s="870" t="s">
        <v>522</v>
      </c>
      <c r="E9" s="869"/>
      <c r="F9" s="1935">
        <f>'Expenditures 15-22'!K151</f>
        <v>688980</v>
      </c>
      <c r="G9" s="873"/>
    </row>
    <row r="10" spans="1:7" x14ac:dyDescent="0.2">
      <c r="A10" s="870" t="s">
        <v>520</v>
      </c>
      <c r="B10" s="871" t="s">
        <v>1990</v>
      </c>
      <c r="C10" s="872"/>
      <c r="D10" s="870" t="s">
        <v>522</v>
      </c>
      <c r="E10" s="869"/>
      <c r="F10" s="1935">
        <f>'Expenditures 15-22'!K174</f>
        <v>520648</v>
      </c>
      <c r="G10" s="873"/>
    </row>
    <row r="11" spans="1:7" x14ac:dyDescent="0.2">
      <c r="A11" s="870" t="s">
        <v>481</v>
      </c>
      <c r="B11" s="871" t="s">
        <v>1991</v>
      </c>
      <c r="C11" s="872"/>
      <c r="D11" s="870" t="s">
        <v>522</v>
      </c>
      <c r="E11" s="869"/>
      <c r="F11" s="1935">
        <f>'Expenditures 15-22'!K210</f>
        <v>238291</v>
      </c>
      <c r="G11" s="873"/>
    </row>
    <row r="12" spans="1:7" x14ac:dyDescent="0.2">
      <c r="A12" s="870" t="s">
        <v>482</v>
      </c>
      <c r="B12" s="871" t="s">
        <v>1992</v>
      </c>
      <c r="C12" s="872"/>
      <c r="D12" s="870" t="s">
        <v>522</v>
      </c>
      <c r="E12" s="869"/>
      <c r="F12" s="1935">
        <f>'Expenditures 15-22'!K295</f>
        <v>105546</v>
      </c>
      <c r="G12" s="873"/>
    </row>
    <row r="13" spans="1:7" x14ac:dyDescent="0.2">
      <c r="A13" s="870" t="s">
        <v>108</v>
      </c>
      <c r="B13" s="871" t="s">
        <v>1993</v>
      </c>
      <c r="C13" s="872"/>
      <c r="D13" s="870" t="s">
        <v>522</v>
      </c>
      <c r="E13" s="869"/>
      <c r="F13" s="1935">
        <f>'Expenditures 15-22'!K342</f>
        <v>0</v>
      </c>
      <c r="G13" s="874"/>
    </row>
    <row r="14" spans="1:7" ht="12" customHeight="1" thickBot="1" x14ac:dyDescent="0.25">
      <c r="A14" s="1792"/>
      <c r="B14" s="1793"/>
      <c r="C14" s="1794"/>
      <c r="D14" s="1795" t="s">
        <v>522</v>
      </c>
      <c r="E14" s="1796" t="s">
        <v>1015</v>
      </c>
      <c r="F14" s="1797">
        <f>SUM(F8:F13)</f>
        <v>4546510</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23393</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2814</v>
      </c>
      <c r="G51" s="866"/>
    </row>
    <row r="52" spans="1:7" x14ac:dyDescent="0.2">
      <c r="A52" s="870" t="s">
        <v>479</v>
      </c>
      <c r="B52" s="870" t="s">
        <v>1550</v>
      </c>
      <c r="C52" s="890" t="str">
        <f>'Expenditures 15-22'!B75</f>
        <v>3000</v>
      </c>
      <c r="D52" s="889" t="s">
        <v>469</v>
      </c>
      <c r="E52" s="869"/>
      <c r="F52" s="1939">
        <f>'Expenditures 15-22'!K75-SUM('Expenditures 15-22'!G75,'Expenditures 15-22'!I75)</f>
        <v>948</v>
      </c>
      <c r="G52" s="866"/>
    </row>
    <row r="53" spans="1:7" x14ac:dyDescent="0.2">
      <c r="A53" s="870" t="s">
        <v>479</v>
      </c>
      <c r="B53" s="870" t="s">
        <v>1551</v>
      </c>
      <c r="C53" s="890">
        <f>'Expenditures 15-22'!B102</f>
        <v>4000</v>
      </c>
      <c r="D53" s="889" t="str">
        <f>'Expenditures 15-22'!A102</f>
        <v>Total Payments to Other Govt Units</v>
      </c>
      <c r="E53" s="869"/>
      <c r="F53" s="1939">
        <f>'Expenditures 15-22'!K102</f>
        <v>51384</v>
      </c>
      <c r="G53" s="866"/>
    </row>
    <row r="54" spans="1:7" x14ac:dyDescent="0.2">
      <c r="A54" s="870" t="s">
        <v>479</v>
      </c>
      <c r="B54" s="870" t="s">
        <v>1552</v>
      </c>
      <c r="C54" s="890" t="s">
        <v>1039</v>
      </c>
      <c r="D54" s="886" t="s">
        <v>1157</v>
      </c>
      <c r="E54" s="869"/>
      <c r="F54" s="1939">
        <f>'Expenditures 15-22'!G114</f>
        <v>48414</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9">
        <f>'Expenditures 15-22'!K139</f>
        <v>0</v>
      </c>
      <c r="G57" s="866"/>
    </row>
    <row r="58" spans="1:7" x14ac:dyDescent="0.2">
      <c r="A58" s="870" t="s">
        <v>480</v>
      </c>
      <c r="B58" s="870" t="s">
        <v>1995</v>
      </c>
      <c r="C58" s="887" t="s">
        <v>1039</v>
      </c>
      <c r="D58" s="886" t="s">
        <v>1157</v>
      </c>
      <c r="E58" s="869"/>
      <c r="F58" s="1941">
        <f>'Expenditures 15-22'!G151</f>
        <v>367674</v>
      </c>
      <c r="G58" s="866"/>
    </row>
    <row r="59" spans="1:7" x14ac:dyDescent="0.2">
      <c r="A59" s="894" t="s">
        <v>480</v>
      </c>
      <c r="B59" s="857" t="s">
        <v>1996</v>
      </c>
      <c r="C59" s="895" t="s">
        <v>1039</v>
      </c>
      <c r="D59" s="857" t="s">
        <v>309</v>
      </c>
      <c r="F59" s="1942">
        <f>'Expenditures 15-22'!I151</f>
        <v>0</v>
      </c>
      <c r="G59" s="866"/>
    </row>
    <row r="60" spans="1:7" x14ac:dyDescent="0.2">
      <c r="A60" s="894" t="s">
        <v>520</v>
      </c>
      <c r="B60" s="857" t="s">
        <v>1997</v>
      </c>
      <c r="C60" s="895">
        <v>4000</v>
      </c>
      <c r="D60" s="857" t="s">
        <v>330</v>
      </c>
      <c r="F60" s="1940">
        <f>'Expenditures 15-22'!K160</f>
        <v>0</v>
      </c>
      <c r="G60" s="866"/>
    </row>
    <row r="61" spans="1:7" x14ac:dyDescent="0.2">
      <c r="A61" s="896" t="s">
        <v>520</v>
      </c>
      <c r="B61" s="896" t="s">
        <v>1998</v>
      </c>
      <c r="C61" s="897" t="str">
        <f>'Expenditures 15-22'!B170</f>
        <v>5300</v>
      </c>
      <c r="D61" s="898" t="s">
        <v>329</v>
      </c>
      <c r="E61" s="880"/>
      <c r="F61" s="1939">
        <f>'Expenditures 15-22'!K170</f>
        <v>418000</v>
      </c>
      <c r="G61" s="866"/>
    </row>
    <row r="62" spans="1:7" x14ac:dyDescent="0.2">
      <c r="A62" s="870" t="s">
        <v>481</v>
      </c>
      <c r="B62" s="870" t="s">
        <v>1999</v>
      </c>
      <c r="C62" s="887">
        <f>'Expenditures 15-22'!B185</f>
        <v>3000</v>
      </c>
      <c r="D62" s="877" t="s">
        <v>469</v>
      </c>
      <c r="E62" s="869"/>
      <c r="F62" s="1939">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9">
        <f>'Expenditures 15-22'!K196</f>
        <v>0</v>
      </c>
      <c r="G63" s="866"/>
    </row>
    <row r="64" spans="1:7" x14ac:dyDescent="0.2">
      <c r="A64" s="896" t="s">
        <v>481</v>
      </c>
      <c r="B64" s="896" t="s">
        <v>2001</v>
      </c>
      <c r="C64" s="897" t="str">
        <f>'Expenditures 15-22'!B206</f>
        <v>5300</v>
      </c>
      <c r="D64" s="893" t="s">
        <v>329</v>
      </c>
      <c r="E64" s="869"/>
      <c r="F64" s="1939">
        <f>'Expenditures 15-22'!K206</f>
        <v>0</v>
      </c>
      <c r="G64" s="866"/>
    </row>
    <row r="65" spans="1:8" x14ac:dyDescent="0.2">
      <c r="A65" s="870" t="s">
        <v>481</v>
      </c>
      <c r="B65" s="870" t="s">
        <v>2002</v>
      </c>
      <c r="C65" s="887" t="s">
        <v>1039</v>
      </c>
      <c r="D65" s="886" t="s">
        <v>1157</v>
      </c>
      <c r="E65" s="869"/>
      <c r="F65" s="1939">
        <f>'Expenditures 15-22'!G210</f>
        <v>0</v>
      </c>
      <c r="G65" s="866"/>
    </row>
    <row r="66" spans="1:8" x14ac:dyDescent="0.2">
      <c r="A66" s="870" t="s">
        <v>481</v>
      </c>
      <c r="B66" s="870" t="s">
        <v>2003</v>
      </c>
      <c r="C66" s="887" t="s">
        <v>1039</v>
      </c>
      <c r="D66" s="886" t="s">
        <v>309</v>
      </c>
      <c r="E66" s="869"/>
      <c r="F66" s="1939">
        <f>'Expenditures 15-22'!I210</f>
        <v>0</v>
      </c>
      <c r="G66" s="866"/>
    </row>
    <row r="67" spans="1:8" x14ac:dyDescent="0.2">
      <c r="A67" s="870" t="s">
        <v>482</v>
      </c>
      <c r="B67" s="870" t="s">
        <v>2004</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414</v>
      </c>
      <c r="G68" s="866"/>
    </row>
    <row r="69" spans="1:8" x14ac:dyDescent="0.2">
      <c r="A69" s="870" t="s">
        <v>482</v>
      </c>
      <c r="B69" s="870" t="s">
        <v>2005</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2006</v>
      </c>
      <c r="C70" s="887">
        <f>'Expenditures 15-22'!B221</f>
        <v>1300</v>
      </c>
      <c r="D70" s="888" t="str">
        <f>'Expenditures 15-22'!A221</f>
        <v>Adult/Continuing Education Programs</v>
      </c>
      <c r="E70" s="869"/>
      <c r="F70" s="1939">
        <f>'Expenditures 15-22'!K221</f>
        <v>0</v>
      </c>
      <c r="G70" s="866"/>
    </row>
    <row r="71" spans="1:8" x14ac:dyDescent="0.2">
      <c r="A71" s="870" t="s">
        <v>482</v>
      </c>
      <c r="B71" s="870" t="s">
        <v>2007</v>
      </c>
      <c r="C71" s="887">
        <f>'Expenditures 15-22'!B224</f>
        <v>1600</v>
      </c>
      <c r="D71" s="888" t="str">
        <f>'Expenditures 15-22'!A224</f>
        <v>Summer School Programs</v>
      </c>
      <c r="E71" s="869"/>
      <c r="F71" s="1939">
        <f>'Expenditures 15-22'!K224</f>
        <v>0</v>
      </c>
      <c r="G71" s="866"/>
    </row>
    <row r="72" spans="1:8" x14ac:dyDescent="0.2">
      <c r="A72" s="870" t="s">
        <v>482</v>
      </c>
      <c r="B72" s="870" t="s">
        <v>2008</v>
      </c>
      <c r="C72" s="887">
        <f>'Expenditures 15-22'!B280</f>
        <v>3000</v>
      </c>
      <c r="D72" s="877" t="s">
        <v>469</v>
      </c>
      <c r="E72" s="869"/>
      <c r="F72" s="1939">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9">
        <f>'Expenditures 15-22'!K285</f>
        <v>0</v>
      </c>
      <c r="G73" s="866"/>
    </row>
    <row r="74" spans="1:8" x14ac:dyDescent="0.2">
      <c r="A74" s="870" t="s">
        <v>456</v>
      </c>
      <c r="B74" s="870" t="s">
        <v>2010</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913041</v>
      </c>
      <c r="G76" s="866"/>
    </row>
    <row r="77" spans="1:8" s="894" customFormat="1" ht="12" customHeight="1" thickTop="1" thickBot="1" x14ac:dyDescent="0.25">
      <c r="A77" s="1801"/>
      <c r="B77" s="1798"/>
      <c r="C77" s="1794"/>
      <c r="D77" s="1799" t="s">
        <v>2012</v>
      </c>
      <c r="E77" s="1796"/>
      <c r="F77" s="1802">
        <f>(F14-F76)</f>
        <v>3633469</v>
      </c>
      <c r="G77" s="870"/>
    </row>
    <row r="78" spans="1:8" s="894" customFormat="1" ht="12" customHeight="1" thickTop="1" x14ac:dyDescent="0.2">
      <c r="A78" s="1803"/>
      <c r="B78" s="1798"/>
      <c r="C78" s="1794"/>
      <c r="D78" s="1799" t="s">
        <v>2059</v>
      </c>
      <c r="E78" s="1796"/>
      <c r="F78" s="899">
        <v>426.55</v>
      </c>
      <c r="G78" s="900"/>
      <c r="H78" s="870"/>
    </row>
    <row r="79" spans="1:8" s="894" customFormat="1" ht="12" customHeight="1" thickBot="1" x14ac:dyDescent="0.25">
      <c r="A79" s="1804"/>
      <c r="B79" s="1798"/>
      <c r="C79" s="1794"/>
      <c r="D79" s="1799" t="s">
        <v>2013</v>
      </c>
      <c r="E79" s="1796" t="s">
        <v>1015</v>
      </c>
      <c r="F79" s="1805">
        <f>IF(F78&gt;0,F77/F78," Complete Line 78")</f>
        <v>8518.2721838002581</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54743</v>
      </c>
      <c r="G94" s="913"/>
    </row>
    <row r="95" spans="1:7" x14ac:dyDescent="0.2">
      <c r="A95" s="909" t="s">
        <v>142</v>
      </c>
      <c r="B95" s="909" t="s">
        <v>177</v>
      </c>
      <c r="C95" s="911">
        <v>1700</v>
      </c>
      <c r="D95" s="919" t="str">
        <f>'Revenues 9-14'!A82</f>
        <v>Total District/School Activity Income</v>
      </c>
      <c r="E95" s="907"/>
      <c r="F95" s="1811">
        <f>SUM('Revenues 9-14'!C82,'Revenues 9-14'!D82)</f>
        <v>15463</v>
      </c>
      <c r="G95" s="913"/>
    </row>
    <row r="96" spans="1:7" x14ac:dyDescent="0.2">
      <c r="A96" s="909" t="s">
        <v>479</v>
      </c>
      <c r="B96" s="909" t="s">
        <v>178</v>
      </c>
      <c r="C96" s="911">
        <f>'Revenues 9-14'!B84</f>
        <v>1811</v>
      </c>
      <c r="D96" s="912" t="str">
        <f>'Revenues 9-14'!A84</f>
        <v>Rentals - Regular Textbooks</v>
      </c>
      <c r="E96" s="907"/>
      <c r="F96" s="1811">
        <f>'Revenues 9-14'!C84</f>
        <v>33469</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79</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16500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2137</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137727</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5338</v>
      </c>
      <c r="G107" s="913"/>
    </row>
    <row r="108" spans="1:7" x14ac:dyDescent="0.2">
      <c r="A108" s="909" t="s">
        <v>479</v>
      </c>
      <c r="B108" s="909" t="s">
        <v>844</v>
      </c>
      <c r="C108" s="921">
        <f>'Revenues 9-14'!B145</f>
        <v>3360</v>
      </c>
      <c r="D108" s="912" t="str">
        <f>'Revenues 9-14'!A145</f>
        <v>State Free Lunch &amp; Breakfast</v>
      </c>
      <c r="E108" s="907"/>
      <c r="F108" s="1811">
        <f>'Revenues 9-14'!C145</f>
        <v>759</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159165</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47089</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62435</v>
      </c>
      <c r="G129" s="931"/>
    </row>
    <row r="130" spans="1:7" x14ac:dyDescent="0.2">
      <c r="A130" s="928" t="s">
        <v>689</v>
      </c>
      <c r="B130" s="928" t="s">
        <v>804</v>
      </c>
      <c r="C130" s="933">
        <v>4300</v>
      </c>
      <c r="D130" s="934" t="str">
        <f>'Revenues 9-14'!A211</f>
        <v>Total Title I</v>
      </c>
      <c r="E130" s="907"/>
      <c r="F130" s="1811">
        <f>SUM('Revenues 9-14'!C211,'Revenues 9-14'!D211,'Revenues 9-14'!F211,'Revenues 9-14'!G211)</f>
        <v>56521</v>
      </c>
      <c r="G130" s="931"/>
    </row>
    <row r="131" spans="1:7" x14ac:dyDescent="0.2">
      <c r="A131" s="928" t="s">
        <v>689</v>
      </c>
      <c r="B131" s="928" t="s">
        <v>805</v>
      </c>
      <c r="C131" s="933">
        <v>4400</v>
      </c>
      <c r="D131" s="934" t="str">
        <f>'Revenues 9-14'!A216</f>
        <v>Total Title IV</v>
      </c>
      <c r="E131" s="907"/>
      <c r="F131" s="1811">
        <f>SUM('Revenues 9-14'!C216,'Revenues 9-14'!D216,'Revenues 9-14'!F216,'Revenues 9-14'!G216)</f>
        <v>1012</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73592</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834</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543</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5221</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5586</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14562</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2058</v>
      </c>
      <c r="C175" s="1946">
        <v>3100</v>
      </c>
      <c r="D175" s="1947" t="s">
        <v>2061</v>
      </c>
      <c r="E175" s="907"/>
      <c r="F175" s="1931"/>
      <c r="G175" s="928"/>
    </row>
    <row r="176" spans="1:7" x14ac:dyDescent="0.2">
      <c r="A176" s="1944" t="s">
        <v>685</v>
      </c>
      <c r="B176" s="1945" t="s">
        <v>2058</v>
      </c>
      <c r="C176" s="1946">
        <v>3300</v>
      </c>
      <c r="D176" s="1947" t="s">
        <v>2062</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692775</v>
      </c>
    </row>
    <row r="179" spans="1:7" ht="12" customHeight="1" x14ac:dyDescent="0.2">
      <c r="A179" s="1792"/>
      <c r="B179" s="1806"/>
      <c r="C179" s="1807"/>
      <c r="D179" s="1808" t="s">
        <v>2015</v>
      </c>
      <c r="E179" s="1809"/>
      <c r="F179" s="1811">
        <f>'PCTC-OEPP 27-28'!F77-F178</f>
        <v>2940694</v>
      </c>
    </row>
    <row r="180" spans="1:7" ht="12" customHeight="1" x14ac:dyDescent="0.2">
      <c r="A180" s="1792"/>
      <c r="B180" s="1806"/>
      <c r="C180" s="1807"/>
      <c r="D180" s="1808" t="s">
        <v>1924</v>
      </c>
      <c r="E180" s="1809"/>
      <c r="F180" s="1811">
        <f>'Cap Outlay Deprec 26'!I18</f>
        <v>227843</v>
      </c>
    </row>
    <row r="181" spans="1:7" ht="12" customHeight="1" x14ac:dyDescent="0.2">
      <c r="A181" s="1792"/>
      <c r="B181" s="1806"/>
      <c r="C181" s="1807"/>
      <c r="D181" s="1808" t="s">
        <v>2016</v>
      </c>
      <c r="E181" s="1809"/>
      <c r="F181" s="1811">
        <f>F179+F180</f>
        <v>3168537</v>
      </c>
    </row>
    <row r="182" spans="1:7" ht="12" customHeight="1" x14ac:dyDescent="0.2">
      <c r="A182" s="1792"/>
      <c r="B182" s="1812"/>
      <c r="C182" s="1807"/>
      <c r="D182" s="1808" t="str">
        <f>D78</f>
        <v>9 Month ADA from District Average Daily Attendance/Prior General State Aid Inquiry 2017-2018</v>
      </c>
      <c r="E182" s="1809"/>
      <c r="F182" s="1813">
        <f>'PCTC-OEPP 27-28'!F78</f>
        <v>426.55</v>
      </c>
      <c r="G182" s="931"/>
    </row>
    <row r="183" spans="1:7" ht="12" customHeight="1" thickBot="1" x14ac:dyDescent="0.25">
      <c r="A183" s="1792"/>
      <c r="B183" s="1812"/>
      <c r="C183" s="1807"/>
      <c r="D183" s="1808" t="s">
        <v>2017</v>
      </c>
      <c r="E183" s="1809" t="s">
        <v>1626</v>
      </c>
      <c r="F183" s="1814">
        <f>F181/F182</f>
        <v>7428.2897667330908</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8" customFormat="1" ht="12.2" customHeight="1" x14ac:dyDescent="0.2">
      <c r="A186" s="1948" t="s">
        <v>2065</v>
      </c>
      <c r="B186" s="1949"/>
      <c r="C186" s="1950"/>
      <c r="D186" s="1949"/>
      <c r="E186" s="1950"/>
      <c r="F186" s="1949"/>
      <c r="G186" s="1949"/>
    </row>
    <row r="187" spans="1:7" s="1948" customFormat="1" ht="12.2" customHeight="1" x14ac:dyDescent="0.2">
      <c r="A187" s="1951" t="s">
        <v>2066</v>
      </c>
      <c r="C187" s="1950"/>
      <c r="D187" s="1949"/>
      <c r="E187" s="1950"/>
      <c r="F187" s="1949"/>
      <c r="G187" s="1949"/>
    </row>
    <row r="188" spans="1:7" ht="12" customHeight="1" x14ac:dyDescent="0.2">
      <c r="C188" s="950"/>
      <c r="D188" s="931"/>
      <c r="E188" s="950"/>
      <c r="F188" s="931"/>
      <c r="G188" s="931"/>
    </row>
    <row r="189" spans="1:7" x14ac:dyDescent="0.2">
      <c r="A189" s="1952" t="s">
        <v>2064</v>
      </c>
      <c r="B189" s="1953"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4"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B19" sqref="B19"/>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1925</v>
      </c>
      <c r="B4" s="2288"/>
      <c r="C4" s="2288"/>
      <c r="D4" s="2288"/>
      <c r="E4" s="2288"/>
      <c r="F4" s="2288"/>
      <c r="G4" s="2289"/>
    </row>
    <row r="5" spans="1:7" x14ac:dyDescent="0.25">
      <c r="A5" s="2290"/>
      <c r="B5" s="2291"/>
      <c r="C5" s="2291"/>
      <c r="D5" s="2291"/>
      <c r="E5" s="2291"/>
      <c r="F5" s="2291"/>
      <c r="G5" s="2292"/>
    </row>
    <row r="6" spans="1:7" ht="18.75" x14ac:dyDescent="0.25">
      <c r="A6" s="1556" t="s">
        <v>1926</v>
      </c>
      <c r="B6" s="1557"/>
      <c r="C6" s="1557"/>
      <c r="D6" s="1557"/>
      <c r="E6" s="1557"/>
      <c r="F6" s="1557"/>
      <c r="G6" s="1558"/>
    </row>
    <row r="7" spans="1:7" ht="30.75" customHeight="1" x14ac:dyDescent="0.25">
      <c r="A7" s="2293" t="s">
        <v>2075</v>
      </c>
      <c r="B7" s="2294"/>
      <c r="C7" s="2294"/>
      <c r="D7" s="2294"/>
      <c r="E7" s="2294"/>
      <c r="F7" s="2294"/>
      <c r="G7" s="2295"/>
    </row>
    <row r="8" spans="1:7" ht="15.75" customHeight="1" x14ac:dyDescent="0.25">
      <c r="A8" s="2296" t="s">
        <v>2024</v>
      </c>
      <c r="B8" s="2297"/>
      <c r="C8" s="2297"/>
      <c r="D8" s="2297"/>
      <c r="E8" s="2297"/>
      <c r="F8" s="2297"/>
      <c r="G8" s="2298"/>
    </row>
    <row r="9" spans="1:7" ht="35.25" customHeight="1" x14ac:dyDescent="0.25">
      <c r="A9" s="2293" t="s">
        <v>2023</v>
      </c>
      <c r="B9" s="2294"/>
      <c r="C9" s="2294"/>
      <c r="D9" s="2294"/>
      <c r="E9" s="2294"/>
      <c r="F9" s="2294"/>
      <c r="G9" s="2295"/>
    </row>
    <row r="10" spans="1:7" ht="15" customHeight="1" x14ac:dyDescent="0.25">
      <c r="A10" s="1559" t="s">
        <v>1927</v>
      </c>
      <c r="B10" s="1560"/>
      <c r="C10" s="1560"/>
      <c r="D10" s="1560"/>
      <c r="E10" s="1560"/>
      <c r="F10" s="1560"/>
      <c r="G10" s="1561"/>
    </row>
    <row r="11" spans="1:7" ht="17.25" customHeight="1" x14ac:dyDescent="0.25">
      <c r="A11" s="2293" t="s">
        <v>1941</v>
      </c>
      <c r="B11" s="2294"/>
      <c r="C11" s="2294"/>
      <c r="D11" s="2294"/>
      <c r="E11" s="2294"/>
      <c r="F11" s="2294"/>
      <c r="G11" s="2295"/>
    </row>
    <row r="12" spans="1:7" ht="15" customHeight="1" x14ac:dyDescent="0.25">
      <c r="A12" s="1559" t="s">
        <v>1932</v>
      </c>
      <c r="B12" s="1560"/>
      <c r="C12" s="1560"/>
      <c r="D12" s="1560"/>
      <c r="E12" s="1560"/>
      <c r="F12" s="1560"/>
      <c r="G12" s="1561"/>
    </row>
    <row r="13" spans="1:7" ht="32.25" customHeight="1" x14ac:dyDescent="0.25">
      <c r="A13" s="2284" t="s">
        <v>1933</v>
      </c>
      <c r="B13" s="2285"/>
      <c r="C13" s="2285"/>
      <c r="D13" s="2285"/>
      <c r="E13" s="2285"/>
      <c r="F13" s="2285"/>
      <c r="G13" s="2286"/>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2097</v>
      </c>
      <c r="B17" s="2504" t="s">
        <v>2100</v>
      </c>
      <c r="C17" s="1957" t="s">
        <v>2096</v>
      </c>
      <c r="D17" s="1867">
        <v>54450</v>
      </c>
      <c r="E17" s="1562">
        <f t="shared" ref="E17:E141" si="1">IF(D17&lt;=25000,D17,IF(D17&gt;25000,25000,0))</f>
        <v>25000</v>
      </c>
      <c r="F17" s="1815">
        <f t="shared" si="0"/>
        <v>25000</v>
      </c>
      <c r="G17" s="1816">
        <f>IF(F17=0,0,D17-F17)</f>
        <v>29450</v>
      </c>
      <c r="H17" s="1669"/>
    </row>
    <row r="18" spans="1:8" x14ac:dyDescent="0.25">
      <c r="A18" s="1956" t="s">
        <v>2098</v>
      </c>
      <c r="B18" s="2504" t="s">
        <v>2101</v>
      </c>
      <c r="C18" s="1957" t="s">
        <v>2099</v>
      </c>
      <c r="D18" s="1867">
        <v>79393</v>
      </c>
      <c r="E18" s="1562">
        <f t="shared" ref="E18:E140" si="2">IF(D18&lt;=25000,D18,IF(D18&gt;25000,25000,0))</f>
        <v>25000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25000</v>
      </c>
      <c r="G18" s="1816">
        <f t="shared" ref="G18:G140" si="4">IF(F18=0,0,D18-F18)</f>
        <v>54393</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133843</v>
      </c>
      <c r="E141" s="1563">
        <f t="shared" si="1"/>
        <v>25000</v>
      </c>
      <c r="F141" s="1817">
        <f>SUM(F17:F140)</f>
        <v>50000</v>
      </c>
      <c r="G141" s="1818">
        <f>SUM(G17:G140)</f>
        <v>83843</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v>61462</v>
      </c>
      <c r="F10" s="975"/>
      <c r="G10" s="976"/>
      <c r="H10" s="162"/>
      <c r="I10" s="162"/>
    </row>
    <row r="11" spans="1:9" s="669" customFormat="1" ht="22.5" customHeight="1" x14ac:dyDescent="0.2">
      <c r="A11" s="2304" t="s">
        <v>1945</v>
      </c>
      <c r="B11" s="2305"/>
      <c r="C11" s="2305"/>
      <c r="D11" s="2306"/>
      <c r="E11" s="978">
        <v>14593</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1776695</v>
      </c>
      <c r="F19" s="1822"/>
      <c r="G19" s="1824">
        <f>'Expenditures 15-22'!K33-SUM('Expenditures 15-22'!G33,'Expenditures 15-22'!I33)+'Expenditures 15-22'!D229</f>
        <v>1776695</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184144</v>
      </c>
      <c r="F21" s="1825"/>
      <c r="G21" s="1828">
        <f>'Expenditures 15-22'!K42-SUM('Expenditures 15-22'!G42,'Expenditures 15-22'!I42)+'Expenditures 15-22'!K120-SUM('Expenditures 15-22'!G120,'Expenditures 15-22'!I120)+'Expenditures 15-22'!K180-SUM('Expenditures 15-22'!G180,'Expenditures 15-22'!I180)+'Expenditures 15-22'!D238</f>
        <v>184144</v>
      </c>
      <c r="H21" s="988"/>
      <c r="I21" s="162"/>
    </row>
    <row r="22" spans="1:9" s="669" customFormat="1" ht="12" customHeight="1" x14ac:dyDescent="0.2">
      <c r="A22" s="995" t="s">
        <v>585</v>
      </c>
      <c r="B22" s="996"/>
      <c r="C22" s="994">
        <v>2200</v>
      </c>
      <c r="D22" s="1825"/>
      <c r="E22" s="1827">
        <f>'Expenditures 15-22'!K47-SUM('Expenditures 15-22'!G47,'Expenditures 15-22'!I47)+'Expenditures 15-22'!D243</f>
        <v>28432</v>
      </c>
      <c r="F22" s="1825"/>
      <c r="G22" s="1828">
        <f>'Expenditures 15-22'!K47-SUM('Expenditures 15-22'!G47,'Expenditures 15-22'!I47)+'Expenditures 15-22'!D243</f>
        <v>28432</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356733</v>
      </c>
      <c r="F23" s="1825"/>
      <c r="G23" s="1827">
        <f>'Expenditures 15-22'!K53-SUM('Expenditures 15-22'!G53,'Expenditures 15-22'!I53)+'Expenditures 15-22'!D257+'Expenditures 15-22'!K330-SUM('Expenditures 15-22'!G330,'Expenditures 15-22'!I330)</f>
        <v>356733</v>
      </c>
      <c r="H23" s="988"/>
      <c r="I23" s="162"/>
    </row>
    <row r="24" spans="1:9" s="669" customFormat="1" ht="12" customHeight="1" x14ac:dyDescent="0.2">
      <c r="A24" s="995" t="s">
        <v>587</v>
      </c>
      <c r="B24" s="996"/>
      <c r="C24" s="994">
        <v>2400</v>
      </c>
      <c r="D24" s="1825"/>
      <c r="E24" s="1827">
        <f>'Expenditures 15-22'!K57-SUM('Expenditures 15-22'!G57,'Expenditures 15-22'!I57)+'Expenditures 15-22'!D261</f>
        <v>262296</v>
      </c>
      <c r="F24" s="1825"/>
      <c r="G24" s="1828">
        <f>'Expenditures 15-22'!K57-SUM('Expenditures 15-22'!G57,'Expenditures 15-22'!I57)+'Expenditures 15-22'!D261</f>
        <v>262296</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103973</v>
      </c>
      <c r="E27" s="1827">
        <f>E8</f>
        <v>0</v>
      </c>
      <c r="F27" s="1827">
        <f>'Expenditures 15-22'!K60-SUM('Expenditures 15-22'!G60,'Expenditures 15-22'!I60)+'Expenditures 15-22'!D264-E8</f>
        <v>103973</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362654</v>
      </c>
      <c r="F28" s="1829">
        <f>'Expenditures 15-22'!K61-SUM('Expenditures 15-22'!G61,'Expenditures 15-22'!I61)+'Expenditures 15-22'!K124-SUM('Expenditures 15-22'!G124,'Expenditures 15-22'!I124)+'Expenditures 15-22'!D266-E9</f>
        <v>362654</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249512</v>
      </c>
      <c r="F29" s="1825"/>
      <c r="G29" s="1828">
        <f>'Expenditures 15-22'!K62-SUM('Expenditures 15-22'!G62,'Expenditures 15-22'!I62)+'Expenditures 15-22'!K125-SUM('Expenditures 15-22'!G125,'Expenditures 15-22'!I125)+'Expenditures 15-22'!K182-SUM('Expenditures 15-22'!G182,'Expenditures 15-22'!I182)+'Expenditures 15-22'!D267</f>
        <v>249512</v>
      </c>
      <c r="H29" s="986"/>
    </row>
    <row r="30" spans="1:9" ht="12" customHeight="1" x14ac:dyDescent="0.2">
      <c r="A30" s="995" t="s">
        <v>102</v>
      </c>
      <c r="B30" s="998"/>
      <c r="C30" s="994">
        <v>2560</v>
      </c>
      <c r="D30" s="1825"/>
      <c r="E30" s="1827">
        <f>'Expenditures 15-22'!K63-SUM('Expenditures 15-22'!G63,'Expenditures 15-22'!I63)+'Expenditures 15-22'!D268-E10</f>
        <v>66681</v>
      </c>
      <c r="F30" s="1825"/>
      <c r="G30" s="1827">
        <f>'Expenditures 15-22'!K63-SUM('Expenditures 15-22'!G63,'Expenditures 15-22'!I63)+'Expenditures 15-22'!D268-E10</f>
        <v>66681</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923</v>
      </c>
      <c r="F35" s="1825"/>
      <c r="G35" s="1827">
        <f>'Expenditures 15-22'!K69-SUM('Expenditures 15-22'!G69,'Expenditures 15-22'!I69)+'Expenditures 15-22'!D274</f>
        <v>923</v>
      </c>
    </row>
    <row r="36" spans="1:7" ht="12" customHeight="1" x14ac:dyDescent="0.2">
      <c r="A36" s="995" t="s">
        <v>423</v>
      </c>
      <c r="B36" s="998"/>
      <c r="C36" s="994">
        <v>2640</v>
      </c>
      <c r="D36" s="1827">
        <f>'Expenditures 15-22'!K70-SUM('Expenditures 15-22'!G70,'Expenditures 15-22'!I70)+'Expenditures 15-22'!D275-E13</f>
        <v>22115</v>
      </c>
      <c r="E36" s="1827">
        <f>E13</f>
        <v>0</v>
      </c>
      <c r="F36" s="1827">
        <f>'Expenditures 15-22'!K70-SUM('Expenditures 15-22'!G70,'Expenditures 15-22'!I70)+'Expenditures 15-22'!D275-E13</f>
        <v>22115</v>
      </c>
      <c r="G36" s="1827">
        <f>E13</f>
        <v>0</v>
      </c>
    </row>
    <row r="37" spans="1:7" ht="12" customHeight="1" x14ac:dyDescent="0.2">
      <c r="A37" s="995" t="s">
        <v>424</v>
      </c>
      <c r="B37" s="998"/>
      <c r="C37" s="994">
        <v>2660</v>
      </c>
      <c r="D37" s="1827">
        <f>'Expenditures 15-22'!K71-SUM('Expenditures 15-22'!G71,'Expenditures 15-22'!I71)+'Expenditures 15-22'!D276-E14</f>
        <v>81822</v>
      </c>
      <c r="E37" s="1827">
        <f>E14</f>
        <v>0</v>
      </c>
      <c r="F37" s="1827">
        <f>'Expenditures 15-22'!K71-SUM('Expenditures 15-22'!G71,'Expenditures 15-22'!I71)+'Expenditures 15-22'!D276-E14</f>
        <v>81822</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948</v>
      </c>
      <c r="F39" s="1825"/>
      <c r="G39" s="1827">
        <f>'Expenditures 15-22'!K75-SUM('Expenditures 15-22'!G75,'Expenditures 15-22'!I75)+'Expenditures 15-22'!K130-SUM('Expenditures 15-22'!G130,'Expenditures 15-22'!I130)+'Expenditures 15-22'!K185-SUM('Expenditures 15-22'!G185,'Expenditures 15-22'!I185)+'Expenditures 15-22'!D280</f>
        <v>948</v>
      </c>
    </row>
    <row r="40" spans="1:7" ht="12" customHeight="1" x14ac:dyDescent="0.2">
      <c r="A40" s="991" t="s">
        <v>1930</v>
      </c>
      <c r="B40" s="992"/>
      <c r="C40" s="994"/>
      <c r="D40" s="1825"/>
      <c r="E40" s="1829">
        <f>-'Contracts Paid in CY 29'!G141</f>
        <v>-83843</v>
      </c>
      <c r="F40" s="1825"/>
      <c r="G40" s="1829">
        <f>-'Contracts Paid in CY 29'!G141</f>
        <v>-83843</v>
      </c>
    </row>
    <row r="41" spans="1:7" ht="12" customHeight="1" x14ac:dyDescent="0.2">
      <c r="A41" s="999" t="s">
        <v>158</v>
      </c>
      <c r="B41" s="1000"/>
      <c r="C41" s="1001"/>
      <c r="D41" s="1829">
        <f>SUM(D19:D39)</f>
        <v>207910</v>
      </c>
      <c r="E41" s="1829">
        <f>SUM(E19:E40)</f>
        <v>3205175</v>
      </c>
      <c r="F41" s="1829">
        <f>SUM(F19:F39)</f>
        <v>570564</v>
      </c>
      <c r="G41" s="1829">
        <f>SUM(G19:G40)</f>
        <v>2842521</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207910</v>
      </c>
      <c r="F43" s="1830" t="s">
        <v>495</v>
      </c>
      <c r="G43" s="1831">
        <f>F41</f>
        <v>570564</v>
      </c>
    </row>
    <row r="44" spans="1:7" ht="12" customHeight="1" x14ac:dyDescent="0.2">
      <c r="A44" s="988"/>
      <c r="B44" s="162"/>
      <c r="C44" s="1002"/>
      <c r="D44" s="1830" t="s">
        <v>494</v>
      </c>
      <c r="E44" s="1831">
        <f>E41</f>
        <v>3205175</v>
      </c>
      <c r="F44" s="1830" t="s">
        <v>494</v>
      </c>
      <c r="G44" s="1831">
        <f>G41</f>
        <v>2842521</v>
      </c>
    </row>
    <row r="45" spans="1:7" ht="12" customHeight="1" x14ac:dyDescent="0.2">
      <c r="A45" s="988"/>
      <c r="B45" s="162"/>
      <c r="C45" s="162"/>
      <c r="D45" s="1832" t="s">
        <v>1063</v>
      </c>
      <c r="E45" s="1833">
        <f>(E43/E44)</f>
        <v>6.4866972942195039E-2</v>
      </c>
      <c r="F45" s="1832" t="s">
        <v>1063</v>
      </c>
      <c r="G45" s="1833">
        <f>(G43/G44)</f>
        <v>0.20072463844594288</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7" activePane="bottomLeft" state="frozen"/>
      <selection activeCell="A47" sqref="A47"/>
      <selection pane="bottomLeft" activeCell="F29" sqref="F29"/>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1" t="s">
        <v>1446</v>
      </c>
      <c r="B1" s="2321"/>
      <c r="C1" s="2321"/>
      <c r="D1" s="2321"/>
      <c r="E1" s="2321"/>
      <c r="F1" s="2321"/>
    </row>
    <row r="2" spans="1:10" x14ac:dyDescent="0.2">
      <c r="A2" s="1912" t="s">
        <v>2048</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2" t="s">
        <v>1627</v>
      </c>
      <c r="B5" s="2323"/>
      <c r="C5" s="2324"/>
      <c r="D5" s="2324"/>
      <c r="E5" s="2324"/>
      <c r="F5" s="2324"/>
    </row>
    <row r="6" spans="1:10" ht="12" customHeight="1" x14ac:dyDescent="0.25">
      <c r="A6" s="1875"/>
      <c r="B6" s="1876"/>
      <c r="C6" s="2325" t="str">
        <f>COVER!A17</f>
        <v>St George CCSD 258</v>
      </c>
      <c r="D6" s="2325"/>
      <c r="E6" s="2325"/>
      <c r="F6" s="1877"/>
    </row>
    <row r="7" spans="1:10" ht="11.25" customHeight="1" thickBot="1" x14ac:dyDescent="0.3">
      <c r="A7" s="1875"/>
      <c r="B7" s="1876"/>
      <c r="C7" s="2326">
        <f>COVER!A13</f>
        <v>32046258004</v>
      </c>
      <c r="D7" s="2326"/>
      <c r="E7" s="2326"/>
      <c r="F7" s="1877"/>
    </row>
    <row r="8" spans="1:10" ht="25.5" customHeight="1" thickBot="1" x14ac:dyDescent="0.25">
      <c r="A8" s="1918" t="s">
        <v>2025</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t="s">
        <v>2077</v>
      </c>
      <c r="D23" s="1890" t="s">
        <v>2077</v>
      </c>
      <c r="E23" s="1893"/>
      <c r="F23" s="1892" t="s">
        <v>2094</v>
      </c>
      <c r="H23" s="1903">
        <f t="shared" si="0"/>
        <v>5</v>
      </c>
      <c r="I23" s="1903">
        <f t="shared" si="1"/>
        <v>5</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c r="F26" s="1892" t="s">
        <v>2095</v>
      </c>
      <c r="H26" s="1903">
        <f t="shared" si="0"/>
        <v>5</v>
      </c>
      <c r="I26" s="1903">
        <f t="shared" si="1"/>
        <v>5</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10</v>
      </c>
      <c r="I34" s="1903">
        <f>SUM(I11:I32)</f>
        <v>10</v>
      </c>
      <c r="J34" s="1903">
        <f>SUM(J11:J32)</f>
        <v>0</v>
      </c>
      <c r="K34" s="1903">
        <f>SUM(H34:J34)</f>
        <v>20</v>
      </c>
    </row>
    <row r="35" spans="1:11" ht="12" customHeight="1" x14ac:dyDescent="0.2">
      <c r="A35" s="1896" t="s">
        <v>1459</v>
      </c>
      <c r="B35" s="1897"/>
      <c r="C35" s="2327"/>
      <c r="D35" s="2327"/>
      <c r="E35" s="2327"/>
      <c r="F35" s="2328"/>
    </row>
    <row r="36" spans="1:11" ht="12" customHeight="1" x14ac:dyDescent="0.2">
      <c r="A36" s="2310"/>
      <c r="B36" s="2311"/>
      <c r="C36" s="2311"/>
      <c r="D36" s="2311"/>
      <c r="E36" s="2311"/>
      <c r="F36" s="2312"/>
    </row>
    <row r="37" spans="1:11" ht="12" customHeight="1" x14ac:dyDescent="0.2">
      <c r="A37" s="2310"/>
      <c r="B37" s="2311"/>
      <c r="C37" s="2311"/>
      <c r="D37" s="2311"/>
      <c r="E37" s="2311"/>
      <c r="F37" s="2312"/>
    </row>
    <row r="38" spans="1:11" ht="12" customHeight="1" x14ac:dyDescent="0.2">
      <c r="A38" s="2313"/>
      <c r="B38" s="2314"/>
      <c r="C38" s="2314"/>
      <c r="D38" s="2314"/>
      <c r="E38" s="2314"/>
      <c r="F38" s="2315"/>
    </row>
    <row r="39" spans="1:11" ht="4.5" hidden="1" customHeight="1" x14ac:dyDescent="0.2">
      <c r="A39" s="1898"/>
      <c r="B39" s="1898"/>
      <c r="C39" s="1898"/>
      <c r="D39" s="1898"/>
      <c r="E39" s="1898"/>
      <c r="F39" s="1898"/>
    </row>
    <row r="40" spans="1:11" s="1895" customFormat="1" ht="12" customHeight="1" x14ac:dyDescent="0.25">
      <c r="A40" s="1899" t="s">
        <v>1458</v>
      </c>
      <c r="B40" s="1900"/>
      <c r="C40" s="2316"/>
      <c r="D40" s="2316"/>
      <c r="E40" s="2316"/>
      <c r="F40" s="2317"/>
      <c r="H40" s="1904"/>
      <c r="I40" s="1904"/>
      <c r="J40" s="1904"/>
      <c r="K40" s="1904"/>
    </row>
    <row r="41" spans="1:11" s="1895" customFormat="1" ht="12" customHeight="1" x14ac:dyDescent="0.25">
      <c r="A41" s="2318"/>
      <c r="B41" s="2319"/>
      <c r="C41" s="2319"/>
      <c r="D41" s="2319"/>
      <c r="E41" s="2319"/>
      <c r="F41" s="2320"/>
      <c r="H41" s="1904"/>
      <c r="I41" s="1904"/>
      <c r="J41" s="1904"/>
      <c r="K41" s="1904"/>
    </row>
    <row r="42" spans="1:11" s="1895" customFormat="1" ht="12" customHeight="1" x14ac:dyDescent="0.25">
      <c r="A42" s="2318"/>
      <c r="B42" s="2319"/>
      <c r="C42" s="2319"/>
      <c r="D42" s="2319"/>
      <c r="E42" s="2319"/>
      <c r="F42" s="2320"/>
      <c r="H42" s="1904"/>
      <c r="I42" s="1904"/>
      <c r="J42" s="1904"/>
      <c r="K42" s="1904"/>
    </row>
    <row r="43" spans="1:11" s="1895" customFormat="1" ht="15" x14ac:dyDescent="0.25">
      <c r="A43" s="2307"/>
      <c r="B43" s="2308"/>
      <c r="C43" s="2308"/>
      <c r="D43" s="2308"/>
      <c r="E43" s="2308"/>
      <c r="F43" s="2309"/>
      <c r="H43" s="1904"/>
      <c r="I43" s="1904"/>
      <c r="J43" s="1904"/>
      <c r="K43" s="1904"/>
    </row>
    <row r="44" spans="1:11" s="1895" customFormat="1" ht="12" hidden="1" customHeight="1" x14ac:dyDescent="0.25">
      <c r="A44" s="2307"/>
      <c r="B44" s="2308"/>
      <c r="C44" s="2308"/>
      <c r="D44" s="2308"/>
      <c r="E44" s="2308"/>
      <c r="F44" s="2309"/>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7" colorId="8" zoomScale="110" zoomScaleNormal="110" workbookViewId="0">
      <selection activeCell="H13" sqref="H13"/>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4" t="str">
        <f>COVER!A17</f>
        <v>St George CCSD 258</v>
      </c>
      <c r="J6" s="2335"/>
      <c r="Q6" s="1686"/>
    </row>
    <row r="7" spans="1:17" x14ac:dyDescent="0.2">
      <c r="A7" s="2336" t="s">
        <v>924</v>
      </c>
      <c r="B7" s="2337"/>
      <c r="C7" s="2337"/>
      <c r="D7" s="2337"/>
      <c r="E7" s="2338"/>
      <c r="F7" s="1018"/>
      <c r="G7" s="1010"/>
      <c r="H7" s="1017" t="s">
        <v>390</v>
      </c>
      <c r="I7" s="2339">
        <f>COVER!A13</f>
        <v>32046258004</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223171</v>
      </c>
      <c r="F12" s="1040"/>
      <c r="G12" s="1834">
        <f t="shared" ref="G12:G18" si="0">SUM(E12:F12)</f>
        <v>223171</v>
      </c>
      <c r="H12" s="1041">
        <v>240108</v>
      </c>
      <c r="I12" s="1040"/>
      <c r="J12" s="1834">
        <f t="shared" ref="J12:J18" si="1">SUM(H12:I12)</f>
        <v>240108</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223171</v>
      </c>
      <c r="F19" s="1836">
        <f t="shared" si="2"/>
        <v>0</v>
      </c>
      <c r="G19" s="1836">
        <f t="shared" si="2"/>
        <v>223171</v>
      </c>
      <c r="H19" s="1836">
        <f t="shared" si="2"/>
        <v>240108</v>
      </c>
      <c r="I19" s="1836">
        <f t="shared" si="2"/>
        <v>0</v>
      </c>
      <c r="J19" s="1836">
        <f t="shared" si="2"/>
        <v>240108</v>
      </c>
    </row>
    <row r="20" spans="1:10" ht="13.5" thickTop="1" x14ac:dyDescent="0.2">
      <c r="A20" s="1036">
        <v>9</v>
      </c>
      <c r="B20" s="2346" t="s">
        <v>1703</v>
      </c>
      <c r="C20" s="2346"/>
      <c r="D20" s="2347"/>
      <c r="E20" s="1047"/>
      <c r="F20" s="1047"/>
      <c r="G20" s="1047"/>
      <c r="H20" s="1047"/>
      <c r="I20" s="1047"/>
      <c r="J20" s="1837">
        <f>IF(AND(G19&gt;0,J19&gt;0),(((J19-G19)/G19)),"Enter Budget Data")</f>
        <v>7.5892477069153252E-2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1944</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2" sqref="A2"/>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276</v>
      </c>
    </row>
    <row r="3" spans="1:1" x14ac:dyDescent="0.2">
      <c r="A3" s="329" t="s">
        <v>277</v>
      </c>
    </row>
    <row r="5" spans="1:1" x14ac:dyDescent="0.2">
      <c r="A5" s="1069">
        <v>1</v>
      </c>
    </row>
    <row r="6" spans="1:1" x14ac:dyDescent="0.2">
      <c r="A6" s="1069">
        <v>2</v>
      </c>
    </row>
    <row r="7" spans="1:1" x14ac:dyDescent="0.2">
      <c r="A7" s="1069">
        <v>3</v>
      </c>
    </row>
    <row r="8" spans="1:1" x14ac:dyDescent="0.2">
      <c r="A8" s="1069">
        <v>4</v>
      </c>
    </row>
    <row r="9" spans="1:1" x14ac:dyDescent="0.2">
      <c r="A9" s="1070"/>
    </row>
    <row r="10" spans="1:1" x14ac:dyDescent="0.2">
      <c r="A10" s="1070"/>
    </row>
    <row r="11" spans="1:1" x14ac:dyDescent="0.2">
      <c r="A11" s="1070"/>
    </row>
    <row r="12" spans="1:1" x14ac:dyDescent="0.2">
      <c r="A12" s="1070"/>
    </row>
    <row r="13" spans="1:1" x14ac:dyDescent="0.2">
      <c r="A13" s="1070"/>
    </row>
    <row r="14" spans="1:1" x14ac:dyDescent="0.2">
      <c r="A14" s="1070"/>
    </row>
    <row r="15" spans="1:1" x14ac:dyDescent="0.2">
      <c r="A15" s="1070"/>
    </row>
    <row r="16" spans="1:1"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St George CCSD 258</v>
      </c>
    </row>
    <row r="65" spans="2:2" x14ac:dyDescent="0.2">
      <c r="B65" s="1071">
        <f>COVER!A13</f>
        <v>32046258004</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55"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E29" sqref="E29"/>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2056</v>
      </c>
      <c r="B4" s="2374"/>
      <c r="C4" s="2374"/>
      <c r="D4" s="2374"/>
      <c r="E4" s="2374"/>
      <c r="F4" s="2375"/>
      <c r="G4" s="1075"/>
      <c r="H4" s="1075"/>
    </row>
    <row r="5" spans="1:8" ht="14.25" customHeight="1" x14ac:dyDescent="0.2">
      <c r="A5" s="2376" t="s">
        <v>2057</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3271767</v>
      </c>
      <c r="C8" s="1838">
        <f>'Acct Summary 7-8'!D8</f>
        <v>603039</v>
      </c>
      <c r="D8" s="1838">
        <f>'Acct Summary 7-8'!F8</f>
        <v>226993</v>
      </c>
      <c r="E8" s="1838">
        <f>'Acct Summary 7-8'!I8</f>
        <v>747</v>
      </c>
      <c r="F8" s="1838">
        <f>SUM(B8:E8)</f>
        <v>4102546</v>
      </c>
    </row>
    <row r="9" spans="1:8" s="1080" customFormat="1" ht="14.25" customHeight="1" thickBot="1" x14ac:dyDescent="0.25">
      <c r="A9" s="1079" t="s">
        <v>1436</v>
      </c>
      <c r="B9" s="1839">
        <f>'Acct Summary 7-8'!C17</f>
        <v>2993045</v>
      </c>
      <c r="C9" s="1839">
        <f>'Acct Summary 7-8'!D17</f>
        <v>688980</v>
      </c>
      <c r="D9" s="1839">
        <f>'Acct Summary 7-8'!F17</f>
        <v>238291</v>
      </c>
      <c r="E9" s="1838"/>
      <c r="F9" s="1838">
        <f>SUM(B9:E9)</f>
        <v>3920316</v>
      </c>
    </row>
    <row r="10" spans="1:8" s="1080" customFormat="1" ht="14.25" thickTop="1" thickBot="1" x14ac:dyDescent="0.25">
      <c r="A10" s="1081" t="s">
        <v>1437</v>
      </c>
      <c r="B10" s="1840">
        <f>(B8-B9)</f>
        <v>278722</v>
      </c>
      <c r="C10" s="1840">
        <f>(C8-C9)</f>
        <v>-85941</v>
      </c>
      <c r="D10" s="1840">
        <f>(D8-D9)</f>
        <v>-11298</v>
      </c>
      <c r="E10" s="1839">
        <f>(E8-E9)</f>
        <v>747</v>
      </c>
      <c r="F10" s="1841">
        <f>SUM(F8-F9)</f>
        <v>182230</v>
      </c>
    </row>
    <row r="11" spans="1:8" s="1080" customFormat="1" ht="14.25" thickTop="1" thickBot="1" x14ac:dyDescent="0.25">
      <c r="A11" s="1082" t="s">
        <v>1785</v>
      </c>
      <c r="B11" s="1842">
        <f>'Acct Summary 7-8'!C81</f>
        <v>1939971</v>
      </c>
      <c r="C11" s="1842">
        <f>'Acct Summary 7-8'!D81</f>
        <v>272044</v>
      </c>
      <c r="D11" s="1842">
        <f>'Acct Summary 7-8'!F81</f>
        <v>155193</v>
      </c>
      <c r="E11" s="1842">
        <f>'Acct Summary 7-8'!I81</f>
        <v>42669</v>
      </c>
      <c r="F11" s="1843">
        <f>SUM(B11:E11)</f>
        <v>2409877</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2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str">
        <f>IF('Aud Quest 2'!B53="X",IF('Aud Quest 2'!F53&gt;"00/00/00 ","Enter Effective Date","ok"))</f>
        <v>ok</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32046258004</v>
      </c>
    </row>
    <row r="3" spans="1:2" x14ac:dyDescent="0.2">
      <c r="A3" t="s">
        <v>1013</v>
      </c>
      <c r="B3" s="138" t="str">
        <f>COVER!A15</f>
        <v>Kankakee</v>
      </c>
    </row>
    <row r="4" spans="1:2" x14ac:dyDescent="0.2">
      <c r="A4" t="s">
        <v>1064</v>
      </c>
      <c r="B4" s="138" t="str">
        <f>COVER!A17</f>
        <v>St George CCSD 258</v>
      </c>
    </row>
    <row r="5" spans="1:2" x14ac:dyDescent="0.2">
      <c r="A5" t="s">
        <v>728</v>
      </c>
      <c r="B5" s="138" t="str">
        <f>COVER!A38</f>
        <v>Helen Boehrnsen</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066-003660</v>
      </c>
    </row>
    <row r="16" spans="1:2" x14ac:dyDescent="0.2">
      <c r="A16" t="s">
        <v>442</v>
      </c>
      <c r="B16" s="138" t="str">
        <f>COVER!T13</f>
        <v>Burke Montague &amp; Associates LLC</v>
      </c>
    </row>
    <row r="17" spans="1:2" x14ac:dyDescent="0.2">
      <c r="A17" t="s">
        <v>939</v>
      </c>
      <c r="B17" s="138" t="str">
        <f>COVER!T15</f>
        <v>Kathleen Wilson</v>
      </c>
    </row>
    <row r="18" spans="1:2" x14ac:dyDescent="0.2">
      <c r="A18" t="s">
        <v>1212</v>
      </c>
      <c r="B18" s="138" t="str">
        <f>COVER!T17</f>
        <v>253 W Broadway</v>
      </c>
    </row>
    <row r="19" spans="1:2" x14ac:dyDescent="0.2">
      <c r="A19" t="s">
        <v>941</v>
      </c>
      <c r="B19" s="138" t="str">
        <f>COVER!T25</f>
        <v>kwilson@mybmacpa.com</v>
      </c>
    </row>
    <row r="20" spans="1:2" x14ac:dyDescent="0.2">
      <c r="A20" t="s">
        <v>942</v>
      </c>
      <c r="B20" s="138" t="str">
        <f>COVER!T19</f>
        <v>Bradley</v>
      </c>
    </row>
    <row r="21" spans="1:2" x14ac:dyDescent="0.2">
      <c r="A21" t="s">
        <v>500</v>
      </c>
      <c r="B21" s="138" t="str">
        <f>COVER!X19</f>
        <v>IL</v>
      </c>
    </row>
    <row r="22" spans="1:2" x14ac:dyDescent="0.2">
      <c r="A22" t="s">
        <v>943</v>
      </c>
      <c r="B22" s="138">
        <f>COVER!Z19</f>
        <v>60915</v>
      </c>
    </row>
    <row r="23" spans="1:2" x14ac:dyDescent="0.2">
      <c r="A23" t="s">
        <v>1214</v>
      </c>
      <c r="B23" s="138" t="str">
        <f>COVER!T21</f>
        <v>815-933-5641</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Yes</v>
      </c>
    </row>
    <row r="50" spans="1:4" x14ac:dyDescent="0.2">
      <c r="A50" s="1" t="s">
        <v>1559</v>
      </c>
      <c r="B50" s="150">
        <f>'Aud Quest 2'!H53</f>
        <v>35735</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1939971</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1939971</v>
      </c>
      <c r="D92" s="2" t="str">
        <f t="shared" si="0"/>
        <v>Error?</v>
      </c>
    </row>
    <row r="93" spans="1:4" x14ac:dyDescent="0.2">
      <c r="A93" s="5">
        <v>32</v>
      </c>
      <c r="B93" s="138">
        <f>'Assets-Liab 5-6'!C41</f>
        <v>1939971</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272044</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272044</v>
      </c>
      <c r="D123" s="2" t="str">
        <f t="shared" si="0"/>
        <v>Error?</v>
      </c>
    </row>
    <row r="124" spans="1:4" x14ac:dyDescent="0.2">
      <c r="A124" s="5">
        <v>63</v>
      </c>
      <c r="B124" s="138">
        <f>'Assets-Liab 5-6'!D41</f>
        <v>272044</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73</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73</v>
      </c>
      <c r="D140" s="2" t="str">
        <f t="shared" si="1"/>
        <v>Error?</v>
      </c>
    </row>
    <row r="141" spans="1:4" x14ac:dyDescent="0.2">
      <c r="A141" s="5">
        <v>80</v>
      </c>
      <c r="B141" s="138">
        <f>'Assets-Liab 5-6'!E41</f>
        <v>73</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155193</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155193</v>
      </c>
      <c r="D170" s="2" t="str">
        <f t="shared" si="1"/>
        <v>Error?</v>
      </c>
    </row>
    <row r="171" spans="1:4" x14ac:dyDescent="0.2">
      <c r="A171" s="5">
        <v>110</v>
      </c>
      <c r="B171" s="138">
        <f>'Assets-Liab 5-6'!F41</f>
        <v>155193</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38262</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38262</v>
      </c>
      <c r="D189" s="2" t="str">
        <f t="shared" si="1"/>
        <v>Error?</v>
      </c>
    </row>
    <row r="190" spans="1:4" x14ac:dyDescent="0.2">
      <c r="A190" s="5">
        <v>129</v>
      </c>
      <c r="B190" s="138">
        <f>'Assets-Liab 5-6'!G41</f>
        <v>38262</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217556</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217556</v>
      </c>
      <c r="D212" s="2" t="str">
        <f t="shared" si="2"/>
        <v>Error?</v>
      </c>
    </row>
    <row r="213" spans="1:4" x14ac:dyDescent="0.2">
      <c r="A213" s="12">
        <v>152</v>
      </c>
      <c r="B213" s="138">
        <f>'Assets-Liab 5-6'!H41</f>
        <v>217556</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671408</v>
      </c>
      <c r="D273" s="2" t="str">
        <f t="shared" si="3"/>
        <v>Error?</v>
      </c>
    </row>
    <row r="274" spans="1:4" x14ac:dyDescent="0.2">
      <c r="A274" s="5">
        <v>213</v>
      </c>
      <c r="B274" s="138">
        <f>'Assets-Liab 5-6'!M17</f>
        <v>5781791</v>
      </c>
      <c r="D274" s="2" t="str">
        <f t="shared" si="3"/>
        <v>Error?</v>
      </c>
    </row>
    <row r="275" spans="1:4" x14ac:dyDescent="0.2">
      <c r="A275" s="5">
        <v>214</v>
      </c>
      <c r="B275" s="138">
        <f>'Assets-Liab 5-6'!M18</f>
        <v>241043</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6694242</v>
      </c>
      <c r="C279" s="2" t="s">
        <v>594</v>
      </c>
      <c r="D279" s="2" t="str">
        <f t="shared" si="3"/>
        <v>Error?</v>
      </c>
    </row>
    <row r="280" spans="1:4" x14ac:dyDescent="0.2">
      <c r="A280" s="5">
        <v>219</v>
      </c>
      <c r="B280" s="138">
        <f>'Assets-Liab 5-6'!M40</f>
        <v>6694242</v>
      </c>
      <c r="D280" s="2" t="str">
        <f t="shared" si="3"/>
        <v>Error?</v>
      </c>
    </row>
    <row r="281" spans="1:4" x14ac:dyDescent="0.2">
      <c r="A281" s="5">
        <v>220</v>
      </c>
      <c r="B281" s="138">
        <f>'Assets-Liab 5-6'!M41</f>
        <v>6694242</v>
      </c>
      <c r="C281" s="2" t="s">
        <v>594</v>
      </c>
      <c r="D281" s="2" t="str">
        <f t="shared" si="3"/>
        <v>Error?</v>
      </c>
    </row>
    <row r="282" spans="1:4" x14ac:dyDescent="0.2">
      <c r="A282" s="5">
        <v>221</v>
      </c>
      <c r="B282" s="138">
        <f>'Assets-Liab 5-6'!N21</f>
        <v>73</v>
      </c>
      <c r="D282" s="2" t="str">
        <f t="shared" si="3"/>
        <v>Error?</v>
      </c>
    </row>
    <row r="283" spans="1:4" x14ac:dyDescent="0.2">
      <c r="A283" s="5">
        <v>222</v>
      </c>
      <c r="B283" s="138">
        <f>'Assets-Liab 5-6'!N22</f>
        <v>2319927</v>
      </c>
      <c r="D283" s="2" t="str">
        <f t="shared" si="3"/>
        <v>Error?</v>
      </c>
    </row>
    <row r="284" spans="1:4" x14ac:dyDescent="0.2">
      <c r="A284" s="5">
        <v>223</v>
      </c>
      <c r="B284" s="138">
        <f>'Assets-Liab 5-6'!N23</f>
        <v>2320000</v>
      </c>
      <c r="C284" s="2" t="s">
        <v>594</v>
      </c>
      <c r="D284" s="2" t="str">
        <f t="shared" si="3"/>
        <v>Error?</v>
      </c>
    </row>
    <row r="285" spans="1:4" x14ac:dyDescent="0.2">
      <c r="A285" s="5">
        <v>224</v>
      </c>
      <c r="B285" s="138">
        <f>'Assets-Liab 5-6'!N36</f>
        <v>2320000</v>
      </c>
      <c r="D285" s="2" t="str">
        <f t="shared" si="3"/>
        <v>Error?</v>
      </c>
    </row>
    <row r="286" spans="1:4" x14ac:dyDescent="0.2">
      <c r="A286" s="10">
        <v>225</v>
      </c>
      <c r="D286" s="2" t="str">
        <f t="shared" si="3"/>
        <v>OK</v>
      </c>
    </row>
    <row r="287" spans="1:4" x14ac:dyDescent="0.2">
      <c r="A287" s="5">
        <v>226</v>
      </c>
      <c r="B287" s="138">
        <f>'Assets-Liab 5-6'!N37</f>
        <v>2320000</v>
      </c>
      <c r="C287" s="2" t="s">
        <v>594</v>
      </c>
      <c r="D287" s="2" t="str">
        <f t="shared" si="3"/>
        <v>Error?</v>
      </c>
    </row>
    <row r="288" spans="1:4" x14ac:dyDescent="0.2">
      <c r="A288" s="5">
        <v>227</v>
      </c>
      <c r="B288" s="138">
        <f>'Assets-Liab 5-6'!N41</f>
        <v>2320000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894735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42644</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22567</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1332476</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43196</v>
      </c>
      <c r="D722" s="2" t="str">
        <f t="shared" si="10"/>
        <v>Error?</v>
      </c>
    </row>
    <row r="723" spans="1:4" x14ac:dyDescent="0.2">
      <c r="A723" s="5">
        <v>662</v>
      </c>
      <c r="B723" s="138">
        <f>'Expenditures 15-22'!C38</f>
        <v>140</v>
      </c>
      <c r="D723" s="2" t="str">
        <f t="shared" si="10"/>
        <v>Error?</v>
      </c>
    </row>
    <row r="724" spans="1:4" x14ac:dyDescent="0.2">
      <c r="A724" s="5">
        <v>663</v>
      </c>
      <c r="B724" s="138">
        <f>'Expenditures 15-22'!C39</f>
        <v>20250</v>
      </c>
      <c r="D724" s="2" t="str">
        <f t="shared" si="10"/>
        <v>Error?</v>
      </c>
    </row>
    <row r="725" spans="1:4" x14ac:dyDescent="0.2">
      <c r="A725" s="5">
        <v>664</v>
      </c>
      <c r="B725" s="138">
        <f>'Expenditures 15-22'!C40</f>
        <v>61895</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125481</v>
      </c>
      <c r="C727" s="2" t="s">
        <v>594</v>
      </c>
      <c r="D727" s="2" t="str">
        <f t="shared" si="10"/>
        <v>Error?</v>
      </c>
    </row>
    <row r="728" spans="1:4" x14ac:dyDescent="0.2">
      <c r="A728" s="5">
        <v>667</v>
      </c>
      <c r="B728" s="138">
        <f>'Expenditures 15-22'!C44</f>
        <v>1730</v>
      </c>
      <c r="D728" s="2" t="str">
        <f t="shared" si="10"/>
        <v>Error?</v>
      </c>
    </row>
    <row r="729" spans="1:4" x14ac:dyDescent="0.2">
      <c r="A729" s="5">
        <v>668</v>
      </c>
      <c r="B729" s="138">
        <f>'Expenditures 15-22'!C45</f>
        <v>355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2085</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182175</v>
      </c>
      <c r="D733" s="2" t="str">
        <f t="shared" si="10"/>
        <v>Error?</v>
      </c>
    </row>
    <row r="734" spans="1:4" x14ac:dyDescent="0.2">
      <c r="A734" s="5">
        <v>673</v>
      </c>
      <c r="B734" s="138">
        <f>'Expenditures 15-22'!C53</f>
        <v>182175</v>
      </c>
      <c r="C734" s="2" t="s">
        <v>594</v>
      </c>
      <c r="D734" s="2" t="str">
        <f t="shared" si="10"/>
        <v>Error?</v>
      </c>
    </row>
    <row r="735" spans="1:4" x14ac:dyDescent="0.2">
      <c r="A735" s="5">
        <v>674</v>
      </c>
      <c r="B735" s="138">
        <f>'Expenditures 15-22'!C55</f>
        <v>203707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203707</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67301</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50358</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117659</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4718</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4718</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635825</v>
      </c>
      <c r="C755" s="2" t="s">
        <v>594</v>
      </c>
      <c r="D755" s="2" t="str">
        <f t="shared" si="10"/>
        <v>Error?</v>
      </c>
    </row>
    <row r="756" spans="1:4" x14ac:dyDescent="0.2">
      <c r="A756" s="5">
        <v>695</v>
      </c>
      <c r="B756" s="138">
        <f>'Expenditures 15-22'!C75</f>
        <v>772</v>
      </c>
      <c r="D756" s="2" t="str">
        <f t="shared" si="10"/>
        <v>Error?</v>
      </c>
    </row>
    <row r="757" spans="1:4" x14ac:dyDescent="0.2">
      <c r="A757" s="5">
        <v>696</v>
      </c>
      <c r="B757" s="138">
        <f>'Expenditures 15-22'!C114</f>
        <v>1969073</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213397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11281</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984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305130</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11158</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7572</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18730</v>
      </c>
      <c r="C785" s="2" t="s">
        <v>594</v>
      </c>
      <c r="D785" s="2" t="str">
        <f t="shared" si="11"/>
        <v>Error?</v>
      </c>
    </row>
    <row r="786" spans="1:4" x14ac:dyDescent="0.2">
      <c r="A786" s="5">
        <v>725</v>
      </c>
      <c r="B786" s="138">
        <f>'Expenditures 15-22'!D44</f>
        <v>36</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36</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32359</v>
      </c>
      <c r="D791" s="2" t="str">
        <f t="shared" si="11"/>
        <v>Error?</v>
      </c>
    </row>
    <row r="792" spans="1:4" x14ac:dyDescent="0.2">
      <c r="A792" s="5">
        <v>731</v>
      </c>
      <c r="B792" s="138">
        <f>'Expenditures 15-22'!D53</f>
        <v>32359</v>
      </c>
      <c r="C792" s="2" t="s">
        <v>594</v>
      </c>
      <c r="D792" s="2" t="str">
        <f t="shared" si="11"/>
        <v>Error?</v>
      </c>
    </row>
    <row r="793" spans="1:4" x14ac:dyDescent="0.2">
      <c r="A793" s="5">
        <v>732</v>
      </c>
      <c r="B793" s="138">
        <f>'Expenditures 15-22'!D55</f>
        <v>40672</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40672</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6359</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6778</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13137</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104934</v>
      </c>
      <c r="C813" s="2" t="s">
        <v>594</v>
      </c>
      <c r="D813" s="2" t="str">
        <f t="shared" si="11"/>
        <v>Error?</v>
      </c>
    </row>
    <row r="814" spans="1:4" x14ac:dyDescent="0.2">
      <c r="A814" s="5">
        <v>753</v>
      </c>
      <c r="B814" s="138">
        <f>'Expenditures 15-22'!D75</f>
        <v>176</v>
      </c>
      <c r="D814" s="2" t="str">
        <f t="shared" si="11"/>
        <v>Error?</v>
      </c>
    </row>
    <row r="815" spans="1:4" x14ac:dyDescent="0.2">
      <c r="A815" s="5">
        <v>754</v>
      </c>
      <c r="B815" s="138">
        <f>'Expenditures 15-22'!D114</f>
        <v>410240</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3394</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9331</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28182</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109</v>
      </c>
      <c r="D839" s="2" t="str">
        <f t="shared" si="12"/>
        <v>Error?</v>
      </c>
    </row>
    <row r="840" spans="1:4" x14ac:dyDescent="0.2">
      <c r="A840" s="5">
        <v>779</v>
      </c>
      <c r="B840" s="138">
        <f>'Expenditures 15-22'!E39</f>
        <v>5051</v>
      </c>
      <c r="D840" s="2" t="str">
        <f t="shared" si="12"/>
        <v>Error?</v>
      </c>
    </row>
    <row r="841" spans="1:4" x14ac:dyDescent="0.2">
      <c r="A841" s="5">
        <v>780</v>
      </c>
      <c r="B841" s="138">
        <f>'Expenditures 15-22'!E40</f>
        <v>2383</v>
      </c>
      <c r="D841" s="2" t="str">
        <f t="shared" si="12"/>
        <v>Error?</v>
      </c>
    </row>
    <row r="842" spans="1:4" x14ac:dyDescent="0.2">
      <c r="A842" s="5">
        <v>781</v>
      </c>
      <c r="B842" s="138">
        <f>'Expenditures 15-22'!E41</f>
        <v>27597</v>
      </c>
      <c r="D842" s="2" t="str">
        <f t="shared" si="12"/>
        <v>Error?</v>
      </c>
    </row>
    <row r="843" spans="1:4" x14ac:dyDescent="0.2">
      <c r="A843" s="5">
        <v>782</v>
      </c>
      <c r="B843" s="138">
        <f>'Expenditures 15-22'!E42</f>
        <v>35140</v>
      </c>
      <c r="C843" s="2" t="s">
        <v>594</v>
      </c>
      <c r="D843" s="2" t="str">
        <f t="shared" si="12"/>
        <v>Error?</v>
      </c>
    </row>
    <row r="844" spans="1:4" x14ac:dyDescent="0.2">
      <c r="A844" s="5">
        <v>783</v>
      </c>
      <c r="B844" s="138">
        <f>'Expenditures 15-22'!E44</f>
        <v>12142</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12142</v>
      </c>
      <c r="C847" s="2" t="s">
        <v>594</v>
      </c>
      <c r="D847" s="2" t="str">
        <f t="shared" si="12"/>
        <v>Error?</v>
      </c>
    </row>
    <row r="848" spans="1:4" x14ac:dyDescent="0.2">
      <c r="A848" s="5">
        <v>787</v>
      </c>
      <c r="B848" s="138">
        <f>'Expenditures 15-22'!E49</f>
        <v>93890</v>
      </c>
      <c r="D848" s="2" t="str">
        <f t="shared" si="12"/>
        <v>Error?</v>
      </c>
    </row>
    <row r="849" spans="1:4" x14ac:dyDescent="0.2">
      <c r="A849" s="5">
        <v>788</v>
      </c>
      <c r="B849" s="138">
        <f>'Expenditures 15-22'!E50</f>
        <v>4004</v>
      </c>
      <c r="D849" s="2" t="str">
        <f t="shared" si="12"/>
        <v>Error?</v>
      </c>
    </row>
    <row r="850" spans="1:4" x14ac:dyDescent="0.2">
      <c r="A850" s="5">
        <v>789</v>
      </c>
      <c r="B850" s="138">
        <f>'Expenditures 15-22'!E53</f>
        <v>121527</v>
      </c>
      <c r="C850" s="2" t="s">
        <v>594</v>
      </c>
      <c r="D850" s="2" t="str">
        <f t="shared" si="12"/>
        <v>Error?</v>
      </c>
    </row>
    <row r="851" spans="1:4" x14ac:dyDescent="0.2">
      <c r="A851" s="5">
        <v>790</v>
      </c>
      <c r="B851" s="138">
        <f>'Expenditures 15-22'!E55</f>
        <v>1229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1229</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13874</v>
      </c>
      <c r="D855" s="2" t="str">
        <f t="shared" si="12"/>
        <v>Error?</v>
      </c>
    </row>
    <row r="856" spans="1:4" x14ac:dyDescent="0.2">
      <c r="A856" s="5">
        <v>795</v>
      </c>
      <c r="B856" s="138">
        <f>'Expenditures 15-22'!E61</f>
        <v>23991</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1351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39216</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6</v>
      </c>
      <c r="D864" s="2" t="str">
        <f t="shared" si="12"/>
        <v>Error?</v>
      </c>
    </row>
    <row r="865" spans="1:4" x14ac:dyDescent="0.2">
      <c r="A865" s="5">
        <v>804</v>
      </c>
      <c r="B865" s="138">
        <f>'Expenditures 15-22'!E70</f>
        <v>12717</v>
      </c>
      <c r="D865" s="2" t="str">
        <f t="shared" si="12"/>
        <v>Error?</v>
      </c>
    </row>
    <row r="866" spans="1:4" x14ac:dyDescent="0.2">
      <c r="A866" s="10">
        <v>805</v>
      </c>
      <c r="D866" s="2" t="str">
        <f t="shared" si="12"/>
        <v>OK</v>
      </c>
    </row>
    <row r="867" spans="1:4" x14ac:dyDescent="0.2">
      <c r="A867" s="5">
        <v>806</v>
      </c>
      <c r="B867" s="138">
        <f>'Expenditures 15-22'!E71</f>
        <v>74399</v>
      </c>
      <c r="D867" s="2" t="str">
        <f t="shared" si="12"/>
        <v>Error?</v>
      </c>
    </row>
    <row r="868" spans="1:4" x14ac:dyDescent="0.2">
      <c r="A868" s="10">
        <v>807</v>
      </c>
      <c r="D868" s="2" t="str">
        <f t="shared" si="12"/>
        <v>OK</v>
      </c>
    </row>
    <row r="869" spans="1:4" x14ac:dyDescent="0.2">
      <c r="A869" s="5">
        <v>808</v>
      </c>
      <c r="B869" s="138">
        <f>'Expenditures 15-22'!E72</f>
        <v>87122</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296376</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375942</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46662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906</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5753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67295</v>
      </c>
      <c r="C894" s="2" t="s">
        <v>594</v>
      </c>
      <c r="D894" s="2" t="str">
        <f t="shared" si="12"/>
        <v>Error?</v>
      </c>
    </row>
    <row r="895" spans="1:4" x14ac:dyDescent="0.2">
      <c r="A895" s="5">
        <v>834</v>
      </c>
      <c r="B895" s="138">
        <f>'Expenditures 15-22'!F36</f>
        <v>926</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847</v>
      </c>
      <c r="D897" s="2" t="str">
        <f t="shared" si="13"/>
        <v>Error?</v>
      </c>
    </row>
    <row r="898" spans="1:4" x14ac:dyDescent="0.2">
      <c r="A898" s="5">
        <v>837</v>
      </c>
      <c r="B898" s="138">
        <f>'Expenditures 15-22'!F39</f>
        <v>1015</v>
      </c>
      <c r="D898" s="2" t="str">
        <f t="shared" si="13"/>
        <v>Error?</v>
      </c>
    </row>
    <row r="899" spans="1:4" x14ac:dyDescent="0.2">
      <c r="A899" s="5">
        <v>838</v>
      </c>
      <c r="B899" s="138">
        <f>'Expenditures 15-22'!F40</f>
        <v>98</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2886</v>
      </c>
      <c r="C901" s="2" t="s">
        <v>594</v>
      </c>
      <c r="D901" s="2" t="str">
        <f t="shared" si="13"/>
        <v>Error?</v>
      </c>
    </row>
    <row r="902" spans="1:4" x14ac:dyDescent="0.2">
      <c r="A902" s="5">
        <v>841</v>
      </c>
      <c r="B902" s="138">
        <f>'Expenditures 15-22'!F44</f>
        <v>2603</v>
      </c>
      <c r="D902" s="2" t="str">
        <f t="shared" si="13"/>
        <v>Error?</v>
      </c>
    </row>
    <row r="903" spans="1:4" x14ac:dyDescent="0.2">
      <c r="A903" s="5">
        <v>842</v>
      </c>
      <c r="B903" s="138">
        <f>'Expenditures 15-22'!F45</f>
        <v>1043</v>
      </c>
      <c r="D903" s="2" t="str">
        <f t="shared" si="13"/>
        <v>Error?</v>
      </c>
    </row>
    <row r="904" spans="1:4" x14ac:dyDescent="0.2">
      <c r="A904" s="5">
        <v>843</v>
      </c>
      <c r="B904" s="138">
        <f>'Expenditures 15-22'!F46</f>
        <v>9360</v>
      </c>
      <c r="D904" s="2" t="str">
        <f t="shared" si="13"/>
        <v>Error?</v>
      </c>
    </row>
    <row r="905" spans="1:4" x14ac:dyDescent="0.2">
      <c r="A905" s="5">
        <v>844</v>
      </c>
      <c r="B905" s="138">
        <f>'Expenditures 15-22'!F47</f>
        <v>13006</v>
      </c>
      <c r="C905" s="2" t="s">
        <v>594</v>
      </c>
      <c r="D905" s="2" t="str">
        <f t="shared" si="13"/>
        <v>Error?</v>
      </c>
    </row>
    <row r="906" spans="1:4" x14ac:dyDescent="0.2">
      <c r="A906" s="5">
        <v>845</v>
      </c>
      <c r="B906" s="138">
        <f>'Expenditures 15-22'!F49</f>
        <v>311</v>
      </c>
      <c r="D906" s="2" t="str">
        <f t="shared" si="13"/>
        <v>Error?</v>
      </c>
    </row>
    <row r="907" spans="1:4" x14ac:dyDescent="0.2">
      <c r="A907" s="5">
        <v>846</v>
      </c>
      <c r="B907" s="138">
        <f>'Expenditures 15-22'!F50</f>
        <v>952</v>
      </c>
      <c r="D907" s="2" t="str">
        <f t="shared" si="13"/>
        <v>Error?</v>
      </c>
    </row>
    <row r="908" spans="1:4" x14ac:dyDescent="0.2">
      <c r="A908" s="5">
        <v>847</v>
      </c>
      <c r="B908" s="138">
        <f>'Expenditures 15-22'!F53</f>
        <v>1263</v>
      </c>
      <c r="C908" s="2" t="s">
        <v>594</v>
      </c>
      <c r="D908" s="2" t="str">
        <f t="shared" si="13"/>
        <v>Error?</v>
      </c>
    </row>
    <row r="909" spans="1:4" x14ac:dyDescent="0.2">
      <c r="A909" s="5">
        <v>848</v>
      </c>
      <c r="B909" s="138">
        <f>'Expenditures 15-22'!F55</f>
        <v>3808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3808</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5294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61591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66885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917</v>
      </c>
      <c r="D922" s="2" t="str">
        <f t="shared" si="13"/>
        <v>Error?</v>
      </c>
    </row>
    <row r="923" spans="1:4" x14ac:dyDescent="0.2">
      <c r="A923" s="5">
        <v>862</v>
      </c>
      <c r="B923" s="138">
        <f>'Expenditures 15-22'!F70</f>
        <v>3937</v>
      </c>
      <c r="D923" s="2" t="str">
        <f t="shared" si="13"/>
        <v>Error?</v>
      </c>
    </row>
    <row r="924" spans="1:4" x14ac:dyDescent="0.2">
      <c r="A924" s="10">
        <v>863</v>
      </c>
      <c r="D924" s="2" t="str">
        <f t="shared" si="13"/>
        <v>OK</v>
      </c>
    </row>
    <row r="925" spans="1:4" x14ac:dyDescent="0.2">
      <c r="A925" s="5">
        <v>864</v>
      </c>
      <c r="B925" s="138">
        <f>'Expenditures 15-22'!F71</f>
        <v>7423</v>
      </c>
      <c r="D925" s="2" t="str">
        <f t="shared" si="13"/>
        <v>Error?</v>
      </c>
    </row>
    <row r="926" spans="1:4" x14ac:dyDescent="0.2">
      <c r="A926" s="10">
        <v>865</v>
      </c>
      <c r="D926" s="2" t="str">
        <f t="shared" si="13"/>
        <v>OK</v>
      </c>
    </row>
    <row r="927" spans="1:4" x14ac:dyDescent="0.2">
      <c r="A927" s="5">
        <v>866</v>
      </c>
      <c r="B927" s="138">
        <f>'Expenditures 15-22'!F72</f>
        <v>12277</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100125</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167420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40433</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1653</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46414</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1118</v>
      </c>
      <c r="D965" s="2" t="str">
        <f t="shared" si="14"/>
        <v>Error?</v>
      </c>
    </row>
    <row r="966" spans="1:4" x14ac:dyDescent="0.2">
      <c r="A966" s="5">
        <v>905</v>
      </c>
      <c r="B966" s="138">
        <f>'Expenditures 15-22'!G53</f>
        <v>1118</v>
      </c>
      <c r="C966" s="2" t="s">
        <v>594</v>
      </c>
      <c r="D966" s="2" t="str">
        <f t="shared" si="14"/>
        <v>Error?</v>
      </c>
    </row>
    <row r="967" spans="1:4" x14ac:dyDescent="0.2">
      <c r="A967" s="5">
        <v>906</v>
      </c>
      <c r="B967" s="138">
        <f>'Expenditures 15-22'!G55</f>
        <v>713</v>
      </c>
      <c r="D967" s="2" t="str">
        <f t="shared" si="14"/>
        <v>Error?</v>
      </c>
    </row>
    <row r="968" spans="1:4" x14ac:dyDescent="0.2">
      <c r="A968" s="5">
        <v>907</v>
      </c>
      <c r="B968" s="138">
        <f>'Expenditures 15-22'!G56</f>
        <v>0</v>
      </c>
      <c r="D968" s="2" t="str">
        <f t="shared" si="14"/>
        <v>Error?</v>
      </c>
    </row>
    <row r="969" spans="1:4" x14ac:dyDescent="0.2">
      <c r="A969" s="5">
        <v>908</v>
      </c>
      <c r="B969" s="138">
        <f>'Expenditures 15-22'!G57</f>
        <v>713</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169</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169</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2000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48414</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123</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3422</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6359</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80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80</v>
      </c>
      <c r="C1017" s="2" t="s">
        <v>594</v>
      </c>
      <c r="D1017" s="2" t="str">
        <f t="shared" si="14"/>
        <v>Error?</v>
      </c>
    </row>
    <row r="1018" spans="1:4" x14ac:dyDescent="0.2">
      <c r="A1018" s="5">
        <v>957</v>
      </c>
      <c r="B1018" s="138">
        <f>'Expenditures 15-22'!H44</f>
        <v>1084</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1084</v>
      </c>
      <c r="C1021" s="2" t="s">
        <v>594</v>
      </c>
      <c r="D1021" s="2" t="str">
        <f t="shared" si="14"/>
        <v>Error?</v>
      </c>
    </row>
    <row r="1022" spans="1:4" x14ac:dyDescent="0.2">
      <c r="A1022" s="5">
        <v>961</v>
      </c>
      <c r="B1022" s="138">
        <f>'Expenditures 15-22'!H49</f>
        <v>8309</v>
      </c>
      <c r="D1022" s="2" t="str">
        <f t="shared" si="14"/>
        <v>Error?</v>
      </c>
    </row>
    <row r="1023" spans="1:4" x14ac:dyDescent="0.2">
      <c r="A1023" s="5">
        <v>962</v>
      </c>
      <c r="B1023" s="138">
        <f>'Expenditures 15-22'!H50</f>
        <v>2563</v>
      </c>
      <c r="D1023" s="2" t="str">
        <f t="shared" ref="D1023:D1086" si="15">IF(ISBLANK(B1023),"OK",IF(A1023-B1023=0,"OK","Error?"))</f>
        <v>Error?</v>
      </c>
    </row>
    <row r="1024" spans="1:4" x14ac:dyDescent="0.2">
      <c r="A1024" s="5">
        <v>963</v>
      </c>
      <c r="B1024" s="138">
        <f>'Expenditures 15-22'!H53</f>
        <v>10872</v>
      </c>
      <c r="C1024" s="2" t="s">
        <v>594</v>
      </c>
      <c r="D1024" s="2" t="str">
        <f t="shared" si="15"/>
        <v>Error?</v>
      </c>
    </row>
    <row r="1025" spans="1:4" x14ac:dyDescent="0.2">
      <c r="A1025" s="5">
        <v>964</v>
      </c>
      <c r="B1025" s="138">
        <f>'Expenditures 15-22'!H55</f>
        <v>2244</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2244</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569</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748</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1317</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15597</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21956</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1198744</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54831</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43710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1785856</v>
      </c>
      <c r="C1108" s="2" t="s">
        <v>594</v>
      </c>
      <c r="D1108" s="2" t="str">
        <f t="shared" si="16"/>
        <v>Error?</v>
      </c>
    </row>
    <row r="1109" spans="1:4" x14ac:dyDescent="0.2">
      <c r="A1109" s="5">
        <v>1048</v>
      </c>
      <c r="B1109" s="138">
        <f>'Expenditures 15-22'!K36</f>
        <v>926</v>
      </c>
      <c r="C1109" s="2" t="s">
        <v>594</v>
      </c>
      <c r="D1109" s="2" t="str">
        <f t="shared" si="16"/>
        <v>Error?</v>
      </c>
    </row>
    <row r="1110" spans="1:4" x14ac:dyDescent="0.2">
      <c r="A1110" s="5">
        <v>1049</v>
      </c>
      <c r="B1110" s="138">
        <f>'Expenditures 15-22'!K37</f>
        <v>54354</v>
      </c>
      <c r="C1110" s="2" t="s">
        <v>594</v>
      </c>
      <c r="D1110" s="2" t="str">
        <f t="shared" si="16"/>
        <v>Error?</v>
      </c>
    </row>
    <row r="1111" spans="1:4" x14ac:dyDescent="0.2">
      <c r="A1111" s="5">
        <v>1050</v>
      </c>
      <c r="B1111" s="138">
        <f>'Expenditures 15-22'!K38</f>
        <v>1096</v>
      </c>
      <c r="C1111" s="2" t="s">
        <v>594</v>
      </c>
      <c r="D1111" s="2" t="str">
        <f t="shared" si="16"/>
        <v>Error?</v>
      </c>
    </row>
    <row r="1112" spans="1:4" x14ac:dyDescent="0.2">
      <c r="A1112" s="5">
        <v>1051</v>
      </c>
      <c r="B1112" s="138">
        <f>'Expenditures 15-22'!K39</f>
        <v>26316</v>
      </c>
      <c r="C1112" s="2" t="s">
        <v>594</v>
      </c>
      <c r="D1112" s="2" t="str">
        <f t="shared" si="16"/>
        <v>Error?</v>
      </c>
    </row>
    <row r="1113" spans="1:4" x14ac:dyDescent="0.2">
      <c r="A1113" s="5">
        <v>1052</v>
      </c>
      <c r="B1113" s="138">
        <f>'Expenditures 15-22'!K40</f>
        <v>72028</v>
      </c>
      <c r="C1113" s="2" t="s">
        <v>594</v>
      </c>
      <c r="D1113" s="2" t="str">
        <f t="shared" si="16"/>
        <v>Error?</v>
      </c>
    </row>
    <row r="1114" spans="1:4" x14ac:dyDescent="0.2">
      <c r="A1114" s="5">
        <v>1053</v>
      </c>
      <c r="B1114" s="138">
        <f>'Expenditures 15-22'!K41</f>
        <v>27597</v>
      </c>
      <c r="C1114" s="2" t="s">
        <v>594</v>
      </c>
      <c r="D1114" s="2" t="str">
        <f t="shared" si="16"/>
        <v>Error?</v>
      </c>
    </row>
    <row r="1115" spans="1:4" x14ac:dyDescent="0.2">
      <c r="A1115" s="5">
        <v>1054</v>
      </c>
      <c r="B1115" s="138">
        <f>'Expenditures 15-22'!K42</f>
        <v>182317</v>
      </c>
      <c r="C1115" s="2" t="s">
        <v>594</v>
      </c>
      <c r="D1115" s="2" t="str">
        <f t="shared" si="16"/>
        <v>Error?</v>
      </c>
    </row>
    <row r="1116" spans="1:4" x14ac:dyDescent="0.2">
      <c r="A1116" s="5">
        <v>1055</v>
      </c>
      <c r="B1116" s="138">
        <f>'Expenditures 15-22'!K44</f>
        <v>17595</v>
      </c>
      <c r="C1116" s="2" t="s">
        <v>594</v>
      </c>
      <c r="D1116" s="2" t="str">
        <f t="shared" si="16"/>
        <v>Error?</v>
      </c>
    </row>
    <row r="1117" spans="1:4" x14ac:dyDescent="0.2">
      <c r="A1117" s="5">
        <v>1056</v>
      </c>
      <c r="B1117" s="138">
        <f>'Expenditures 15-22'!K45</f>
        <v>1398</v>
      </c>
      <c r="C1117" s="2" t="s">
        <v>594</v>
      </c>
      <c r="D1117" s="2" t="str">
        <f t="shared" si="16"/>
        <v>Error?</v>
      </c>
    </row>
    <row r="1118" spans="1:4" x14ac:dyDescent="0.2">
      <c r="A1118" s="5">
        <v>1057</v>
      </c>
      <c r="B1118" s="138">
        <f>'Expenditures 15-22'!K46</f>
        <v>9360</v>
      </c>
      <c r="C1118" s="2" t="s">
        <v>594</v>
      </c>
      <c r="D1118" s="2" t="str">
        <f t="shared" si="16"/>
        <v>Error?</v>
      </c>
    </row>
    <row r="1119" spans="1:4" x14ac:dyDescent="0.2">
      <c r="A1119" s="5">
        <v>1058</v>
      </c>
      <c r="B1119" s="138">
        <f>'Expenditures 15-22'!K47</f>
        <v>28353</v>
      </c>
      <c r="C1119" s="2" t="s">
        <v>594</v>
      </c>
      <c r="D1119" s="2" t="str">
        <f t="shared" si="16"/>
        <v>Error?</v>
      </c>
    </row>
    <row r="1120" spans="1:4" x14ac:dyDescent="0.2">
      <c r="A1120" s="5">
        <v>1059</v>
      </c>
      <c r="B1120" s="138">
        <f>'Expenditures 15-22'!K49</f>
        <v>102510</v>
      </c>
      <c r="C1120" s="2" t="s">
        <v>594</v>
      </c>
      <c r="D1120" s="2" t="str">
        <f t="shared" si="16"/>
        <v>Error?</v>
      </c>
    </row>
    <row r="1121" spans="1:4" x14ac:dyDescent="0.2">
      <c r="A1121" s="5">
        <v>1060</v>
      </c>
      <c r="B1121" s="138">
        <f>'Expenditures 15-22'!K50</f>
        <v>223171</v>
      </c>
      <c r="C1121" s="2" t="s">
        <v>594</v>
      </c>
      <c r="D1121" s="2" t="str">
        <f t="shared" si="16"/>
        <v>Error?</v>
      </c>
    </row>
    <row r="1122" spans="1:4" x14ac:dyDescent="0.2">
      <c r="A1122" s="5">
        <v>1061</v>
      </c>
      <c r="B1122" s="138">
        <f>'Expenditures 15-22'!K53</f>
        <v>349314</v>
      </c>
      <c r="C1122" s="2" t="s">
        <v>594</v>
      </c>
      <c r="D1122" s="2" t="str">
        <f t="shared" si="16"/>
        <v>Error?</v>
      </c>
    </row>
    <row r="1123" spans="1:4" x14ac:dyDescent="0.2">
      <c r="A1123" s="5">
        <v>1062</v>
      </c>
      <c r="B1123" s="138">
        <f>'Expenditures 15-22'!K55</f>
        <v>252373</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252373</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93397</v>
      </c>
      <c r="C1127" s="2" t="s">
        <v>594</v>
      </c>
      <c r="D1127" s="2" t="str">
        <f t="shared" si="16"/>
        <v>Error?</v>
      </c>
    </row>
    <row r="1128" spans="1:4" x14ac:dyDescent="0.2">
      <c r="A1128" s="5">
        <v>1067</v>
      </c>
      <c r="B1128" s="138">
        <f>'Expenditures 15-22'!K61</f>
        <v>23991</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120826</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238214</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1092</v>
      </c>
      <c r="C1136" s="2" t="s">
        <v>594</v>
      </c>
      <c r="D1136" s="2" t="str">
        <f t="shared" si="16"/>
        <v>Error?</v>
      </c>
    </row>
    <row r="1137" spans="1:4" x14ac:dyDescent="0.2">
      <c r="A1137" s="5">
        <v>1076</v>
      </c>
      <c r="B1137" s="138">
        <f>'Expenditures 15-22'!K70</f>
        <v>21372</v>
      </c>
      <c r="C1137" s="2" t="s">
        <v>594</v>
      </c>
      <c r="D1137" s="2" t="str">
        <f t="shared" si="16"/>
        <v>Error?</v>
      </c>
    </row>
    <row r="1138" spans="1:4" x14ac:dyDescent="0.2">
      <c r="A1138" s="10">
        <v>1077</v>
      </c>
      <c r="D1138" s="2" t="str">
        <f t="shared" si="16"/>
        <v>OK</v>
      </c>
    </row>
    <row r="1139" spans="1:4" x14ac:dyDescent="0.2">
      <c r="A1139" s="5">
        <v>1078</v>
      </c>
      <c r="B1139" s="138">
        <f>'Expenditures 15-22'!K71</f>
        <v>81822</v>
      </c>
      <c r="C1139" s="2" t="s">
        <v>594</v>
      </c>
      <c r="D1139" s="2" t="str">
        <f t="shared" si="16"/>
        <v>Error?</v>
      </c>
    </row>
    <row r="1140" spans="1:4" x14ac:dyDescent="0.2">
      <c r="A1140" s="10">
        <v>1079</v>
      </c>
      <c r="D1140" s="2" t="str">
        <f t="shared" si="16"/>
        <v>OK</v>
      </c>
    </row>
    <row r="1141" spans="1:4" x14ac:dyDescent="0.2">
      <c r="A1141" s="5">
        <v>1080</v>
      </c>
      <c r="B1141" s="138">
        <f>'Expenditures 15-22'!K72</f>
        <v>104286</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1154857</v>
      </c>
      <c r="C1143" s="2" t="s">
        <v>594</v>
      </c>
      <c r="D1143" s="2" t="str">
        <f t="shared" si="16"/>
        <v>Error?</v>
      </c>
    </row>
    <row r="1144" spans="1:4" x14ac:dyDescent="0.2">
      <c r="A1144" s="5">
        <v>1083</v>
      </c>
      <c r="B1144" s="138">
        <f>'Expenditures 15-22'!K75</f>
        <v>948</v>
      </c>
      <c r="C1144" s="2" t="s">
        <v>594</v>
      </c>
      <c r="D1144" s="2" t="str">
        <f t="shared" si="16"/>
        <v>Error?</v>
      </c>
    </row>
    <row r="1145" spans="1:4" x14ac:dyDescent="0.2">
      <c r="A1145" s="5">
        <v>1084</v>
      </c>
      <c r="B1145" s="138">
        <f>'Expenditures 15-22'!K102</f>
        <v>51384</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2993045</v>
      </c>
      <c r="C1152" s="2" t="s">
        <v>594</v>
      </c>
      <c r="D1152" s="2" t="str">
        <f t="shared" si="17"/>
        <v>Error?</v>
      </c>
    </row>
    <row r="1153" spans="1:4" x14ac:dyDescent="0.2">
      <c r="A1153" s="5">
        <v>1092</v>
      </c>
      <c r="B1153" s="138">
        <f>'Expenditures 15-22'!K115</f>
        <v>278722</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115505</v>
      </c>
      <c r="D1221" s="2" t="str">
        <f t="shared" si="18"/>
        <v>Error?</v>
      </c>
    </row>
    <row r="1222" spans="1:4" x14ac:dyDescent="0.2">
      <c r="A1222" s="10">
        <v>1161</v>
      </c>
      <c r="D1222" s="2" t="str">
        <f t="shared" si="18"/>
        <v>OK</v>
      </c>
    </row>
    <row r="1223" spans="1:4" x14ac:dyDescent="0.2">
      <c r="A1223" s="5">
        <v>1162</v>
      </c>
      <c r="B1223" s="138">
        <f>'Expenditures 15-22'!C127</f>
        <v>115505</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115505</v>
      </c>
      <c r="C1225" s="2" t="s">
        <v>594</v>
      </c>
      <c r="D1225" s="2" t="str">
        <f t="shared" si="18"/>
        <v>Error?</v>
      </c>
    </row>
    <row r="1226" spans="1:4" x14ac:dyDescent="0.2">
      <c r="A1226" s="5">
        <v>1165</v>
      </c>
      <c r="B1226" s="138">
        <f>'Expenditures 15-22'!C151</f>
        <v>115505</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18937</v>
      </c>
      <c r="D1229" s="2" t="str">
        <f t="shared" si="18"/>
        <v>Error?</v>
      </c>
    </row>
    <row r="1230" spans="1:4" x14ac:dyDescent="0.2">
      <c r="A1230" s="10">
        <v>1169</v>
      </c>
      <c r="D1230" s="2" t="str">
        <f t="shared" si="18"/>
        <v>OK</v>
      </c>
    </row>
    <row r="1231" spans="1:4" x14ac:dyDescent="0.2">
      <c r="A1231" s="5">
        <v>1170</v>
      </c>
      <c r="B1231" s="138">
        <f>'Expenditures 15-22'!D127</f>
        <v>18937</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18937</v>
      </c>
      <c r="C1233" s="2" t="s">
        <v>594</v>
      </c>
      <c r="D1233" s="2" t="str">
        <f t="shared" si="18"/>
        <v>Error?</v>
      </c>
    </row>
    <row r="1234" spans="1:4" x14ac:dyDescent="0.2">
      <c r="A1234" s="5">
        <v>1173</v>
      </c>
      <c r="B1234" s="138">
        <f>'Expenditures 15-22'!D151</f>
        <v>18937</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101504</v>
      </c>
      <c r="D1237" s="2" t="str">
        <f t="shared" si="18"/>
        <v>Error?</v>
      </c>
    </row>
    <row r="1238" spans="1:4" x14ac:dyDescent="0.2">
      <c r="A1238" s="10">
        <v>1177</v>
      </c>
      <c r="D1238" s="2" t="str">
        <f t="shared" si="18"/>
        <v>OK</v>
      </c>
    </row>
    <row r="1239" spans="1:4" x14ac:dyDescent="0.2">
      <c r="A1239" s="5">
        <v>1178</v>
      </c>
      <c r="B1239" s="138">
        <f>'Expenditures 15-22'!E127</f>
        <v>101504</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101504</v>
      </c>
      <c r="C1241" s="2" t="s">
        <v>594</v>
      </c>
      <c r="D1241" s="2" t="str">
        <f t="shared" si="18"/>
        <v>Error?</v>
      </c>
    </row>
    <row r="1242" spans="1:4" x14ac:dyDescent="0.2">
      <c r="A1242" s="5">
        <v>1181</v>
      </c>
      <c r="B1242" s="138">
        <f>'Expenditures 15-22'!E151</f>
        <v>101504</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84412</v>
      </c>
      <c r="D1245" s="2" t="str">
        <f t="shared" si="18"/>
        <v>Error?</v>
      </c>
    </row>
    <row r="1246" spans="1:4" x14ac:dyDescent="0.2">
      <c r="A1246" s="10">
        <v>1185</v>
      </c>
      <c r="D1246" s="2" t="str">
        <f t="shared" si="18"/>
        <v>OK</v>
      </c>
    </row>
    <row r="1247" spans="1:4" x14ac:dyDescent="0.2">
      <c r="A1247" s="5">
        <v>1186</v>
      </c>
      <c r="B1247" s="138">
        <f>'Expenditures 15-22'!F127</f>
        <v>84412</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84412</v>
      </c>
      <c r="C1249" s="2" t="s">
        <v>594</v>
      </c>
      <c r="D1249" s="2" t="str">
        <f t="shared" si="18"/>
        <v>Error?</v>
      </c>
    </row>
    <row r="1250" spans="1:4" x14ac:dyDescent="0.2">
      <c r="A1250" s="5">
        <v>1189</v>
      </c>
      <c r="B1250" s="138">
        <f>'Expenditures 15-22'!F151</f>
        <v>84412</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367674</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367674</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367674</v>
      </c>
      <c r="C1258" s="2" t="s">
        <v>594</v>
      </c>
      <c r="D1258" s="2" t="str">
        <f t="shared" si="18"/>
        <v>Error?</v>
      </c>
    </row>
    <row r="1259" spans="1:4" x14ac:dyDescent="0.2">
      <c r="A1259" s="5">
        <v>1198</v>
      </c>
      <c r="B1259" s="138">
        <f>'Expenditures 15-22'!G151</f>
        <v>367674</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948</v>
      </c>
      <c r="D1262" s="2" t="str">
        <f t="shared" si="18"/>
        <v>Error?</v>
      </c>
    </row>
    <row r="1263" spans="1:4" x14ac:dyDescent="0.2">
      <c r="A1263" s="10">
        <v>1202</v>
      </c>
      <c r="D1263" s="2" t="str">
        <f t="shared" si="18"/>
        <v>OK</v>
      </c>
    </row>
    <row r="1264" spans="1:4" x14ac:dyDescent="0.2">
      <c r="A1264" s="5">
        <v>1203</v>
      </c>
      <c r="B1264" s="138">
        <f>'Expenditures 15-22'!H127</f>
        <v>948</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948</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948</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688980</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688980</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688980</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688980</v>
      </c>
      <c r="C1288" s="2" t="s">
        <v>594</v>
      </c>
      <c r="D1288" s="2" t="str">
        <f t="shared" si="19"/>
        <v>Error?</v>
      </c>
    </row>
    <row r="1289" spans="1:4" x14ac:dyDescent="0.2">
      <c r="A1289" s="5">
        <v>1228</v>
      </c>
      <c r="B1289" s="138">
        <f>'Expenditures 15-22'!K152</f>
        <v>-85941</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101148</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418000</v>
      </c>
      <c r="D1315" s="2" t="str">
        <f t="shared" si="19"/>
        <v>Error?</v>
      </c>
    </row>
    <row r="1316" spans="1:4" x14ac:dyDescent="0.2">
      <c r="A1316" s="5">
        <v>1255</v>
      </c>
      <c r="B1316" s="138">
        <f>'Expenditures 15-22'!H171</f>
        <v>1500</v>
      </c>
      <c r="D1316" s="2" t="str">
        <f t="shared" si="19"/>
        <v>Error?</v>
      </c>
    </row>
    <row r="1317" spans="1:4" x14ac:dyDescent="0.2">
      <c r="A1317" s="5">
        <v>1256</v>
      </c>
      <c r="B1317" s="138">
        <f>'Expenditures 15-22'!H172</f>
        <v>520648</v>
      </c>
      <c r="C1317" s="2" t="s">
        <v>594</v>
      </c>
      <c r="D1317" s="2" t="str">
        <f t="shared" si="19"/>
        <v>Error?</v>
      </c>
    </row>
    <row r="1318" spans="1:4" x14ac:dyDescent="0.2">
      <c r="A1318" s="5">
        <v>1257</v>
      </c>
      <c r="B1318" s="138">
        <f>'Expenditures 15-22'!H174</f>
        <v>520648</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101148</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418000</v>
      </c>
      <c r="C1329" s="2" t="s">
        <v>594</v>
      </c>
      <c r="D1329" s="2" t="str">
        <f t="shared" si="19"/>
        <v>Error?</v>
      </c>
    </row>
    <row r="1330" spans="1:4" x14ac:dyDescent="0.2">
      <c r="A1330" s="5">
        <v>1269</v>
      </c>
      <c r="B1330" s="138">
        <f>'Expenditures 15-22'!K171</f>
        <v>1500</v>
      </c>
      <c r="C1330" s="2" t="s">
        <v>594</v>
      </c>
      <c r="D1330" s="2" t="str">
        <f t="shared" si="19"/>
        <v>Error?</v>
      </c>
    </row>
    <row r="1331" spans="1:4" x14ac:dyDescent="0.2">
      <c r="A1331" s="5">
        <v>1270</v>
      </c>
      <c r="B1331" s="138">
        <f>'Expenditures 15-22'!K172</f>
        <v>520648</v>
      </c>
      <c r="C1331" s="2" t="s">
        <v>594</v>
      </c>
      <c r="D1331" s="2" t="str">
        <f t="shared" si="19"/>
        <v>Error?</v>
      </c>
    </row>
    <row r="1332" spans="1:4" x14ac:dyDescent="0.2">
      <c r="A1332" s="5">
        <v>1271</v>
      </c>
      <c r="B1332" s="138">
        <f>'Expenditures 15-22'!K174</f>
        <v>520648</v>
      </c>
      <c r="C1332" s="2" t="s">
        <v>594</v>
      </c>
      <c r="D1332" s="2" t="str">
        <f t="shared" si="19"/>
        <v>Error?</v>
      </c>
    </row>
    <row r="1333" spans="1:4" x14ac:dyDescent="0.2">
      <c r="A1333" s="5">
        <v>1272</v>
      </c>
      <c r="B1333" s="138">
        <f>'Expenditures 15-22'!K175</f>
        <v>-8861</v>
      </c>
      <c r="C1333" s="2" t="s">
        <v>594</v>
      </c>
      <c r="D1333" s="2" t="str">
        <f t="shared" si="19"/>
        <v>Error?</v>
      </c>
    </row>
    <row r="1334" spans="1:4" x14ac:dyDescent="0.2">
      <c r="A1334" s="10">
        <v>1273</v>
      </c>
      <c r="D1334" s="2" t="str">
        <f t="shared" si="19"/>
        <v>OK</v>
      </c>
    </row>
    <row r="1335" spans="1:4" x14ac:dyDescent="0.2">
      <c r="A1335" s="5">
        <v>1274</v>
      </c>
      <c r="B1335" s="138">
        <f>'Expenditures 15-22'!C182</f>
        <v>112876</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112876</v>
      </c>
      <c r="C1339" s="2" t="s">
        <v>594</v>
      </c>
      <c r="D1339" s="2" t="str">
        <f t="shared" si="19"/>
        <v>Error?</v>
      </c>
    </row>
    <row r="1340" spans="1:4" x14ac:dyDescent="0.2">
      <c r="A1340" s="5">
        <v>1279</v>
      </c>
      <c r="B1340" s="138">
        <f>'Expenditures 15-22'!C210</f>
        <v>112876</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100193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100193</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100193</v>
      </c>
      <c r="C1353" s="2" t="s">
        <v>594</v>
      </c>
      <c r="D1353" s="2" t="str">
        <f t="shared" si="20"/>
        <v>Error?</v>
      </c>
    </row>
    <row r="1354" spans="1:4" x14ac:dyDescent="0.2">
      <c r="A1354" s="5">
        <v>1293</v>
      </c>
      <c r="B1354" s="138">
        <f>'Expenditures 15-22'!F182</f>
        <v>25158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25158</v>
      </c>
      <c r="C1358" s="2" t="s">
        <v>594</v>
      </c>
      <c r="D1358" s="2" t="str">
        <f t="shared" si="20"/>
        <v>Error?</v>
      </c>
    </row>
    <row r="1359" spans="1:4" x14ac:dyDescent="0.2">
      <c r="A1359" s="5">
        <v>1298</v>
      </c>
      <c r="B1359" s="138">
        <f>'Expenditures 15-22'!F210</f>
        <v>25158</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64</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64</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64</v>
      </c>
      <c r="C1376" s="2" t="s">
        <v>594</v>
      </c>
      <c r="D1376" s="2" t="str">
        <f t="shared" si="20"/>
        <v>Error?</v>
      </c>
    </row>
    <row r="1377" spans="1:4" x14ac:dyDescent="0.2">
      <c r="A1377" s="5">
        <v>1316</v>
      </c>
      <c r="B1377" s="138">
        <f>'Expenditures 15-22'!K182</f>
        <v>238291</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238291</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238291</v>
      </c>
      <c r="C1388" s="2" t="s">
        <v>594</v>
      </c>
      <c r="D1388" s="2" t="str">
        <f t="shared" si="20"/>
        <v>Error?</v>
      </c>
    </row>
    <row r="1389" spans="1:4" x14ac:dyDescent="0.2">
      <c r="A1389" s="5">
        <v>1328</v>
      </c>
      <c r="B1389" s="138">
        <f>'Expenditures 15-22'!K211</f>
        <v>-11298</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618</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1321</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37253</v>
      </c>
      <c r="C1410" s="2" t="s">
        <v>594</v>
      </c>
      <c r="D1410" s="2" t="str">
        <f t="shared" si="21"/>
        <v>Error?</v>
      </c>
    </row>
    <row r="1411" spans="1:4" x14ac:dyDescent="0.2">
      <c r="A1411" s="5">
        <v>1350</v>
      </c>
      <c r="B1411" s="138">
        <f>'Expenditures 15-22'!D232</f>
        <v>304</v>
      </c>
      <c r="D1411" s="2" t="str">
        <f t="shared" si="21"/>
        <v>Error?</v>
      </c>
    </row>
    <row r="1412" spans="1:4" x14ac:dyDescent="0.2">
      <c r="A1412" s="5">
        <v>1351</v>
      </c>
      <c r="B1412" s="138">
        <f>'Expenditures 15-22'!D233</f>
        <v>626</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897</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1827</v>
      </c>
      <c r="C1417" s="2" t="s">
        <v>594</v>
      </c>
      <c r="D1417" s="2" t="str">
        <f t="shared" si="21"/>
        <v>Error?</v>
      </c>
    </row>
    <row r="1418" spans="1:4" x14ac:dyDescent="0.2">
      <c r="A1418" s="5">
        <v>1357</v>
      </c>
      <c r="B1418" s="138">
        <f>'Expenditures 15-22'!D240</f>
        <v>25</v>
      </c>
      <c r="D1418" s="2" t="str">
        <f t="shared" si="21"/>
        <v>Error?</v>
      </c>
    </row>
    <row r="1419" spans="1:4" x14ac:dyDescent="0.2">
      <c r="A1419" s="5">
        <v>1358</v>
      </c>
      <c r="B1419" s="138">
        <f>'Expenditures 15-22'!D241</f>
        <v>54</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79</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8537</v>
      </c>
      <c r="D1423" s="2" t="str">
        <f t="shared" si="21"/>
        <v>Error?</v>
      </c>
    </row>
    <row r="1424" spans="1:4" x14ac:dyDescent="0.2">
      <c r="A1424" s="5">
        <v>1363</v>
      </c>
      <c r="B1424" s="138">
        <f>'Expenditures 15-22'!D257</f>
        <v>8537</v>
      </c>
      <c r="C1424" s="2" t="s">
        <v>594</v>
      </c>
      <c r="D1424" s="2" t="str">
        <f t="shared" si="21"/>
        <v>Error?</v>
      </c>
    </row>
    <row r="1425" spans="1:4" x14ac:dyDescent="0.2">
      <c r="A1425" s="5">
        <v>1364</v>
      </c>
      <c r="B1425" s="138">
        <f>'Expenditures 15-22'!D259</f>
        <v>10636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10636</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10576</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17357</v>
      </c>
      <c r="D1431" s="2" t="str">
        <f t="shared" si="21"/>
        <v>Error?</v>
      </c>
    </row>
    <row r="1432" spans="1:4" x14ac:dyDescent="0.2">
      <c r="A1432" s="5">
        <v>1371</v>
      </c>
      <c r="B1432" s="138">
        <f>'Expenditures 15-22'!D267</f>
        <v>11221</v>
      </c>
      <c r="D1432" s="2" t="str">
        <f t="shared" si="21"/>
        <v>Error?</v>
      </c>
    </row>
    <row r="1433" spans="1:4" x14ac:dyDescent="0.2">
      <c r="A1433" s="5">
        <v>1372</v>
      </c>
      <c r="B1433" s="138">
        <f>'Expenditures 15-22'!D268</f>
        <v>7317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46471</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743</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743</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68293</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105546</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618</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1321</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37253</v>
      </c>
      <c r="C1474" s="2" t="s">
        <v>594</v>
      </c>
      <c r="D1474" s="2" t="str">
        <f t="shared" si="22"/>
        <v>Error?</v>
      </c>
    </row>
    <row r="1475" spans="1:4" x14ac:dyDescent="0.2">
      <c r="A1475" s="5">
        <v>1414</v>
      </c>
      <c r="B1475" s="138">
        <f>'Expenditures 15-22'!K232</f>
        <v>304</v>
      </c>
      <c r="C1475" s="2" t="s">
        <v>594</v>
      </c>
      <c r="D1475" s="2" t="str">
        <f t="shared" si="22"/>
        <v>Error?</v>
      </c>
    </row>
    <row r="1476" spans="1:4" x14ac:dyDescent="0.2">
      <c r="A1476" s="5">
        <v>1415</v>
      </c>
      <c r="B1476" s="138">
        <f>'Expenditures 15-22'!K233</f>
        <v>626</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897</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1827</v>
      </c>
      <c r="C1481" s="2" t="s">
        <v>594</v>
      </c>
      <c r="D1481" s="2" t="str">
        <f t="shared" si="22"/>
        <v>Error?</v>
      </c>
    </row>
    <row r="1482" spans="1:4" x14ac:dyDescent="0.2">
      <c r="A1482" s="5">
        <v>1421</v>
      </c>
      <c r="B1482" s="138">
        <f>'Expenditures 15-22'!K240</f>
        <v>25</v>
      </c>
      <c r="C1482" s="2" t="s">
        <v>594</v>
      </c>
      <c r="D1482" s="2" t="str">
        <f t="shared" si="22"/>
        <v>Error?</v>
      </c>
    </row>
    <row r="1483" spans="1:4" x14ac:dyDescent="0.2">
      <c r="A1483" s="5">
        <v>1422</v>
      </c>
      <c r="B1483" s="138">
        <f>'Expenditures 15-22'!K241</f>
        <v>54</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79</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8537</v>
      </c>
      <c r="C1487" s="2" t="s">
        <v>594</v>
      </c>
      <c r="D1487" s="2" t="str">
        <f t="shared" si="22"/>
        <v>Error?</v>
      </c>
    </row>
    <row r="1488" spans="1:4" x14ac:dyDescent="0.2">
      <c r="A1488" s="5">
        <v>1427</v>
      </c>
      <c r="B1488" s="138">
        <f>'Expenditures 15-22'!K257</f>
        <v>8537</v>
      </c>
      <c r="C1488" s="2" t="s">
        <v>594</v>
      </c>
      <c r="D1488" s="2" t="str">
        <f t="shared" si="22"/>
        <v>Error?</v>
      </c>
    </row>
    <row r="1489" spans="1:4" x14ac:dyDescent="0.2">
      <c r="A1489" s="5">
        <v>1428</v>
      </c>
      <c r="B1489" s="138">
        <f>'Expenditures 15-22'!K259</f>
        <v>10636</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10636</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10576</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17357</v>
      </c>
      <c r="C1495" s="2" t="s">
        <v>594</v>
      </c>
      <c r="D1495" s="2" t="str">
        <f t="shared" si="22"/>
        <v>Error?</v>
      </c>
    </row>
    <row r="1496" spans="1:4" x14ac:dyDescent="0.2">
      <c r="A1496" s="5">
        <v>1435</v>
      </c>
      <c r="B1496" s="138">
        <f>'Expenditures 15-22'!K267</f>
        <v>11221</v>
      </c>
      <c r="C1496" s="2" t="s">
        <v>594</v>
      </c>
      <c r="D1496" s="2" t="str">
        <f t="shared" si="22"/>
        <v>Error?</v>
      </c>
    </row>
    <row r="1497" spans="1:4" x14ac:dyDescent="0.2">
      <c r="A1497" s="5">
        <v>1436</v>
      </c>
      <c r="B1497" s="138">
        <f>'Expenditures 15-22'!K268</f>
        <v>7317</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46471</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743</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743</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68293</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105546</v>
      </c>
      <c r="C1517" s="2" t="s">
        <v>594</v>
      </c>
      <c r="D1517" s="2" t="str">
        <f t="shared" si="22"/>
        <v>Error?</v>
      </c>
    </row>
    <row r="1518" spans="1:4" x14ac:dyDescent="0.2">
      <c r="A1518" s="5">
        <v>1457</v>
      </c>
      <c r="B1518" s="138">
        <f>'Expenditures 15-22'!K296</f>
        <v>-2433</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17385</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1661250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1939971</v>
      </c>
      <c r="C1630" s="2" t="s">
        <v>594</v>
      </c>
      <c r="D1630" s="2" t="str">
        <f t="shared" si="24"/>
        <v>Error?</v>
      </c>
    </row>
    <row r="1631" spans="1:4" x14ac:dyDescent="0.2">
      <c r="A1631" s="5">
        <v>1570</v>
      </c>
      <c r="B1631" s="138">
        <f>'Acct Summary 7-8'!D79</f>
        <v>357985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272044</v>
      </c>
      <c r="C1644" s="2" t="s">
        <v>594</v>
      </c>
      <c r="D1644" s="2" t="str">
        <f t="shared" si="24"/>
        <v>Error?</v>
      </c>
    </row>
    <row r="1645" spans="1:4" x14ac:dyDescent="0.2">
      <c r="A1645" s="5">
        <v>1584</v>
      </c>
      <c r="B1645" s="138">
        <f>'Acct Summary 7-8'!E79</f>
        <v>8933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73</v>
      </c>
      <c r="C1658" s="2" t="s">
        <v>594</v>
      </c>
      <c r="D1658" s="2" t="str">
        <f t="shared" si="24"/>
        <v>Error?</v>
      </c>
    </row>
    <row r="1659" spans="1:4" x14ac:dyDescent="0.2">
      <c r="A1659" s="5">
        <v>1598</v>
      </c>
      <c r="B1659" s="138">
        <f>'Acct Summary 7-8'!F79</f>
        <v>166492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155193</v>
      </c>
      <c r="C1672" s="2" t="s">
        <v>594</v>
      </c>
      <c r="D1672" s="2" t="str">
        <f t="shared" si="25"/>
        <v>Error?</v>
      </c>
    </row>
    <row r="1673" spans="1:4" x14ac:dyDescent="0.2">
      <c r="A1673" s="5">
        <v>1612</v>
      </c>
      <c r="B1673" s="138">
        <f>'Acct Summary 7-8'!G79</f>
        <v>40697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38262</v>
      </c>
      <c r="C1686" s="2" t="s">
        <v>594</v>
      </c>
      <c r="D1686" s="2" t="str">
        <f t="shared" si="25"/>
        <v>Error?</v>
      </c>
    </row>
    <row r="1687" spans="1:4" x14ac:dyDescent="0.2">
      <c r="A1687" s="5">
        <v>1626</v>
      </c>
      <c r="B1687" s="138">
        <f>'Acct Summary 7-8'!H79</f>
        <v>200171</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217556</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1723711</v>
      </c>
      <c r="C1744" s="2" t="s">
        <v>594</v>
      </c>
      <c r="D1744" s="2" t="str">
        <f t="shared" si="26"/>
        <v>Error?</v>
      </c>
    </row>
    <row r="1745" spans="1:5" x14ac:dyDescent="0.2">
      <c r="A1745" s="5">
        <v>1684</v>
      </c>
      <c r="B1745" s="138">
        <f>'Tax Sched 23'!B5</f>
        <v>308009</v>
      </c>
      <c r="C1745" s="2" t="s">
        <v>594</v>
      </c>
      <c r="D1745" s="2" t="str">
        <f t="shared" si="26"/>
        <v>Error?</v>
      </c>
    </row>
    <row r="1746" spans="1:5" x14ac:dyDescent="0.2">
      <c r="A1746" s="5">
        <v>1685</v>
      </c>
      <c r="B1746" s="138">
        <f>'Tax Sched 23'!B6</f>
        <v>493547</v>
      </c>
      <c r="C1746" s="2" t="s">
        <v>594</v>
      </c>
      <c r="D1746" s="2" t="str">
        <f t="shared" si="26"/>
        <v>Error?</v>
      </c>
    </row>
    <row r="1747" spans="1:5" x14ac:dyDescent="0.2">
      <c r="A1747" s="5">
        <v>1686</v>
      </c>
      <c r="B1747" s="138">
        <f>'Tax Sched 23'!B7</f>
        <v>47824</v>
      </c>
      <c r="C1747" s="2" t="s">
        <v>594</v>
      </c>
      <c r="D1747" s="2" t="str">
        <f t="shared" si="26"/>
        <v>Error?</v>
      </c>
    </row>
    <row r="1748" spans="1:5" x14ac:dyDescent="0.2">
      <c r="A1748" s="5">
        <v>1687</v>
      </c>
      <c r="B1748" s="138">
        <f>'Tax Sched 23'!B8</f>
        <v>33028</v>
      </c>
      <c r="C1748" s="2" t="s">
        <v>594</v>
      </c>
      <c r="D1748" s="2" t="str">
        <f t="shared" si="26"/>
        <v>Error?</v>
      </c>
    </row>
    <row r="1749" spans="1:5" x14ac:dyDescent="0.2">
      <c r="A1749" s="5">
        <v>1688</v>
      </c>
      <c r="B1749" s="138">
        <f>'Tax Sched 23'!B10</f>
        <v>747</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11209</v>
      </c>
      <c r="C1752" s="2" t="s">
        <v>594</v>
      </c>
      <c r="D1752" s="2" t="str">
        <f t="shared" si="26"/>
        <v>Error?</v>
      </c>
    </row>
    <row r="1753" spans="1:5" x14ac:dyDescent="0.2">
      <c r="A1753" s="5">
        <v>1692</v>
      </c>
      <c r="B1753" s="138">
        <f>'Tax Sched 23'!B12</f>
        <v>747</v>
      </c>
      <c r="C1753" s="2" t="s">
        <v>594</v>
      </c>
      <c r="D1753" s="2" t="str">
        <f t="shared" si="26"/>
        <v>Error?</v>
      </c>
    </row>
    <row r="1754" spans="1:5" x14ac:dyDescent="0.2">
      <c r="A1754" s="5">
        <v>1693</v>
      </c>
      <c r="B1754" s="138">
        <f>'Tax Sched 23'!B14</f>
        <v>0</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2678899</v>
      </c>
      <c r="C1759" s="2" t="s">
        <v>594</v>
      </c>
      <c r="D1759" s="2" t="str">
        <f t="shared" si="26"/>
        <v>Error?</v>
      </c>
    </row>
    <row r="1760" spans="1:5" x14ac:dyDescent="0.2">
      <c r="A1760" s="5">
        <v>1699</v>
      </c>
      <c r="B1760" s="138">
        <f>'Tax Sched 23'!D4</f>
        <v>1723711</v>
      </c>
      <c r="C1760" s="2" t="s">
        <v>594</v>
      </c>
      <c r="D1760" s="2" t="str">
        <f t="shared" si="26"/>
        <v>Error?</v>
      </c>
    </row>
    <row r="1761" spans="1:5" x14ac:dyDescent="0.2">
      <c r="A1761" s="5">
        <v>1700</v>
      </c>
      <c r="B1761" s="138">
        <f>'Tax Sched 23'!D5</f>
        <v>308009</v>
      </c>
      <c r="C1761" s="2" t="s">
        <v>594</v>
      </c>
      <c r="D1761" s="2" t="str">
        <f t="shared" si="26"/>
        <v>Error?</v>
      </c>
    </row>
    <row r="1762" spans="1:5" s="8" customFormat="1" x14ac:dyDescent="0.2">
      <c r="A1762" s="5">
        <v>1701</v>
      </c>
      <c r="B1762" s="138">
        <f>'Tax Sched 23'!D6</f>
        <v>493547</v>
      </c>
      <c r="C1762" s="2" t="s">
        <v>594</v>
      </c>
      <c r="D1762" s="2" t="str">
        <f t="shared" si="26"/>
        <v>Error?</v>
      </c>
      <c r="E1762" s="9"/>
    </row>
    <row r="1763" spans="1:5" x14ac:dyDescent="0.2">
      <c r="A1763" s="5">
        <v>1702</v>
      </c>
      <c r="B1763" s="138">
        <f>'Tax Sched 23'!D7</f>
        <v>47824</v>
      </c>
      <c r="C1763" s="2" t="s">
        <v>594</v>
      </c>
      <c r="D1763" s="2" t="str">
        <f t="shared" si="26"/>
        <v>Error?</v>
      </c>
    </row>
    <row r="1764" spans="1:5" x14ac:dyDescent="0.2">
      <c r="A1764" s="5">
        <v>1703</v>
      </c>
      <c r="B1764" s="138">
        <f>'Tax Sched 23'!D8</f>
        <v>33028</v>
      </c>
      <c r="C1764" s="2" t="s">
        <v>594</v>
      </c>
      <c r="D1764" s="2" t="str">
        <f t="shared" si="26"/>
        <v>Error?</v>
      </c>
    </row>
    <row r="1765" spans="1:5" x14ac:dyDescent="0.2">
      <c r="A1765" s="5">
        <v>1704</v>
      </c>
      <c r="B1765" s="138">
        <f>'Tax Sched 23'!D10</f>
        <v>747</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11209</v>
      </c>
      <c r="C1768" s="2" t="s">
        <v>594</v>
      </c>
      <c r="D1768" s="2" t="str">
        <f t="shared" si="26"/>
        <v>Error?</v>
      </c>
    </row>
    <row r="1769" spans="1:5" x14ac:dyDescent="0.2">
      <c r="A1769" s="5">
        <v>1708</v>
      </c>
      <c r="B1769" s="138">
        <f>'Tax Sched 23'!D12</f>
        <v>747</v>
      </c>
      <c r="C1769" s="2" t="s">
        <v>594</v>
      </c>
      <c r="D1769" s="2" t="str">
        <f t="shared" si="26"/>
        <v>Error?</v>
      </c>
    </row>
    <row r="1770" spans="1:5" x14ac:dyDescent="0.2">
      <c r="A1770" s="5">
        <v>1709</v>
      </c>
      <c r="B1770" s="138">
        <f>'Tax Sched 23'!D14</f>
        <v>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2678899</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1827447</v>
      </c>
      <c r="C1792" s="2" t="s">
        <v>594</v>
      </c>
      <c r="D1792" s="2" t="str">
        <f t="shared" si="27"/>
        <v>Error?</v>
      </c>
    </row>
    <row r="1793" spans="1:4" x14ac:dyDescent="0.2">
      <c r="A1793" s="5">
        <v>1732</v>
      </c>
      <c r="B1793" s="138">
        <f>'Tax Sched 23'!F5</f>
        <v>240059</v>
      </c>
      <c r="C1793" s="2" t="s">
        <v>594</v>
      </c>
      <c r="D1793" s="2" t="str">
        <f t="shared" si="27"/>
        <v>Error?</v>
      </c>
    </row>
    <row r="1794" spans="1:4" x14ac:dyDescent="0.2">
      <c r="A1794" s="5">
        <v>1733</v>
      </c>
      <c r="B1794" s="138">
        <f>'Tax Sched 23'!F6</f>
        <v>518734</v>
      </c>
      <c r="C1794" s="2" t="s">
        <v>594</v>
      </c>
      <c r="D1794" s="2" t="str">
        <f t="shared" si="27"/>
        <v>Error?</v>
      </c>
    </row>
    <row r="1795" spans="1:4" x14ac:dyDescent="0.2">
      <c r="A1795" s="5">
        <v>1734</v>
      </c>
      <c r="B1795" s="138">
        <f>'Tax Sched 23'!F7</f>
        <v>89770</v>
      </c>
      <c r="C1795" s="2" t="s">
        <v>594</v>
      </c>
      <c r="D1795" s="2" t="str">
        <f t="shared" si="27"/>
        <v>Error?</v>
      </c>
    </row>
    <row r="1796" spans="1:4" x14ac:dyDescent="0.2">
      <c r="A1796" s="5">
        <v>1735</v>
      </c>
      <c r="B1796" s="138">
        <f>'Tax Sched 23'!F8</f>
        <v>40938</v>
      </c>
      <c r="C1796" s="2" t="s">
        <v>594</v>
      </c>
      <c r="D1796" s="2" t="str">
        <f t="shared" si="27"/>
        <v>Error?</v>
      </c>
    </row>
    <row r="1797" spans="1:4" x14ac:dyDescent="0.2">
      <c r="A1797" s="5">
        <v>1736</v>
      </c>
      <c r="B1797" s="138">
        <f>'Tax Sched 23'!F10</f>
        <v>1006</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4953</v>
      </c>
      <c r="C1800" s="2" t="s">
        <v>594</v>
      </c>
      <c r="D1800" s="2" t="str">
        <f t="shared" si="27"/>
        <v>Error?</v>
      </c>
    </row>
    <row r="1801" spans="1:4" x14ac:dyDescent="0.2">
      <c r="A1801" s="5">
        <v>1740</v>
      </c>
      <c r="B1801" s="138">
        <f>'Tax Sched 23'!F12</f>
        <v>1006</v>
      </c>
      <c r="C1801" s="2" t="s">
        <v>594</v>
      </c>
      <c r="D1801" s="2" t="str">
        <f t="shared" si="27"/>
        <v>Error?</v>
      </c>
    </row>
    <row r="1802" spans="1:4" x14ac:dyDescent="0.2">
      <c r="A1802" s="5">
        <v>1741</v>
      </c>
      <c r="B1802" s="138">
        <f>'Tax Sched 23'!F14</f>
        <v>0</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2790854</v>
      </c>
      <c r="C1807" s="2" t="s">
        <v>594</v>
      </c>
      <c r="D1807" s="2" t="str">
        <f t="shared" si="27"/>
        <v>Error?</v>
      </c>
    </row>
    <row r="1808" spans="1:4" x14ac:dyDescent="0.2">
      <c r="A1808" s="5">
        <v>1747</v>
      </c>
      <c r="B1808" s="138">
        <f>'Tax Sched 23'!E4</f>
        <v>1827447</v>
      </c>
      <c r="D1808" s="2" t="str">
        <f t="shared" si="27"/>
        <v>Error?</v>
      </c>
    </row>
    <row r="1809" spans="1:4" x14ac:dyDescent="0.2">
      <c r="A1809" s="5">
        <v>1748</v>
      </c>
      <c r="B1809" s="138">
        <f>'Tax Sched 23'!E5</f>
        <v>240059</v>
      </c>
      <c r="D1809" s="2" t="str">
        <f t="shared" si="27"/>
        <v>Error?</v>
      </c>
    </row>
    <row r="1810" spans="1:4" x14ac:dyDescent="0.2">
      <c r="A1810" s="5">
        <v>1749</v>
      </c>
      <c r="B1810" s="138">
        <f>'Tax Sched 23'!E6</f>
        <v>518734</v>
      </c>
      <c r="D1810" s="2" t="str">
        <f t="shared" si="27"/>
        <v>Error?</v>
      </c>
    </row>
    <row r="1811" spans="1:4" x14ac:dyDescent="0.2">
      <c r="A1811" s="5">
        <v>1750</v>
      </c>
      <c r="B1811" s="138">
        <f>'Tax Sched 23'!E7</f>
        <v>89770</v>
      </c>
      <c r="D1811" s="2" t="str">
        <f t="shared" si="27"/>
        <v>Error?</v>
      </c>
    </row>
    <row r="1812" spans="1:4" x14ac:dyDescent="0.2">
      <c r="A1812" s="5">
        <v>1751</v>
      </c>
      <c r="B1812" s="138">
        <f>'Tax Sched 23'!E8</f>
        <v>40938</v>
      </c>
      <c r="D1812" s="2" t="str">
        <f t="shared" si="27"/>
        <v>Error?</v>
      </c>
    </row>
    <row r="1813" spans="1:4" x14ac:dyDescent="0.2">
      <c r="A1813" s="5">
        <v>1752</v>
      </c>
      <c r="B1813" s="138">
        <f>'Tax Sched 23'!E10</f>
        <v>1006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4953</v>
      </c>
      <c r="D1816" s="2" t="str">
        <f t="shared" si="27"/>
        <v>Error?</v>
      </c>
    </row>
    <row r="1817" spans="1:4" x14ac:dyDescent="0.2">
      <c r="A1817" s="5">
        <v>1756</v>
      </c>
      <c r="B1817" s="138">
        <f>'Tax Sched 23'!E12</f>
        <v>1006</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2790854</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2738000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0</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671408</v>
      </c>
      <c r="D2008" s="2" t="str">
        <f t="shared" si="30"/>
        <v>Error?</v>
      </c>
    </row>
    <row r="2009" spans="1:4" x14ac:dyDescent="0.2">
      <c r="A2009" s="5">
        <v>1948</v>
      </c>
      <c r="B2009" s="138">
        <f>'Cap Outlay Deprec 26'!C8</f>
        <v>7838412</v>
      </c>
      <c r="D2009" s="2" t="str">
        <f t="shared" si="30"/>
        <v>Error?</v>
      </c>
    </row>
    <row r="2010" spans="1:4" x14ac:dyDescent="0.2">
      <c r="A2010" s="5">
        <v>1949</v>
      </c>
      <c r="B2010" s="138">
        <f>'Cap Outlay Deprec 26'!C10</f>
        <v>70850</v>
      </c>
      <c r="D2010" s="2" t="str">
        <f t="shared" si="30"/>
        <v>Error?</v>
      </c>
    </row>
    <row r="2011" spans="1:4" x14ac:dyDescent="0.2">
      <c r="A2011" s="5">
        <v>1950</v>
      </c>
      <c r="B2011" s="138">
        <f>'Cap Outlay Deprec 26'!C12</f>
        <v>1000959</v>
      </c>
      <c r="D2011" s="2" t="str">
        <f t="shared" si="30"/>
        <v>Error?</v>
      </c>
    </row>
    <row r="2012" spans="1:4" x14ac:dyDescent="0.2">
      <c r="A2012" s="5">
        <v>1951</v>
      </c>
      <c r="B2012" s="138">
        <f>'Cap Outlay Deprec 26'!C13</f>
        <v>348550</v>
      </c>
      <c r="D2012" s="2" t="str">
        <f t="shared" si="30"/>
        <v>Error?</v>
      </c>
    </row>
    <row r="2013" spans="1:4" x14ac:dyDescent="0.2">
      <c r="A2013" s="5">
        <v>1952</v>
      </c>
      <c r="B2013" s="138">
        <f>'Cap Outlay Deprec 26'!C16</f>
        <v>9930179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367674</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2144</v>
      </c>
      <c r="D2017" s="2" t="str">
        <f t="shared" si="30"/>
        <v>Error?</v>
      </c>
    </row>
    <row r="2018" spans="1:4" x14ac:dyDescent="0.2">
      <c r="A2018" s="5">
        <v>1957</v>
      </c>
      <c r="B2018" s="138">
        <f>'Cap Outlay Deprec 26'!D13</f>
        <v>42172</v>
      </c>
      <c r="D2018" s="2" t="str">
        <f t="shared" si="30"/>
        <v>Error?</v>
      </c>
    </row>
    <row r="2019" spans="1:4" x14ac:dyDescent="0.2">
      <c r="A2019" s="5">
        <v>1958</v>
      </c>
      <c r="B2019" s="138">
        <f>'Cap Outlay Deprec 26'!D16</f>
        <v>411990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671408</v>
      </c>
      <c r="C2026" s="2" t="s">
        <v>594</v>
      </c>
      <c r="D2026" s="2" t="str">
        <f t="shared" si="30"/>
        <v>Error?</v>
      </c>
    </row>
    <row r="2027" spans="1:4" x14ac:dyDescent="0.2">
      <c r="A2027" s="5">
        <v>1966</v>
      </c>
      <c r="B2027" s="138">
        <f>'Cap Outlay Deprec 26'!F8</f>
        <v>8206086</v>
      </c>
      <c r="C2027" s="2" t="s">
        <v>594</v>
      </c>
      <c r="D2027" s="2" t="str">
        <f t="shared" si="30"/>
        <v>Error?</v>
      </c>
    </row>
    <row r="2028" spans="1:4" x14ac:dyDescent="0.2">
      <c r="A2028" s="5">
        <v>1967</v>
      </c>
      <c r="B2028" s="138">
        <f>'Cap Outlay Deprec 26'!F10</f>
        <v>70850</v>
      </c>
      <c r="C2028" s="2" t="s">
        <v>594</v>
      </c>
      <c r="D2028" s="2" t="str">
        <f t="shared" si="30"/>
        <v>Error?</v>
      </c>
    </row>
    <row r="2029" spans="1:4" x14ac:dyDescent="0.2">
      <c r="A2029" s="5">
        <v>1968</v>
      </c>
      <c r="B2029" s="138">
        <f>'Cap Outlay Deprec 26'!F12</f>
        <v>1003103</v>
      </c>
      <c r="C2029" s="2" t="s">
        <v>594</v>
      </c>
      <c r="D2029" s="2" t="str">
        <f t="shared" si="30"/>
        <v>Error?</v>
      </c>
    </row>
    <row r="2030" spans="1:4" x14ac:dyDescent="0.2">
      <c r="A2030" s="5">
        <v>1969</v>
      </c>
      <c r="B2030" s="138">
        <f>'Cap Outlay Deprec 26'!F13</f>
        <v>390722</v>
      </c>
      <c r="C2030" s="2" t="s">
        <v>594</v>
      </c>
      <c r="D2030" s="2" t="str">
        <f t="shared" si="30"/>
        <v>Error?</v>
      </c>
    </row>
    <row r="2031" spans="1:4" x14ac:dyDescent="0.2">
      <c r="A2031" s="5">
        <v>1970</v>
      </c>
      <c r="B2031" s="138">
        <f>'Cap Outlay Deprec 26'!F16</f>
        <v>10342169</v>
      </c>
      <c r="C2031" s="2" t="s">
        <v>594</v>
      </c>
      <c r="D2031" s="2" t="str">
        <f t="shared" si="30"/>
        <v>Error?</v>
      </c>
    </row>
    <row r="2032" spans="1:4" x14ac:dyDescent="0.2">
      <c r="A2032" s="10">
        <v>1971</v>
      </c>
      <c r="D2032" s="2" t="str">
        <f t="shared" si="30"/>
        <v>OK</v>
      </c>
    </row>
    <row r="2033" spans="1:4" x14ac:dyDescent="0.2">
      <c r="A2033" s="5">
        <v>1972</v>
      </c>
      <c r="B2033" s="138">
        <f>'Cap Outlay Deprec 26'!H8</f>
        <v>2308130</v>
      </c>
      <c r="D2033" s="2" t="str">
        <f t="shared" si="30"/>
        <v>Error?</v>
      </c>
    </row>
    <row r="2034" spans="1:4" x14ac:dyDescent="0.2">
      <c r="A2034" s="5">
        <v>1973</v>
      </c>
      <c r="B2034" s="138">
        <f>'Cap Outlay Deprec 26'!H10</f>
        <v>19904</v>
      </c>
      <c r="D2034" s="2" t="str">
        <f t="shared" si="30"/>
        <v>Error?</v>
      </c>
    </row>
    <row r="2035" spans="1:4" x14ac:dyDescent="0.2">
      <c r="A2035" s="5">
        <v>1974</v>
      </c>
      <c r="B2035" s="138">
        <f>'Cap Outlay Deprec 26'!H12</f>
        <v>785157</v>
      </c>
      <c r="D2035" s="2" t="str">
        <f t="shared" si="30"/>
        <v>Error?</v>
      </c>
    </row>
    <row r="2036" spans="1:4" x14ac:dyDescent="0.2">
      <c r="A2036" s="5">
        <v>1975</v>
      </c>
      <c r="B2036" s="138">
        <f>'Cap Outlay Deprec 26'!H13</f>
        <v>306893</v>
      </c>
      <c r="D2036" s="2" t="str">
        <f t="shared" si="30"/>
        <v>Error?</v>
      </c>
    </row>
    <row r="2037" spans="1:4" x14ac:dyDescent="0.2">
      <c r="A2037" s="5">
        <v>1976</v>
      </c>
      <c r="B2037" s="138">
        <f>'Cap Outlay Deprec 26'!H16</f>
        <v>3420084</v>
      </c>
      <c r="C2037" s="2" t="s">
        <v>594</v>
      </c>
      <c r="D2037" s="2" t="str">
        <f t="shared" si="30"/>
        <v>Error?</v>
      </c>
    </row>
    <row r="2038" spans="1:4" x14ac:dyDescent="0.2">
      <c r="A2038" s="10">
        <v>1977</v>
      </c>
      <c r="D2038" s="2" t="str">
        <f t="shared" si="30"/>
        <v>OK</v>
      </c>
    </row>
    <row r="2039" spans="1:4" x14ac:dyDescent="0.2">
      <c r="A2039" s="5">
        <v>1978</v>
      </c>
      <c r="B2039" s="138">
        <f>'Cap Outlay Deprec 26'!I8</f>
        <v>163382</v>
      </c>
      <c r="D2039" s="2" t="str">
        <f t="shared" si="30"/>
        <v>Error?</v>
      </c>
    </row>
    <row r="2040" spans="1:4" x14ac:dyDescent="0.2">
      <c r="A2040" s="5">
        <v>1979</v>
      </c>
      <c r="B2040" s="138">
        <f>'Cap Outlay Deprec 26'!I10</f>
        <v>3729</v>
      </c>
      <c r="D2040" s="2" t="str">
        <f t="shared" si="30"/>
        <v>Error?</v>
      </c>
    </row>
    <row r="2041" spans="1:4" x14ac:dyDescent="0.2">
      <c r="A2041" s="5">
        <v>1980</v>
      </c>
      <c r="B2041" s="138">
        <f>'Cap Outlay Deprec 26'!I12</f>
        <v>32662</v>
      </c>
      <c r="D2041" s="2" t="str">
        <f t="shared" si="30"/>
        <v>Error?</v>
      </c>
    </row>
    <row r="2042" spans="1:4" x14ac:dyDescent="0.2">
      <c r="A2042" s="5">
        <v>1981</v>
      </c>
      <c r="B2042" s="138">
        <f>'Cap Outlay Deprec 26'!I13</f>
        <v>28070</v>
      </c>
      <c r="D2042" s="2" t="str">
        <f t="shared" si="30"/>
        <v>Error?</v>
      </c>
    </row>
    <row r="2043" spans="1:4" x14ac:dyDescent="0.2">
      <c r="A2043" s="5">
        <v>1982</v>
      </c>
      <c r="B2043" s="138">
        <f>'Cap Outlay Deprec 26'!I16</f>
        <v>227843</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2471512</v>
      </c>
      <c r="C2051" s="2" t="s">
        <v>594</v>
      </c>
      <c r="D2051" s="2" t="str">
        <f t="shared" si="31"/>
        <v>Error?</v>
      </c>
    </row>
    <row r="2052" spans="1:4" x14ac:dyDescent="0.2">
      <c r="A2052" s="5">
        <v>1991</v>
      </c>
      <c r="B2052" s="138">
        <f>'Cap Outlay Deprec 26'!K10</f>
        <v>23633</v>
      </c>
      <c r="C2052" s="2" t="s">
        <v>594</v>
      </c>
      <c r="D2052" s="2" t="str">
        <f t="shared" si="31"/>
        <v>Error?</v>
      </c>
    </row>
    <row r="2053" spans="1:4" x14ac:dyDescent="0.2">
      <c r="A2053" s="5">
        <v>1992</v>
      </c>
      <c r="B2053" s="138">
        <f>'Cap Outlay Deprec 26'!K12</f>
        <v>817819</v>
      </c>
      <c r="C2053" s="2" t="s">
        <v>594</v>
      </c>
      <c r="D2053" s="2" t="str">
        <f t="shared" si="31"/>
        <v>Error?</v>
      </c>
    </row>
    <row r="2054" spans="1:4" x14ac:dyDescent="0.2">
      <c r="A2054" s="5">
        <v>1993</v>
      </c>
      <c r="B2054" s="138">
        <f>'Cap Outlay Deprec 26'!K13</f>
        <v>334963</v>
      </c>
      <c r="C2054" s="2" t="s">
        <v>594</v>
      </c>
      <c r="D2054" s="2" t="str">
        <f t="shared" si="31"/>
        <v>Error?</v>
      </c>
    </row>
    <row r="2055" spans="1:4" x14ac:dyDescent="0.2">
      <c r="A2055" s="5">
        <v>1994</v>
      </c>
      <c r="B2055" s="138">
        <f>'Cap Outlay Deprec 26'!K16</f>
        <v>3647927</v>
      </c>
      <c r="C2055" s="2" t="s">
        <v>594</v>
      </c>
      <c r="D2055" s="2" t="str">
        <f t="shared" si="31"/>
        <v>Error?</v>
      </c>
    </row>
    <row r="2056" spans="1:4" x14ac:dyDescent="0.2">
      <c r="A2056" s="5">
        <v>1995</v>
      </c>
      <c r="B2056" s="138">
        <f>'Cap Outlay Deprec 26'!L5</f>
        <v>671408</v>
      </c>
      <c r="C2056" s="2" t="s">
        <v>594</v>
      </c>
      <c r="D2056" s="2" t="str">
        <f t="shared" si="31"/>
        <v>Error?</v>
      </c>
    </row>
    <row r="2057" spans="1:4" x14ac:dyDescent="0.2">
      <c r="A2057" s="5">
        <v>1996</v>
      </c>
      <c r="B2057" s="138">
        <f>'Cap Outlay Deprec 26'!L8</f>
        <v>5734574</v>
      </c>
      <c r="C2057" s="2" t="s">
        <v>594</v>
      </c>
      <c r="D2057" s="2" t="str">
        <f t="shared" si="31"/>
        <v>Error?</v>
      </c>
    </row>
    <row r="2058" spans="1:4" x14ac:dyDescent="0.2">
      <c r="A2058" s="5">
        <v>1997</v>
      </c>
      <c r="B2058" s="138">
        <f>'Cap Outlay Deprec 26'!L10</f>
        <v>47217</v>
      </c>
      <c r="C2058" s="2" t="s">
        <v>594</v>
      </c>
      <c r="D2058" s="2" t="str">
        <f t="shared" si="31"/>
        <v>Error?</v>
      </c>
    </row>
    <row r="2059" spans="1:4" x14ac:dyDescent="0.2">
      <c r="A2059" s="5">
        <v>1998</v>
      </c>
      <c r="B2059" s="138">
        <f>'Cap Outlay Deprec 26'!L12</f>
        <v>185284</v>
      </c>
      <c r="C2059" s="2" t="s">
        <v>594</v>
      </c>
      <c r="D2059" s="2" t="str">
        <f t="shared" si="31"/>
        <v>Error?</v>
      </c>
    </row>
    <row r="2060" spans="1:4" x14ac:dyDescent="0.2">
      <c r="A2060" s="5">
        <v>1999</v>
      </c>
      <c r="B2060" s="138">
        <f>'Cap Outlay Deprec 26'!L13</f>
        <v>55759</v>
      </c>
      <c r="C2060" s="2" t="s">
        <v>594</v>
      </c>
      <c r="D2060" s="2" t="str">
        <f t="shared" si="31"/>
        <v>Error?</v>
      </c>
    </row>
    <row r="2061" spans="1:4" x14ac:dyDescent="0.2">
      <c r="A2061" s="5">
        <v>2000</v>
      </c>
      <c r="B2061" s="138">
        <f>'Cap Outlay Deprec 26'!L16</f>
        <v>6694242</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51384</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1864794</v>
      </c>
      <c r="C2551" s="2" t="s">
        <v>594</v>
      </c>
      <c r="D2551" s="2" t="str">
        <f t="shared" si="38"/>
        <v>Error?</v>
      </c>
    </row>
    <row r="2552" spans="1:4" x14ac:dyDescent="0.2">
      <c r="A2552" s="10">
        <v>2491</v>
      </c>
      <c r="D2552" s="2" t="str">
        <f t="shared" si="38"/>
        <v>OK</v>
      </c>
    </row>
    <row r="2553" spans="1:4" x14ac:dyDescent="0.2">
      <c r="A2553" s="5">
        <v>2492</v>
      </c>
      <c r="B2553" s="138">
        <f>'Acct Summary 7-8'!C6</f>
        <v>1136515</v>
      </c>
      <c r="C2553" s="2" t="s">
        <v>594</v>
      </c>
      <c r="D2553" s="2" t="str">
        <f t="shared" si="38"/>
        <v>Error?</v>
      </c>
    </row>
    <row r="2554" spans="1:4" x14ac:dyDescent="0.2">
      <c r="A2554" s="5">
        <v>2493</v>
      </c>
      <c r="B2554" s="138">
        <f>'Acct Summary 7-8'!C7</f>
        <v>270458</v>
      </c>
      <c r="C2554" s="2" t="s">
        <v>594</v>
      </c>
      <c r="D2554" s="2" t="str">
        <f t="shared" si="38"/>
        <v>Error?</v>
      </c>
    </row>
    <row r="2555" spans="1:4" x14ac:dyDescent="0.2">
      <c r="A2555" s="5">
        <v>2494</v>
      </c>
      <c r="B2555" s="138">
        <f>'Acct Summary 7-8'!C8</f>
        <v>3271767</v>
      </c>
      <c r="C2555" s="2" t="s">
        <v>594</v>
      </c>
      <c r="D2555" s="2" t="str">
        <f t="shared" si="38"/>
        <v>Error?</v>
      </c>
    </row>
    <row r="2556" spans="1:4" x14ac:dyDescent="0.2">
      <c r="A2556" s="5">
        <v>2495</v>
      </c>
      <c r="B2556" s="138">
        <f>'Acct Summary 7-8'!C12</f>
        <v>1785856</v>
      </c>
      <c r="C2556" s="2" t="s">
        <v>594</v>
      </c>
      <c r="D2556" s="2" t="str">
        <f t="shared" si="38"/>
        <v>Error?</v>
      </c>
    </row>
    <row r="2557" spans="1:4" x14ac:dyDescent="0.2">
      <c r="A2557" s="5">
        <v>2496</v>
      </c>
      <c r="B2557" s="138">
        <f>'Acct Summary 7-8'!C13</f>
        <v>1154857</v>
      </c>
      <c r="C2557" s="2" t="s">
        <v>594</v>
      </c>
      <c r="D2557" s="2" t="str">
        <f t="shared" si="38"/>
        <v>Error?</v>
      </c>
    </row>
    <row r="2558" spans="1:4" x14ac:dyDescent="0.2">
      <c r="A2558" s="5">
        <v>2497</v>
      </c>
      <c r="B2558" s="138">
        <f>'Acct Summary 7-8'!C14</f>
        <v>948</v>
      </c>
      <c r="C2558" s="2" t="s">
        <v>594</v>
      </c>
      <c r="D2558" s="2" t="str">
        <f t="shared" si="38"/>
        <v>Error?</v>
      </c>
    </row>
    <row r="2559" spans="1:4" x14ac:dyDescent="0.2">
      <c r="A2559" s="5">
        <v>2498</v>
      </c>
      <c r="B2559" s="138">
        <f>'Acct Summary 7-8'!C15</f>
        <v>51384</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2993045</v>
      </c>
      <c r="C2561" s="2" t="s">
        <v>594</v>
      </c>
      <c r="D2561" s="2" t="str">
        <f t="shared" si="39"/>
        <v>Error?</v>
      </c>
    </row>
    <row r="2562" spans="1:4" x14ac:dyDescent="0.2">
      <c r="A2562" s="5">
        <v>2501</v>
      </c>
      <c r="B2562" s="138">
        <f>'Acct Summary 7-8'!C20</f>
        <v>278722</v>
      </c>
      <c r="C2562" s="2" t="s">
        <v>594</v>
      </c>
      <c r="D2562" s="2" t="str">
        <f t="shared" si="39"/>
        <v>Error?</v>
      </c>
    </row>
    <row r="2563" spans="1:4" x14ac:dyDescent="0.2">
      <c r="A2563" s="5">
        <v>2502</v>
      </c>
      <c r="B2563" s="138">
        <f>'Acct Summary 7-8'!C80</f>
        <v>-1</v>
      </c>
      <c r="D2563" s="2" t="str">
        <f t="shared" si="39"/>
        <v>Error?</v>
      </c>
    </row>
    <row r="2564" spans="1:4" x14ac:dyDescent="0.2">
      <c r="A2564" s="5">
        <v>2503</v>
      </c>
      <c r="B2564" s="138">
        <f>'Acct Summary 7-8'!D4</f>
        <v>318039</v>
      </c>
      <c r="C2564" s="2" t="s">
        <v>594</v>
      </c>
      <c r="D2564" s="2" t="str">
        <f t="shared" si="39"/>
        <v>Error?</v>
      </c>
    </row>
    <row r="2565" spans="1:4" x14ac:dyDescent="0.2">
      <c r="A2565" s="10">
        <v>2504</v>
      </c>
      <c r="D2565" s="2" t="str">
        <f t="shared" si="39"/>
        <v>OK</v>
      </c>
    </row>
    <row r="2566" spans="1:4" x14ac:dyDescent="0.2">
      <c r="A2566" s="5">
        <v>2505</v>
      </c>
      <c r="B2566" s="138">
        <f>'Acct Summary 7-8'!D6</f>
        <v>285000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603039</v>
      </c>
      <c r="C2568" s="2" t="s">
        <v>594</v>
      </c>
      <c r="D2568" s="2" t="str">
        <f t="shared" si="39"/>
        <v>Error?</v>
      </c>
    </row>
    <row r="2569" spans="1:4" x14ac:dyDescent="0.2">
      <c r="A2569" s="5">
        <v>2508</v>
      </c>
      <c r="B2569" s="138">
        <f>'Acct Summary 7-8'!D13</f>
        <v>688980</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688980</v>
      </c>
      <c r="C2573" s="2" t="s">
        <v>594</v>
      </c>
      <c r="D2573" s="2" t="str">
        <f t="shared" si="39"/>
        <v>Error?</v>
      </c>
    </row>
    <row r="2574" spans="1:4" x14ac:dyDescent="0.2">
      <c r="A2574" s="5">
        <v>2513</v>
      </c>
      <c r="B2574" s="138">
        <f>'Acct Summary 7-8'!D20</f>
        <v>-85941</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47828</v>
      </c>
      <c r="C2591" s="2" t="s">
        <v>594</v>
      </c>
      <c r="D2591" s="2" t="str">
        <f t="shared" si="39"/>
        <v>Error?</v>
      </c>
    </row>
    <row r="2592" spans="1:4" x14ac:dyDescent="0.2">
      <c r="A2592" s="10">
        <v>2531</v>
      </c>
      <c r="D2592" s="2" t="str">
        <f t="shared" si="39"/>
        <v>OK</v>
      </c>
    </row>
    <row r="2593" spans="1:4" x14ac:dyDescent="0.2">
      <c r="A2593" s="5">
        <v>2532</v>
      </c>
      <c r="B2593" s="138">
        <f>'Acct Summary 7-8'!F6</f>
        <v>179165</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226993</v>
      </c>
      <c r="C2595" s="2" t="s">
        <v>594</v>
      </c>
      <c r="D2595" s="2" t="str">
        <f t="shared" si="39"/>
        <v>Error?</v>
      </c>
    </row>
    <row r="2596" spans="1:4" x14ac:dyDescent="0.2">
      <c r="A2596" s="5">
        <v>2535</v>
      </c>
      <c r="B2596" s="138">
        <f>'Acct Summary 7-8'!F13</f>
        <v>238291</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238291</v>
      </c>
      <c r="C2600" s="2" t="s">
        <v>594</v>
      </c>
      <c r="D2600" s="2" t="str">
        <f t="shared" si="39"/>
        <v>Error?</v>
      </c>
    </row>
    <row r="2601" spans="1:4" x14ac:dyDescent="0.2">
      <c r="A2601" s="5">
        <v>2540</v>
      </c>
      <c r="B2601" s="138">
        <f>'Acct Summary 7-8'!F20</f>
        <v>-11298</v>
      </c>
      <c r="C2601" s="2" t="s">
        <v>594</v>
      </c>
      <c r="D2601" s="2" t="str">
        <f t="shared" si="39"/>
        <v>Error?</v>
      </c>
    </row>
    <row r="2602" spans="1:4" x14ac:dyDescent="0.2">
      <c r="A2602" s="5">
        <v>2541</v>
      </c>
      <c r="B2602" s="138">
        <f>'Acct Summary 7-8'!F80</f>
        <v>-1</v>
      </c>
      <c r="D2602" s="2" t="str">
        <f t="shared" si="39"/>
        <v>Error?</v>
      </c>
    </row>
    <row r="2603" spans="1:4" x14ac:dyDescent="0.2">
      <c r="A2603" s="5">
        <v>2542</v>
      </c>
      <c r="B2603" s="138">
        <f>'Acct Summary 7-8'!G4</f>
        <v>93113</v>
      </c>
      <c r="C2603" s="2" t="s">
        <v>594</v>
      </c>
      <c r="D2603" s="2" t="str">
        <f t="shared" si="39"/>
        <v>Error?</v>
      </c>
    </row>
    <row r="2604" spans="1:4" x14ac:dyDescent="0.2">
      <c r="A2604" s="5">
        <v>2543</v>
      </c>
      <c r="B2604" s="138">
        <f>'Acct Summary 7-8'!G6</f>
        <v>10000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103113</v>
      </c>
      <c r="C2606" s="2" t="s">
        <v>594</v>
      </c>
      <c r="D2606" s="2" t="str">
        <f t="shared" si="39"/>
        <v>Error?</v>
      </c>
    </row>
    <row r="2607" spans="1:4" x14ac:dyDescent="0.2">
      <c r="A2607" s="5">
        <v>2546</v>
      </c>
      <c r="B2607" s="138">
        <f>'Acct Summary 7-8'!G12</f>
        <v>37253</v>
      </c>
      <c r="C2607" s="2" t="s">
        <v>594</v>
      </c>
      <c r="D2607" s="2" t="str">
        <f t="shared" si="39"/>
        <v>Error?</v>
      </c>
    </row>
    <row r="2608" spans="1:4" x14ac:dyDescent="0.2">
      <c r="A2608" s="5">
        <v>2547</v>
      </c>
      <c r="B2608" s="138">
        <f>'Acct Summary 7-8'!G13</f>
        <v>68293</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105546</v>
      </c>
      <c r="C2612" s="2" t="s">
        <v>594</v>
      </c>
      <c r="D2612" s="2" t="str">
        <f t="shared" si="39"/>
        <v>Error?</v>
      </c>
    </row>
    <row r="2613" spans="1:4" x14ac:dyDescent="0.2">
      <c r="A2613" s="5">
        <v>2552</v>
      </c>
      <c r="B2613" s="138">
        <f>'Acct Summary 7-8'!G20</f>
        <v>-2433</v>
      </c>
      <c r="C2613" s="2" t="s">
        <v>594</v>
      </c>
      <c r="D2613" s="2" t="str">
        <f t="shared" si="39"/>
        <v>Error?</v>
      </c>
    </row>
    <row r="2614" spans="1:4" x14ac:dyDescent="0.2">
      <c r="A2614" s="5">
        <v>2553</v>
      </c>
      <c r="B2614" s="138">
        <f>'Acct Summary 7-8'!G80</f>
        <v>-2</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493587</v>
      </c>
      <c r="C2630" s="2" t="s">
        <v>594</v>
      </c>
      <c r="D2630" s="2" t="str">
        <f t="shared" si="40"/>
        <v>Error?</v>
      </c>
    </row>
    <row r="2631" spans="1:4" x14ac:dyDescent="0.2">
      <c r="A2631" s="5">
        <v>2570</v>
      </c>
      <c r="B2631" s="138">
        <f>'Acct Summary 7-8'!E6</f>
        <v>18200</v>
      </c>
      <c r="C2631" s="2" t="s">
        <v>594</v>
      </c>
      <c r="D2631" s="2" t="str">
        <f t="shared" si="40"/>
        <v>Error?</v>
      </c>
    </row>
    <row r="2632" spans="1:4" x14ac:dyDescent="0.2">
      <c r="A2632" s="5">
        <v>2571</v>
      </c>
      <c r="B2632" s="138">
        <f>'Acct Summary 7-8'!E8</f>
        <v>511787</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520648</v>
      </c>
      <c r="C2634" s="2" t="s">
        <v>594</v>
      </c>
      <c r="D2634" s="2" t="str">
        <f t="shared" si="40"/>
        <v>Error?</v>
      </c>
    </row>
    <row r="2635" spans="1:4" x14ac:dyDescent="0.2">
      <c r="A2635" s="5">
        <v>2574</v>
      </c>
      <c r="B2635" s="138">
        <f>'Acct Summary 7-8'!E17</f>
        <v>520648</v>
      </c>
      <c r="C2635" s="2" t="s">
        <v>594</v>
      </c>
      <c r="D2635" s="2" t="str">
        <f t="shared" si="40"/>
        <v>Error?</v>
      </c>
    </row>
    <row r="2636" spans="1:4" x14ac:dyDescent="0.2">
      <c r="A2636" s="5">
        <v>2575</v>
      </c>
      <c r="B2636" s="138">
        <f>'Acct Summary 7-8'!E20</f>
        <v>-8861</v>
      </c>
      <c r="C2636" s="2" t="s">
        <v>594</v>
      </c>
      <c r="D2636" s="2" t="str">
        <f t="shared" si="40"/>
        <v>Error?</v>
      </c>
    </row>
    <row r="2637" spans="1:4" x14ac:dyDescent="0.2">
      <c r="A2637" s="5">
        <v>2576</v>
      </c>
      <c r="B2637" s="138">
        <f>'Acct Summary 7-8'!E80</f>
        <v>1</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17385</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17385</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17385</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51384</v>
      </c>
      <c r="C2789" s="2" t="s">
        <v>594</v>
      </c>
      <c r="D2789" s="2" t="str">
        <f t="shared" si="42"/>
        <v>Error?</v>
      </c>
    </row>
    <row r="2790" spans="1:4" x14ac:dyDescent="0.2">
      <c r="A2790" s="5">
        <v>2729</v>
      </c>
      <c r="B2790" s="138">
        <f>'Expenditures 15-22'!E102</f>
        <v>51384</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42669</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28416</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42669</v>
      </c>
      <c r="D2912" s="2" t="str">
        <f t="shared" si="44"/>
        <v>Error?</v>
      </c>
    </row>
    <row r="2913" spans="1:4" x14ac:dyDescent="0.2">
      <c r="A2913" s="5">
        <v>2852</v>
      </c>
      <c r="B2913" s="138">
        <f>'Assets-Liab 5-6'!I41</f>
        <v>42669</v>
      </c>
      <c r="C2913" s="2" t="s">
        <v>594</v>
      </c>
      <c r="D2913" s="2" t="str">
        <f t="shared" si="44"/>
        <v>Error?</v>
      </c>
    </row>
    <row r="2914" spans="1:4" x14ac:dyDescent="0.2">
      <c r="A2914" s="5">
        <v>2853</v>
      </c>
      <c r="B2914" s="138">
        <f>'Assets-Liab 5-6'!L33</f>
        <v>28416</v>
      </c>
      <c r="D2914" s="2" t="str">
        <f t="shared" si="44"/>
        <v>Error?</v>
      </c>
    </row>
    <row r="2915" spans="1:4" x14ac:dyDescent="0.2">
      <c r="A2915" s="10">
        <v>2854</v>
      </c>
      <c r="D2915" s="2" t="str">
        <f t="shared" si="44"/>
        <v>OK</v>
      </c>
    </row>
    <row r="2916" spans="1:4" x14ac:dyDescent="0.2">
      <c r="A2916" s="5">
        <v>2855</v>
      </c>
      <c r="B2916" s="138">
        <f>'Assets-Liab 5-6'!L34</f>
        <v>28416</v>
      </c>
      <c r="C2916" s="2" t="s">
        <v>594</v>
      </c>
      <c r="D2916" s="2" t="str">
        <f t="shared" si="44"/>
        <v>Error?</v>
      </c>
    </row>
    <row r="2917" spans="1:4" x14ac:dyDescent="0.2">
      <c r="A2917" s="5">
        <v>2856</v>
      </c>
      <c r="B2917" s="138">
        <f>'Assets-Liab 5-6'!L41</f>
        <v>28416</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51384</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51384</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53446</v>
      </c>
      <c r="D3055" s="2" t="str">
        <f t="shared" si="46"/>
        <v>Error?</v>
      </c>
    </row>
    <row r="3056" spans="1:4" x14ac:dyDescent="0.2">
      <c r="A3056" s="5">
        <v>2995</v>
      </c>
      <c r="B3056" s="138">
        <f>'Expenditures 15-22'!D10</f>
        <v>13210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624</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67280</v>
      </c>
      <c r="C3062" s="2" t="s">
        <v>594</v>
      </c>
      <c r="D3062" s="2" t="str">
        <f t="shared" si="46"/>
        <v>Error?</v>
      </c>
    </row>
    <row r="3063" spans="1:4" x14ac:dyDescent="0.2">
      <c r="A3063" s="10">
        <v>3002</v>
      </c>
      <c r="D3063" s="2" t="str">
        <f t="shared" si="46"/>
        <v>OK</v>
      </c>
    </row>
    <row r="3064" spans="1:4" x14ac:dyDescent="0.2">
      <c r="A3064" s="5">
        <v>3003</v>
      </c>
      <c r="B3064" s="138">
        <f>'Expenditures 15-22'!D219</f>
        <v>1836</v>
      </c>
      <c r="D3064" s="2" t="str">
        <f t="shared" si="46"/>
        <v>Error?</v>
      </c>
    </row>
    <row r="3065" spans="1:4" x14ac:dyDescent="0.2">
      <c r="A3065" s="5">
        <v>3004</v>
      </c>
      <c r="B3065" s="138">
        <f>'Expenditures 15-22'!K219</f>
        <v>1836</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747</v>
      </c>
      <c r="C3225" s="2" t="s">
        <v>594</v>
      </c>
      <c r="D3225" s="2" t="str">
        <f t="shared" si="49"/>
        <v>Error?</v>
      </c>
    </row>
    <row r="3226" spans="1:4" x14ac:dyDescent="0.2">
      <c r="A3226" s="5">
        <v>3165</v>
      </c>
      <c r="B3226" s="138">
        <f>'Acct Summary 7-8'!I8</f>
        <v>747</v>
      </c>
      <c r="C3226" s="2" t="s">
        <v>594</v>
      </c>
      <c r="D3226" s="2" t="str">
        <f t="shared" si="49"/>
        <v>Error?</v>
      </c>
    </row>
    <row r="3227" spans="1:4" x14ac:dyDescent="0.2">
      <c r="A3227" s="5">
        <v>3166</v>
      </c>
      <c r="B3227" s="138">
        <f>'Acct Summary 7-8'!I20</f>
        <v>747</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278722</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-85941</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-11298</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-2433</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-8861</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17385</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747</v>
      </c>
      <c r="C3320" s="2" t="s">
        <v>594</v>
      </c>
      <c r="D3320" s="2" t="str">
        <f t="shared" si="50"/>
        <v>Error?</v>
      </c>
    </row>
    <row r="3321" spans="1:4" x14ac:dyDescent="0.2">
      <c r="A3321" s="5">
        <v>3260</v>
      </c>
      <c r="B3321" s="138">
        <f>'Acct Summary 7-8'!I79</f>
        <v>41921</v>
      </c>
      <c r="D3321" s="2" t="str">
        <f t="shared" si="50"/>
        <v>Error?</v>
      </c>
    </row>
    <row r="3322" spans="1:4" x14ac:dyDescent="0.2">
      <c r="A3322" s="5">
        <v>3261</v>
      </c>
      <c r="B3322" s="138">
        <f>'Acct Summary 7-8'!I80</f>
        <v>1</v>
      </c>
      <c r="D3322" s="2" t="str">
        <f t="shared" si="50"/>
        <v>Error?</v>
      </c>
    </row>
    <row r="3323" spans="1:4" x14ac:dyDescent="0.2">
      <c r="A3323" s="5">
        <v>3262</v>
      </c>
      <c r="B3323" s="138">
        <f>'Acct Summary 7-8'!I81</f>
        <v>42669</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303455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63532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15457</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8312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3734</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394490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12296</v>
      </c>
      <c r="D3387" s="2" t="str">
        <f t="shared" si="51"/>
        <v>Error?</v>
      </c>
    </row>
    <row r="3388" spans="1:4" x14ac:dyDescent="0.2">
      <c r="A3388" s="5">
        <v>3327</v>
      </c>
      <c r="B3388" s="138">
        <f>'Expenditures 15-22'!D217</f>
        <v>20768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12296</v>
      </c>
      <c r="C3390" s="2" t="s">
        <v>594</v>
      </c>
      <c r="D3390" s="2" t="str">
        <f t="shared" si="51"/>
        <v>Error?</v>
      </c>
    </row>
    <row r="3391" spans="1:4" x14ac:dyDescent="0.2">
      <c r="A3391" s="5">
        <v>3330</v>
      </c>
      <c r="B3391" s="138">
        <f>'Expenditures 15-22'!K217</f>
        <v>20768</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1939971</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272044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73</v>
      </c>
      <c r="D3417" s="2" t="str">
        <f t="shared" si="52"/>
        <v>Error?</v>
      </c>
    </row>
    <row r="3418" spans="1:4" x14ac:dyDescent="0.2">
      <c r="A3418" s="10">
        <v>3357</v>
      </c>
      <c r="D3418" s="2" t="str">
        <f t="shared" si="52"/>
        <v>OK</v>
      </c>
    </row>
    <row r="3419" spans="1:4" x14ac:dyDescent="0.2">
      <c r="A3419" s="5">
        <v>3358</v>
      </c>
      <c r="B3419" s="138">
        <f>'Assets-Liab 5-6'!F4</f>
        <v>155193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38262</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217556</v>
      </c>
      <c r="D3425" s="2" t="str">
        <f t="shared" si="52"/>
        <v>Error?</v>
      </c>
    </row>
    <row r="3426" spans="1:4" x14ac:dyDescent="0.2">
      <c r="A3426" s="10">
        <v>3365</v>
      </c>
      <c r="D3426" s="2" t="str">
        <f t="shared" si="52"/>
        <v>OK</v>
      </c>
    </row>
    <row r="3427" spans="1:4" x14ac:dyDescent="0.2">
      <c r="A3427" s="5">
        <v>3366</v>
      </c>
      <c r="B3427" s="138">
        <f>'Assets-Liab 5-6'!I4</f>
        <v>42669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28416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60077</v>
      </c>
      <c r="C3446" s="2" t="s">
        <v>594</v>
      </c>
      <c r="D3446" s="2" t="str">
        <f t="shared" si="52"/>
        <v>Error?</v>
      </c>
    </row>
    <row r="3447" spans="1:4" x14ac:dyDescent="0.2">
      <c r="A3447" s="5">
        <v>3386</v>
      </c>
      <c r="B3447" s="138">
        <f>'Tax Sched 23'!D16</f>
        <v>60077</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66941</v>
      </c>
      <c r="C3449" s="2" t="s">
        <v>594</v>
      </c>
      <c r="D3449" s="2" t="str">
        <f t="shared" si="52"/>
        <v>Error?</v>
      </c>
    </row>
    <row r="3450" spans="1:4" x14ac:dyDescent="0.2">
      <c r="A3450" s="5">
        <v>3389</v>
      </c>
      <c r="B3450" s="138">
        <f>'Tax Sched 23'!E16</f>
        <v>66941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7357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7357</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7357</v>
      </c>
      <c r="D3567" s="2" t="str">
        <f t="shared" si="54"/>
        <v>Error?</v>
      </c>
    </row>
    <row r="3568" spans="1:4" x14ac:dyDescent="0.2">
      <c r="A3568" s="5">
        <v>3507</v>
      </c>
      <c r="B3568" s="138">
        <f>'Assets-Liab 5-6'!K41</f>
        <v>7357</v>
      </c>
      <c r="C3568" s="2" t="s">
        <v>594</v>
      </c>
      <c r="D3568" s="2" t="str">
        <f t="shared" si="54"/>
        <v>Error?</v>
      </c>
    </row>
    <row r="3569" spans="1:4" x14ac:dyDescent="0.2">
      <c r="A3569" s="5">
        <v>3508</v>
      </c>
      <c r="B3569" s="138">
        <f>'Acct Summary 7-8'!K4</f>
        <v>747</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747</v>
      </c>
      <c r="C3571" s="2" t="s">
        <v>594</v>
      </c>
      <c r="D3571" s="2" t="str">
        <f t="shared" si="54"/>
        <v>Error?</v>
      </c>
    </row>
    <row r="3572" spans="1:4" x14ac:dyDescent="0.2">
      <c r="A3572" s="5">
        <v>3511</v>
      </c>
      <c r="B3572" s="138">
        <f>'Acct Summary 7-8'!K13</f>
        <v>622</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622</v>
      </c>
      <c r="C3575" s="2" t="s">
        <v>594</v>
      </c>
      <c r="D3575" s="2" t="str">
        <f t="shared" si="54"/>
        <v>Error?</v>
      </c>
    </row>
    <row r="3576" spans="1:4" x14ac:dyDescent="0.2">
      <c r="A3576" s="5">
        <v>3515</v>
      </c>
      <c r="B3576" s="138">
        <f>'Acct Summary 7-8'!K20</f>
        <v>125</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125</v>
      </c>
      <c r="C3588" s="2" t="s">
        <v>594</v>
      </c>
      <c r="D3588" s="2" t="str">
        <f t="shared" si="55"/>
        <v>Error?</v>
      </c>
    </row>
    <row r="3589" spans="1:4" x14ac:dyDescent="0.2">
      <c r="A3589" s="5">
        <v>3528</v>
      </c>
      <c r="B3589" s="138">
        <f>'Acct Summary 7-8'!K79</f>
        <v>7231</v>
      </c>
      <c r="D3589" s="2" t="str">
        <f t="shared" si="55"/>
        <v>Error?</v>
      </c>
    </row>
    <row r="3590" spans="1:4" x14ac:dyDescent="0.2">
      <c r="A3590" s="5">
        <v>3529</v>
      </c>
      <c r="B3590" s="138">
        <f>'Acct Summary 7-8'!K80</f>
        <v>1</v>
      </c>
      <c r="D3590" s="2" t="str">
        <f t="shared" si="55"/>
        <v>Error?</v>
      </c>
    </row>
    <row r="3591" spans="1:4" x14ac:dyDescent="0.2">
      <c r="A3591" s="5">
        <v>3530</v>
      </c>
      <c r="B3591" s="138">
        <f>'Acct Summary 7-8'!K81</f>
        <v>7357</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585</v>
      </c>
      <c r="D3632" s="2" t="str">
        <f t="shared" si="55"/>
        <v>Error?</v>
      </c>
    </row>
    <row r="3633" spans="1:4" x14ac:dyDescent="0.2">
      <c r="A3633" s="5">
        <v>3572</v>
      </c>
      <c r="B3633" s="138">
        <f>'Expenditures 15-22'!E350</f>
        <v>585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585</v>
      </c>
      <c r="C3635" s="2" t="s">
        <v>594</v>
      </c>
      <c r="D3635" s="2" t="str">
        <f t="shared" si="55"/>
        <v>Error?</v>
      </c>
    </row>
    <row r="3636" spans="1:4" x14ac:dyDescent="0.2">
      <c r="A3636" s="5">
        <v>3575</v>
      </c>
      <c r="B3636" s="138">
        <f>'Expenditures 15-22'!E367</f>
        <v>585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37</v>
      </c>
      <c r="D3653" s="2" t="str">
        <f t="shared" si="56"/>
        <v>Error?</v>
      </c>
    </row>
    <row r="3654" spans="1:4" x14ac:dyDescent="0.2">
      <c r="A3654" s="5">
        <v>3593</v>
      </c>
      <c r="B3654" s="138">
        <f>'Expenditures 15-22'!H350</f>
        <v>37</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37</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37</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622</v>
      </c>
      <c r="C3669" s="2" t="s">
        <v>594</v>
      </c>
      <c r="D3669" s="2" t="str">
        <f t="shared" si="56"/>
        <v>Error?</v>
      </c>
    </row>
    <row r="3670" spans="1:4" x14ac:dyDescent="0.2">
      <c r="A3670" s="5">
        <v>3609</v>
      </c>
      <c r="B3670" s="138">
        <f>'Expenditures 15-22'!K350</f>
        <v>622</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622</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622</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125</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61462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1173611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4445378</v>
      </c>
      <c r="C4122" s="2" t="s">
        <v>594</v>
      </c>
      <c r="D4122" s="2" t="str">
        <f t="shared" si="63"/>
        <v>Error?</v>
      </c>
    </row>
    <row r="4123" spans="1:4" x14ac:dyDescent="0.2">
      <c r="A4123" s="5">
        <v>4062</v>
      </c>
      <c r="B4123" s="138">
        <f>'Acct Summary 7-8'!D10</f>
        <v>603039</v>
      </c>
      <c r="C4123" s="2" t="s">
        <v>594</v>
      </c>
      <c r="D4123" s="2" t="str">
        <f t="shared" si="63"/>
        <v>Error?</v>
      </c>
    </row>
    <row r="4124" spans="1:4" x14ac:dyDescent="0.2">
      <c r="A4124" s="5">
        <v>4063</v>
      </c>
      <c r="B4124" s="138">
        <f>'Acct Summary 7-8'!E10</f>
        <v>511787</v>
      </c>
      <c r="C4124" s="2" t="s">
        <v>594</v>
      </c>
      <c r="D4124" s="2" t="str">
        <f t="shared" si="63"/>
        <v>Error?</v>
      </c>
    </row>
    <row r="4125" spans="1:4" x14ac:dyDescent="0.2">
      <c r="A4125" s="5">
        <v>4064</v>
      </c>
      <c r="B4125" s="138">
        <f>'Acct Summary 7-8'!F10</f>
        <v>226993</v>
      </c>
      <c r="C4125" s="2" t="s">
        <v>594</v>
      </c>
      <c r="D4125" s="2" t="str">
        <f t="shared" si="63"/>
        <v>Error?</v>
      </c>
    </row>
    <row r="4126" spans="1:4" x14ac:dyDescent="0.2">
      <c r="A4126" s="5">
        <v>4065</v>
      </c>
      <c r="B4126" s="138">
        <f>'Acct Summary 7-8'!G10</f>
        <v>103113</v>
      </c>
      <c r="C4126" s="2" t="s">
        <v>594</v>
      </c>
      <c r="D4126" s="2" t="str">
        <f t="shared" si="63"/>
        <v>Error?</v>
      </c>
    </row>
    <row r="4127" spans="1:4" x14ac:dyDescent="0.2">
      <c r="A4127" s="5">
        <v>4066</v>
      </c>
      <c r="B4127" s="138">
        <f>'Acct Summary 7-8'!H10</f>
        <v>17385</v>
      </c>
      <c r="C4127" s="2" t="s">
        <v>594</v>
      </c>
      <c r="D4127" s="2" t="str">
        <f t="shared" si="63"/>
        <v>Error?</v>
      </c>
    </row>
    <row r="4128" spans="1:4" x14ac:dyDescent="0.2">
      <c r="A4128" s="5">
        <v>4067</v>
      </c>
      <c r="B4128" s="138">
        <f>'Acct Summary 7-8'!I10</f>
        <v>747</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747</v>
      </c>
      <c r="C4130" s="2" t="s">
        <v>594</v>
      </c>
      <c r="D4130" s="2" t="str">
        <f t="shared" si="63"/>
        <v>Error?</v>
      </c>
    </row>
    <row r="4131" spans="1:4" x14ac:dyDescent="0.2">
      <c r="A4131" s="5">
        <v>4070</v>
      </c>
      <c r="B4131" s="138">
        <f>'Acct Summary 7-8'!C18</f>
        <v>1173611</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4166656</v>
      </c>
      <c r="C4136" s="2" t="s">
        <v>594</v>
      </c>
      <c r="D4136" s="2" t="str">
        <f t="shared" si="63"/>
        <v>Error?</v>
      </c>
    </row>
    <row r="4137" spans="1:4" x14ac:dyDescent="0.2">
      <c r="A4137" s="5">
        <v>4076</v>
      </c>
      <c r="B4137" s="138">
        <f>'Acct Summary 7-8'!D19</f>
        <v>688980</v>
      </c>
      <c r="C4137" s="2" t="s">
        <v>594</v>
      </c>
      <c r="D4137" s="2" t="str">
        <f t="shared" si="63"/>
        <v>Error?</v>
      </c>
    </row>
    <row r="4138" spans="1:4" x14ac:dyDescent="0.2">
      <c r="A4138" s="5">
        <v>4077</v>
      </c>
      <c r="B4138" s="138">
        <f>'Acct Summary 7-8'!E19</f>
        <v>520648</v>
      </c>
      <c r="C4138" s="2" t="s">
        <v>594</v>
      </c>
      <c r="D4138" s="2" t="str">
        <f t="shared" si="63"/>
        <v>Error?</v>
      </c>
    </row>
    <row r="4139" spans="1:4" x14ac:dyDescent="0.2">
      <c r="A4139" s="5">
        <v>4078</v>
      </c>
      <c r="B4139" s="138">
        <f>'Acct Summary 7-8'!F19</f>
        <v>238291</v>
      </c>
      <c r="C4139" s="2" t="s">
        <v>594</v>
      </c>
      <c r="D4139" s="2" t="str">
        <f t="shared" si="63"/>
        <v>Error?</v>
      </c>
    </row>
    <row r="4140" spans="1:4" x14ac:dyDescent="0.2">
      <c r="A4140" s="5">
        <v>4079</v>
      </c>
      <c r="B4140" s="138">
        <f>'Acct Summary 7-8'!G19</f>
        <v>105546</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622</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2320000</v>
      </c>
      <c r="C4171" s="2" t="s">
        <v>594</v>
      </c>
      <c r="D4171" s="2" t="str">
        <f t="shared" si="64"/>
        <v>Error?</v>
      </c>
    </row>
    <row r="4172" spans="1:4" x14ac:dyDescent="0.2">
      <c r="A4172" s="5">
        <v>4111</v>
      </c>
      <c r="B4172" s="138">
        <f>'Short-Term Long-Term Debt 24'!J49</f>
        <v>2319927</v>
      </c>
      <c r="C4172" s="2" t="s">
        <v>594</v>
      </c>
      <c r="D4172" s="2" t="str">
        <f t="shared" si="64"/>
        <v>Error?</v>
      </c>
    </row>
    <row r="4173" spans="1:4" x14ac:dyDescent="0.2">
      <c r="A4173" s="5">
        <v>4112</v>
      </c>
      <c r="B4173" s="138">
        <f>'Short-Term Long-Term Debt 24'!H49</f>
        <v>418000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2361.4</v>
      </c>
      <c r="C4265" s="2" t="s">
        <v>594</v>
      </c>
      <c r="D4265" s="2" t="str">
        <f t="shared" si="65"/>
        <v>Error?</v>
      </c>
      <c r="E4265" s="128"/>
    </row>
    <row r="4266" spans="1:5" x14ac:dyDescent="0.2">
      <c r="A4266" s="12">
        <v>4205</v>
      </c>
      <c r="B4266" s="138">
        <f>('FP Info 3'!F10)*100000</f>
        <v>310.2</v>
      </c>
      <c r="C4266" s="2" t="s">
        <v>594</v>
      </c>
      <c r="D4266" s="2" t="str">
        <f t="shared" si="65"/>
        <v>Error?</v>
      </c>
      <c r="E4266" s="128"/>
    </row>
    <row r="4267" spans="1:5" x14ac:dyDescent="0.2">
      <c r="A4267" s="12">
        <v>4206</v>
      </c>
      <c r="B4267" s="138">
        <f>('FP Info 3'!H10)*100000</f>
        <v>116</v>
      </c>
      <c r="C4267" s="2" t="s">
        <v>594</v>
      </c>
      <c r="D4267" s="2" t="str">
        <f t="shared" si="65"/>
        <v>Error?</v>
      </c>
      <c r="E4267" s="128"/>
    </row>
    <row r="4268" spans="1:5" x14ac:dyDescent="0.2">
      <c r="A4268" s="12">
        <v>4207</v>
      </c>
      <c r="B4268" s="138">
        <f>('FP Info 3'!J10)*100000</f>
        <v>2788</v>
      </c>
      <c r="C4268" s="2" t="s">
        <v>594</v>
      </c>
      <c r="D4268" s="2" t="str">
        <f t="shared" si="65"/>
        <v>Error?</v>
      </c>
    </row>
    <row r="4269" spans="1:5" x14ac:dyDescent="0.2">
      <c r="A4269" s="12">
        <v>4208</v>
      </c>
      <c r="B4269" s="138">
        <f>'FP Info 3'!J16</f>
        <v>2409877</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5586</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14562</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1012</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543</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5221</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1.2999999999999998</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47089</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77388298</v>
      </c>
      <c r="D4995" s="2" t="str">
        <f t="shared" si="77"/>
        <v>Error?</v>
      </c>
    </row>
    <row r="4996" spans="1:4" x14ac:dyDescent="0.2">
      <c r="A4996" s="12">
        <v>4935</v>
      </c>
      <c r="B4996" s="138">
        <f>'FP Info 3'!H31</f>
        <v>5339792.5620000008</v>
      </c>
      <c r="D4996" s="2" t="str">
        <f t="shared" si="77"/>
        <v>Error?</v>
      </c>
    </row>
    <row r="4997" spans="1:4" x14ac:dyDescent="0.2">
      <c r="A4997" s="12">
        <v>4936</v>
      </c>
      <c r="B4997" s="138">
        <f>'FP Info 3'!H37</f>
        <v>2320000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1723711</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1723711</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7688</v>
      </c>
      <c r="D5069" s="2" t="str">
        <f t="shared" si="78"/>
        <v>Error?</v>
      </c>
    </row>
    <row r="5070" spans="1:4" x14ac:dyDescent="0.2">
      <c r="A5070" s="5">
        <v>5009</v>
      </c>
      <c r="B5070" s="138">
        <f>'Revenues 9-14'!C17</f>
        <v>0</v>
      </c>
      <c r="D5070" s="2" t="str">
        <f t="shared" si="78"/>
        <v>Error?</v>
      </c>
    </row>
    <row r="5071" spans="1:4" x14ac:dyDescent="0.2">
      <c r="A5071" s="5">
        <v>5010</v>
      </c>
      <c r="B5071" s="138">
        <f>'Revenues 9-14'!C18</f>
        <v>7688</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17794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17794</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5268</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1785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54743</v>
      </c>
      <c r="C5096" s="2" t="s">
        <v>594</v>
      </c>
      <c r="D5096" s="2" t="str">
        <f t="shared" si="78"/>
        <v>Error?</v>
      </c>
    </row>
    <row r="5097" spans="1:4" x14ac:dyDescent="0.2">
      <c r="A5097" s="5">
        <v>5036</v>
      </c>
      <c r="B5097" s="138">
        <f>'Revenues 9-14'!C77</f>
        <v>6642</v>
      </c>
      <c r="D5097" s="2" t="str">
        <f t="shared" si="78"/>
        <v>Error?</v>
      </c>
    </row>
    <row r="5098" spans="1:4" x14ac:dyDescent="0.2">
      <c r="A5098" s="5">
        <v>5037</v>
      </c>
      <c r="B5098" s="138">
        <f>'Revenues 9-14'!C78</f>
        <v>0</v>
      </c>
      <c r="D5098" s="2" t="str">
        <f t="shared" si="78"/>
        <v>Error?</v>
      </c>
    </row>
    <row r="5099" spans="1:4" x14ac:dyDescent="0.2">
      <c r="A5099" s="5">
        <v>5038</v>
      </c>
      <c r="B5099" s="138">
        <f>'Revenues 9-14'!C79</f>
        <v>8821</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15463</v>
      </c>
      <c r="C5102" s="2" t="s">
        <v>594</v>
      </c>
      <c r="D5102" s="2" t="str">
        <f t="shared" si="78"/>
        <v>Error?</v>
      </c>
    </row>
    <row r="5103" spans="1:4" x14ac:dyDescent="0.2">
      <c r="A5103" s="5">
        <v>5042</v>
      </c>
      <c r="B5103" s="138">
        <f>'Revenues 9-14'!C84</f>
        <v>33469</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79</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33548</v>
      </c>
      <c r="C5112" s="2" t="s">
        <v>594</v>
      </c>
      <c r="D5112" s="2" t="str">
        <f t="shared" si="78"/>
        <v>Error?</v>
      </c>
    </row>
    <row r="5113" spans="1:4" x14ac:dyDescent="0.2">
      <c r="A5113" s="5">
        <v>5052</v>
      </c>
      <c r="B5113" s="138">
        <f>'Revenues 9-14'!C95</f>
        <v>6500</v>
      </c>
      <c r="D5113" s="2" t="str">
        <f t="shared" si="78"/>
        <v>Error?</v>
      </c>
    </row>
    <row r="5114" spans="1:4" x14ac:dyDescent="0.2">
      <c r="A5114" s="5">
        <v>5053</v>
      </c>
      <c r="B5114" s="138">
        <f>'Revenues 9-14'!C96</f>
        <v>2738</v>
      </c>
      <c r="D5114" s="2" t="str">
        <f t="shared" si="78"/>
        <v>Error?</v>
      </c>
    </row>
    <row r="5115" spans="1:4" x14ac:dyDescent="0.2">
      <c r="A5115" s="5">
        <v>5054</v>
      </c>
      <c r="B5115" s="138">
        <f>'Revenues 9-14'!C98</f>
        <v>2137</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472</v>
      </c>
      <c r="D5119" s="2" t="str">
        <f t="shared" ref="D5119:D5182" si="79">IF(ISBLANK(B5119),"OK",IF(A5119-B5119=0,"OK","Error?"))</f>
        <v>Error?</v>
      </c>
    </row>
    <row r="5120" spans="1:4" x14ac:dyDescent="0.2">
      <c r="A5120" s="5">
        <v>5059</v>
      </c>
      <c r="B5120" s="138">
        <f>'Revenues 9-14'!C108</f>
        <v>11847</v>
      </c>
      <c r="C5120" s="2" t="s">
        <v>594</v>
      </c>
      <c r="D5120" s="2" t="str">
        <f t="shared" si="79"/>
        <v>Error?</v>
      </c>
    </row>
    <row r="5121" spans="1:4" x14ac:dyDescent="0.2">
      <c r="A5121" s="5">
        <v>5060</v>
      </c>
      <c r="B5121" s="138">
        <f>'Revenues 9-14'!C109</f>
        <v>1864794</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992691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992691</v>
      </c>
      <c r="C5132" s="2" t="s">
        <v>594</v>
      </c>
      <c r="D5132" s="2" t="str">
        <f t="shared" si="79"/>
        <v>Error?</v>
      </c>
    </row>
    <row r="5133" spans="1:4" x14ac:dyDescent="0.2">
      <c r="A5133" s="5">
        <v>5072</v>
      </c>
      <c r="B5133" s="138">
        <f>'Revenues 9-14'!C124</f>
        <v>61175</v>
      </c>
      <c r="D5133" s="2" t="str">
        <f t="shared" si="79"/>
        <v>Error?</v>
      </c>
    </row>
    <row r="5134" spans="1:4" x14ac:dyDescent="0.2">
      <c r="A5134" s="5">
        <v>5073</v>
      </c>
      <c r="B5134" s="138">
        <f>'Revenues 9-14'!C125</f>
        <v>30033</v>
      </c>
      <c r="D5134" s="2" t="str">
        <f t="shared" si="79"/>
        <v>Error?</v>
      </c>
    </row>
    <row r="5135" spans="1:4" x14ac:dyDescent="0.2">
      <c r="A5135" s="5">
        <v>5074</v>
      </c>
      <c r="B5135" s="138">
        <f>'Revenues 9-14'!C126</f>
        <v>34696</v>
      </c>
      <c r="D5135" s="2" t="str">
        <f t="shared" si="79"/>
        <v>Error?</v>
      </c>
    </row>
    <row r="5136" spans="1:4" x14ac:dyDescent="0.2">
      <c r="A5136" s="10">
        <v>5075</v>
      </c>
      <c r="D5136" s="2" t="str">
        <f t="shared" si="79"/>
        <v>OK</v>
      </c>
    </row>
    <row r="5137" spans="1:4" x14ac:dyDescent="0.2">
      <c r="A5137" s="5">
        <v>5076</v>
      </c>
      <c r="B5137" s="138">
        <f>'Revenues 9-14'!C127</f>
        <v>10557</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1266</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137727</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5338</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5338</v>
      </c>
      <c r="C5165" s="2" t="s">
        <v>594</v>
      </c>
      <c r="D5165" s="2" t="str">
        <f t="shared" si="79"/>
        <v>Error?</v>
      </c>
    </row>
    <row r="5166" spans="1:4" x14ac:dyDescent="0.2">
      <c r="A5166" s="10">
        <v>5105</v>
      </c>
      <c r="D5166" s="2" t="str">
        <f t="shared" si="79"/>
        <v>OK</v>
      </c>
    </row>
    <row r="5167" spans="1:4" x14ac:dyDescent="0.2">
      <c r="A5167" s="5">
        <v>5106</v>
      </c>
      <c r="B5167" s="138">
        <f>'Revenues 9-14'!C145</f>
        <v>759</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143824</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1136515</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47089</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62435</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62435</v>
      </c>
      <c r="C5246" s="2" t="s">
        <v>594</v>
      </c>
      <c r="D5246" s="2" t="str">
        <f t="shared" si="80"/>
        <v>Error?</v>
      </c>
    </row>
    <row r="5247" spans="1:4" x14ac:dyDescent="0.2">
      <c r="A5247" s="5">
        <v>5186</v>
      </c>
      <c r="B5247" s="138">
        <f>'Revenues 9-14'!C203</f>
        <v>56521</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1012</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56521</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3063</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73592</v>
      </c>
      <c r="D5278" s="2" t="str">
        <f t="shared" si="81"/>
        <v>Error?</v>
      </c>
    </row>
    <row r="5279" spans="1:4" x14ac:dyDescent="0.2">
      <c r="A5279" s="5">
        <v>5218</v>
      </c>
      <c r="B5279" s="138">
        <f>'Revenues 9-14'!C221</f>
        <v>834</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77489</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223369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270458</v>
      </c>
      <c r="C5326" s="2" t="s">
        <v>594</v>
      </c>
      <c r="D5326" s="2" t="str">
        <f t="shared" si="82"/>
        <v>Error?</v>
      </c>
    </row>
    <row r="5327" spans="1:4" x14ac:dyDescent="0.2">
      <c r="A5327" s="5">
        <v>5266</v>
      </c>
      <c r="B5327" s="138">
        <f>'Revenues 9-14'!C275</f>
        <v>3271767</v>
      </c>
      <c r="C5327" s="2" t="s">
        <v>594</v>
      </c>
      <c r="D5327" s="2" t="str">
        <f t="shared" si="82"/>
        <v>Error?</v>
      </c>
    </row>
    <row r="5328" spans="1:4" x14ac:dyDescent="0.2">
      <c r="A5328" s="5">
        <v>5267</v>
      </c>
      <c r="B5328" s="138">
        <f>'Revenues 9-14'!D5</f>
        <v>308009</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308009</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25</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25</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10000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v>
      </c>
      <c r="D5354" s="2" t="str">
        <f t="shared" si="82"/>
        <v>Error?</v>
      </c>
    </row>
    <row r="5355" spans="1:4" x14ac:dyDescent="0.2">
      <c r="A5355" s="5">
        <v>5294</v>
      </c>
      <c r="B5355" s="138">
        <f>'Revenues 9-14'!D108</f>
        <v>10005</v>
      </c>
      <c r="C5355" s="2" t="s">
        <v>594</v>
      </c>
      <c r="D5355" s="2" t="str">
        <f t="shared" si="82"/>
        <v>Error?</v>
      </c>
    </row>
    <row r="5356" spans="1:4" x14ac:dyDescent="0.2">
      <c r="A5356" s="5">
        <v>5295</v>
      </c>
      <c r="B5356" s="138">
        <f>'Revenues 9-14'!D109</f>
        <v>318039</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285000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285000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285000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603039</v>
      </c>
      <c r="C5508" s="2" t="s">
        <v>594</v>
      </c>
      <c r="D5508" s="2" t="str">
        <f t="shared" si="85"/>
        <v>Error?</v>
      </c>
    </row>
    <row r="5509" spans="1:4" x14ac:dyDescent="0.2">
      <c r="A5509" s="5">
        <v>5448</v>
      </c>
      <c r="B5509" s="138">
        <f>'Revenues 9-14'!E5</f>
        <v>493547</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493547</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40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40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493587</v>
      </c>
      <c r="C5527" s="2" t="s">
        <v>594</v>
      </c>
      <c r="D5527" s="2" t="str">
        <f t="shared" si="85"/>
        <v>Error?</v>
      </c>
    </row>
    <row r="5528" spans="1:4" x14ac:dyDescent="0.2">
      <c r="A5528" s="5">
        <v>5467</v>
      </c>
      <c r="B5528" s="138">
        <f>'Revenues 9-14'!E117</f>
        <v>18200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18200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18200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511787</v>
      </c>
      <c r="C5552" s="2" t="s">
        <v>594</v>
      </c>
      <c r="D5552" s="2" t="str">
        <f t="shared" si="85"/>
        <v>Error?</v>
      </c>
    </row>
    <row r="5553" spans="1:4" x14ac:dyDescent="0.2">
      <c r="A5553" s="5">
        <v>5492</v>
      </c>
      <c r="B5553" s="138">
        <f>'Revenues 9-14'!F5</f>
        <v>47824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47824</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4</v>
      </c>
      <c r="D5580" s="2" t="str">
        <f t="shared" si="86"/>
        <v>Error?</v>
      </c>
    </row>
    <row r="5581" spans="1:4" x14ac:dyDescent="0.2">
      <c r="A5581" s="5">
        <v>5520</v>
      </c>
      <c r="B5581" s="138">
        <f>'Revenues 9-14'!F66</f>
        <v>0</v>
      </c>
      <c r="D5581" s="2" t="str">
        <f t="shared" si="86"/>
        <v>Error?</v>
      </c>
    </row>
    <row r="5582" spans="1:4" x14ac:dyDescent="0.2">
      <c r="A5582" s="5">
        <v>5521</v>
      </c>
      <c r="B5582" s="138">
        <f>'Revenues 9-14'!F67</f>
        <v>4</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47828</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20000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20000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124241</v>
      </c>
      <c r="D5615" s="2" t="str">
        <f t="shared" si="86"/>
        <v>Error?</v>
      </c>
    </row>
    <row r="5616" spans="1:4" x14ac:dyDescent="0.2">
      <c r="A5616" s="10">
        <v>5555</v>
      </c>
      <c r="D5616" s="2" t="str">
        <f t="shared" si="86"/>
        <v>OK</v>
      </c>
    </row>
    <row r="5617" spans="1:4" x14ac:dyDescent="0.2">
      <c r="A5617" s="5">
        <v>5556</v>
      </c>
      <c r="B5617" s="138">
        <f>'Revenues 9-14'!F152</f>
        <v>34924</v>
      </c>
      <c r="D5617" s="2" t="str">
        <f t="shared" si="86"/>
        <v>Error?</v>
      </c>
    </row>
    <row r="5618" spans="1:4" x14ac:dyDescent="0.2">
      <c r="A5618" s="5">
        <v>5557</v>
      </c>
      <c r="B5618" s="138">
        <f>'Revenues 9-14'!F154</f>
        <v>159165</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159165</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179165</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226993</v>
      </c>
      <c r="C5720" s="2" t="s">
        <v>594</v>
      </c>
      <c r="D5720" s="2" t="str">
        <f t="shared" si="88"/>
        <v>Error?</v>
      </c>
    </row>
    <row r="5721" spans="1:4" x14ac:dyDescent="0.2">
      <c r="A5721" s="5">
        <v>5660</v>
      </c>
      <c r="B5721" s="138">
        <f>'Revenues 9-14'!G5</f>
        <v>33028</v>
      </c>
      <c r="D5721" s="2" t="str">
        <f t="shared" si="88"/>
        <v>Error?</v>
      </c>
    </row>
    <row r="5722" spans="1:4" x14ac:dyDescent="0.2">
      <c r="A5722" s="5">
        <v>5661</v>
      </c>
      <c r="B5722" s="138">
        <f>'Revenues 9-14'!G7</f>
        <v>0</v>
      </c>
      <c r="D5722" s="2" t="str">
        <f t="shared" si="88"/>
        <v>Error?</v>
      </c>
    </row>
    <row r="5723" spans="1:4" x14ac:dyDescent="0.2">
      <c r="A5723" s="5">
        <v>5662</v>
      </c>
      <c r="B5723" s="138">
        <f>'Revenues 9-14'!G8</f>
        <v>60077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93105</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8</v>
      </c>
      <c r="D5731" s="2" t="str">
        <f t="shared" si="88"/>
        <v>Error?</v>
      </c>
    </row>
    <row r="5732" spans="1:4" x14ac:dyDescent="0.2">
      <c r="A5732" s="5">
        <v>5671</v>
      </c>
      <c r="B5732" s="138">
        <f>'Revenues 9-14'!G66</f>
        <v>0</v>
      </c>
      <c r="D5732" s="2" t="str">
        <f t="shared" si="88"/>
        <v>Error?</v>
      </c>
    </row>
    <row r="5733" spans="1:4" x14ac:dyDescent="0.2">
      <c r="A5733" s="5">
        <v>5672</v>
      </c>
      <c r="B5733" s="138">
        <f>'Revenues 9-14'!G67</f>
        <v>8</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10000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10000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10000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103113</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17385</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17385</v>
      </c>
      <c r="C5915" s="2" t="s">
        <v>594</v>
      </c>
      <c r="D5915" s="2" t="str">
        <f t="shared" si="91"/>
        <v>Error?</v>
      </c>
    </row>
    <row r="5916" spans="1:4" x14ac:dyDescent="0.2">
      <c r="A5916" s="5">
        <v>5855</v>
      </c>
      <c r="B5916" s="138">
        <f>'Revenues 9-14'!I5</f>
        <v>747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747</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747</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747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747</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747</v>
      </c>
      <c r="C6023" s="2" t="s">
        <v>594</v>
      </c>
      <c r="D6023" s="2" t="str">
        <f t="shared" si="93"/>
        <v>Error?</v>
      </c>
    </row>
    <row r="6024" spans="1:5" x14ac:dyDescent="0.2">
      <c r="A6024" s="5">
        <v>5963</v>
      </c>
      <c r="B6024" s="138">
        <f>'Revenues 9-14'!G109</f>
        <v>93113</v>
      </c>
      <c r="C6024" s="2" t="s">
        <v>594</v>
      </c>
      <c r="D6024" s="2" t="str">
        <f t="shared" si="93"/>
        <v>Error?</v>
      </c>
    </row>
    <row r="6025" spans="1:5" x14ac:dyDescent="0.2">
      <c r="A6025" s="5">
        <v>5964</v>
      </c>
      <c r="B6025" s="138">
        <f>'Revenues 9-14'!H109</f>
        <v>17385</v>
      </c>
      <c r="C6025" s="2" t="s">
        <v>594</v>
      </c>
      <c r="D6025" s="2" t="str">
        <f t="shared" si="93"/>
        <v>Error?</v>
      </c>
    </row>
    <row r="6026" spans="1:5" x14ac:dyDescent="0.2">
      <c r="A6026" s="5">
        <v>5965</v>
      </c>
      <c r="B6026" s="138">
        <f>'Revenues 9-14'!I109</f>
        <v>747</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747</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47690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14593</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426.55</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20543</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20543</v>
      </c>
      <c r="D6215" s="2" t="str">
        <f t="shared" si="96"/>
        <v>Error?</v>
      </c>
      <c r="E6215" s="2" t="s">
        <v>199</v>
      </c>
    </row>
    <row r="6216" spans="1:5" x14ac:dyDescent="0.2">
      <c r="A6216">
        <v>6155</v>
      </c>
      <c r="B6216" s="138">
        <f>'Assets-Liab 5-6'!J41</f>
        <v>20543</v>
      </c>
      <c r="D6216" s="2" t="str">
        <f t="shared" si="96"/>
        <v>Error?</v>
      </c>
      <c r="E6216" s="2" t="s">
        <v>199</v>
      </c>
    </row>
    <row r="6217" spans="1:5" x14ac:dyDescent="0.2">
      <c r="A6217">
        <v>6156</v>
      </c>
      <c r="B6217" s="138">
        <f>'Assets-Liab 5-6'!J4</f>
        <v>20543</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11668</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11668</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11668</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0</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0</v>
      </c>
      <c r="D6229" s="2" t="str">
        <f t="shared" si="96"/>
        <v>Error?</v>
      </c>
      <c r="E6229" s="2" t="s">
        <v>199</v>
      </c>
    </row>
    <row r="6230" spans="1:5" x14ac:dyDescent="0.2">
      <c r="A6230">
        <v>6169</v>
      </c>
      <c r="B6230" s="138">
        <f>'Acct Summary 7-8'!J20</f>
        <v>11668</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11668</v>
      </c>
      <c r="D6263" s="2" t="str">
        <f t="shared" si="96"/>
        <v>Error?</v>
      </c>
      <c r="E6263" s="2" t="s">
        <v>199</v>
      </c>
    </row>
    <row r="6264" spans="1:5" x14ac:dyDescent="0.2">
      <c r="A6264">
        <v>6203</v>
      </c>
      <c r="B6264" s="138">
        <f>'Acct Summary 7-8'!J79</f>
        <v>8875</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20543</v>
      </c>
      <c r="D6266" s="2" t="str">
        <f t="shared" si="96"/>
        <v>Error?</v>
      </c>
      <c r="E6266" s="2" t="s">
        <v>199</v>
      </c>
    </row>
    <row r="6267" spans="1:5" x14ac:dyDescent="0.2">
      <c r="A6267">
        <v>6206</v>
      </c>
      <c r="B6267" s="138">
        <f>'Acct Summary 7-8'!C82</f>
        <v>278721</v>
      </c>
      <c r="D6267" s="2" t="str">
        <f t="shared" si="96"/>
        <v>Error?</v>
      </c>
      <c r="E6267" s="2" t="s">
        <v>199</v>
      </c>
    </row>
    <row r="6268" spans="1:5" x14ac:dyDescent="0.2">
      <c r="A6268">
        <v>6207</v>
      </c>
      <c r="B6268" s="138">
        <f>'Acct Summary 7-8'!D82</f>
        <v>-85941</v>
      </c>
      <c r="D6268" s="2" t="str">
        <f t="shared" si="96"/>
        <v>Error?</v>
      </c>
      <c r="E6268" s="2" t="s">
        <v>199</v>
      </c>
    </row>
    <row r="6269" spans="1:5" x14ac:dyDescent="0.2">
      <c r="A6269">
        <v>6208</v>
      </c>
      <c r="B6269" s="138">
        <f>'Acct Summary 7-8'!E82</f>
        <v>-8860</v>
      </c>
      <c r="D6269" s="2" t="str">
        <f t="shared" si="96"/>
        <v>Error?</v>
      </c>
      <c r="E6269" s="2" t="s">
        <v>199</v>
      </c>
    </row>
    <row r="6270" spans="1:5" x14ac:dyDescent="0.2">
      <c r="A6270">
        <v>6209</v>
      </c>
      <c r="B6270" s="138">
        <f>'Acct Summary 7-8'!F82</f>
        <v>-11299</v>
      </c>
      <c r="D6270" s="2" t="str">
        <f t="shared" si="96"/>
        <v>Error?</v>
      </c>
      <c r="E6270" s="2" t="s">
        <v>199</v>
      </c>
    </row>
    <row r="6271" spans="1:5" x14ac:dyDescent="0.2">
      <c r="A6271">
        <v>6210</v>
      </c>
      <c r="B6271" s="138">
        <f>'Acct Summary 7-8'!G82</f>
        <v>-2435</v>
      </c>
      <c r="D6271" s="2" t="str">
        <f t="shared" ref="D6271:D6334" si="97">IF(ISBLANK(B6271),"OK",IF(A6271-B6271=0,"OK","Error?"))</f>
        <v>Error?</v>
      </c>
      <c r="E6271" s="2" t="s">
        <v>199</v>
      </c>
    </row>
    <row r="6272" spans="1:5" x14ac:dyDescent="0.2">
      <c r="A6272">
        <v>6211</v>
      </c>
      <c r="B6272" s="138">
        <f>'Acct Summary 7-8'!H82</f>
        <v>17385</v>
      </c>
      <c r="D6272" s="2" t="str">
        <f t="shared" si="97"/>
        <v>Error?</v>
      </c>
      <c r="E6272" s="2" t="s">
        <v>199</v>
      </c>
    </row>
    <row r="6273" spans="1:5" x14ac:dyDescent="0.2">
      <c r="A6273">
        <v>6212</v>
      </c>
      <c r="B6273" s="138">
        <f>'Acct Summary 7-8'!I82</f>
        <v>748</v>
      </c>
      <c r="D6273" s="2" t="str">
        <f t="shared" si="97"/>
        <v>Error?</v>
      </c>
      <c r="E6273" s="2" t="s">
        <v>199</v>
      </c>
    </row>
    <row r="6274" spans="1:5" x14ac:dyDescent="0.2">
      <c r="A6274">
        <v>6213</v>
      </c>
      <c r="B6274" s="138">
        <f>'Acct Summary 7-8'!J82</f>
        <v>11668</v>
      </c>
      <c r="D6274" s="2" t="str">
        <f t="shared" si="97"/>
        <v>Error?</v>
      </c>
      <c r="E6274" s="2" t="s">
        <v>199</v>
      </c>
    </row>
    <row r="6275" spans="1:5" x14ac:dyDescent="0.2">
      <c r="A6275">
        <v>6214</v>
      </c>
      <c r="B6275" s="138">
        <f>'Acct Summary 7-8'!K82</f>
        <v>126</v>
      </c>
      <c r="D6275" s="2" t="str">
        <f t="shared" si="97"/>
        <v>Error?</v>
      </c>
      <c r="E6275" s="2" t="s">
        <v>199</v>
      </c>
    </row>
    <row r="6276" spans="1:5" x14ac:dyDescent="0.2">
      <c r="A6276">
        <v>6215</v>
      </c>
      <c r="B6276" s="138">
        <f>'Acct Summary 7-8'!C83</f>
        <v>0.14367276624238198</v>
      </c>
      <c r="D6276" s="2" t="str">
        <f t="shared" si="97"/>
        <v>Error?</v>
      </c>
      <c r="E6276" s="2" t="s">
        <v>199</v>
      </c>
    </row>
    <row r="6277" spans="1:5" x14ac:dyDescent="0.2">
      <c r="A6277">
        <v>6216</v>
      </c>
      <c r="B6277" s="138">
        <f>'Acct Summary 7-8'!D83</f>
        <v>-0.31590845598506123</v>
      </c>
      <c r="D6277" s="2" t="str">
        <f t="shared" si="97"/>
        <v>Error?</v>
      </c>
      <c r="E6277" s="2" t="s">
        <v>199</v>
      </c>
    </row>
    <row r="6278" spans="1:5" x14ac:dyDescent="0.2">
      <c r="A6278">
        <v>6217</v>
      </c>
      <c r="B6278" s="138">
        <f>'Acct Summary 7-8'!E83</f>
        <v>-121.36986301369863</v>
      </c>
      <c r="D6278" s="2" t="str">
        <f t="shared" si="97"/>
        <v>Error?</v>
      </c>
      <c r="E6278" s="2" t="s">
        <v>199</v>
      </c>
    </row>
    <row r="6279" spans="1:5" x14ac:dyDescent="0.2">
      <c r="A6279">
        <v>6218</v>
      </c>
      <c r="B6279" s="138">
        <f>'Acct Summary 7-8'!F83</f>
        <v>-7.2806118832679304E-2</v>
      </c>
      <c r="D6279" s="2" t="str">
        <f t="shared" si="97"/>
        <v>Error?</v>
      </c>
      <c r="E6279" s="2" t="s">
        <v>199</v>
      </c>
    </row>
    <row r="6280" spans="1:5" x14ac:dyDescent="0.2">
      <c r="A6280">
        <v>6219</v>
      </c>
      <c r="B6280" s="138">
        <f>'Acct Summary 7-8'!G83</f>
        <v>-6.3640165176937949E-2</v>
      </c>
      <c r="D6280" s="2" t="str">
        <f t="shared" si="97"/>
        <v>Error?</v>
      </c>
      <c r="E6280" s="2" t="s">
        <v>199</v>
      </c>
    </row>
    <row r="6281" spans="1:5" x14ac:dyDescent="0.2">
      <c r="A6281">
        <v>6220</v>
      </c>
      <c r="B6281" s="138">
        <f>'Acct Summary 7-8'!H83</f>
        <v>7.9910459835628528E-2</v>
      </c>
      <c r="D6281" s="2" t="str">
        <f t="shared" si="97"/>
        <v>Error?</v>
      </c>
      <c r="E6281" s="2" t="s">
        <v>199</v>
      </c>
    </row>
    <row r="6282" spans="1:5" x14ac:dyDescent="0.2">
      <c r="A6282">
        <v>6221</v>
      </c>
      <c r="B6282" s="138">
        <f>'Acct Summary 7-8'!I83</f>
        <v>1.7530291312193864E-2</v>
      </c>
      <c r="D6282" s="2" t="str">
        <f t="shared" si="97"/>
        <v>Error?</v>
      </c>
      <c r="E6282" s="2" t="s">
        <v>199</v>
      </c>
    </row>
    <row r="6283" spans="1:5" x14ac:dyDescent="0.2">
      <c r="A6283">
        <v>6222</v>
      </c>
      <c r="B6283" s="138">
        <f>'Acct Summary 7-8'!J83</f>
        <v>0.56797936036606145</v>
      </c>
      <c r="D6283" s="2" t="str">
        <f t="shared" si="97"/>
        <v>Error?</v>
      </c>
      <c r="E6283" s="2" t="s">
        <v>199</v>
      </c>
    </row>
    <row r="6284" spans="1:5" x14ac:dyDescent="0.2">
      <c r="A6284">
        <v>6223</v>
      </c>
      <c r="B6284" s="138">
        <f>'Acct Summary 7-8'!K83</f>
        <v>1.7126546146527116E-2</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11209</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11209</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17385</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458</v>
      </c>
      <c r="D6350" s="2" t="str">
        <f t="shared" si="98"/>
        <v>Error?</v>
      </c>
      <c r="E6350" s="2" t="s">
        <v>199</v>
      </c>
    </row>
    <row r="6351" spans="1:5" x14ac:dyDescent="0.2">
      <c r="A6351">
        <v>6290</v>
      </c>
      <c r="B6351" s="138">
        <f>'Revenues 9-14'!J108</f>
        <v>458</v>
      </c>
      <c r="D6351" s="2" t="str">
        <f t="shared" si="98"/>
        <v>Error?</v>
      </c>
      <c r="E6351" s="2" t="s">
        <v>199</v>
      </c>
    </row>
    <row r="6352" spans="1:5" x14ac:dyDescent="0.2">
      <c r="A6352">
        <v>6291</v>
      </c>
      <c r="B6352" s="138">
        <f>'Revenues 9-14'!J109</f>
        <v>11668</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23987</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2814</v>
      </c>
      <c r="D6900" s="2" t="str">
        <f t="shared" si="106"/>
        <v>Error?</v>
      </c>
    </row>
    <row r="6901" spans="1:4" x14ac:dyDescent="0.2">
      <c r="A6901">
        <v>6840</v>
      </c>
      <c r="B6901" s="138">
        <f>'Expenditures 15-22'!K32</f>
        <v>2814</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23633</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23633</v>
      </c>
      <c r="D6940" s="2" t="str">
        <f t="shared" si="107"/>
        <v>Error?</v>
      </c>
    </row>
    <row r="6941" spans="1:4" x14ac:dyDescent="0.2">
      <c r="A6941">
        <v>6880</v>
      </c>
      <c r="B6941" s="138">
        <f>'Expenditures 15-22'!L52</f>
        <v>5000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11668</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414</v>
      </c>
      <c r="D7075" s="2" t="str">
        <f t="shared" si="109"/>
        <v>Error?</v>
      </c>
    </row>
    <row r="7076" spans="1:4" x14ac:dyDescent="0.2">
      <c r="A7076">
        <v>7015</v>
      </c>
      <c r="B7076" s="138">
        <f>'Expenditures 15-22'!K218</f>
        <v>414</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11668</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15629</v>
      </c>
      <c r="D7251" s="2" t="str">
        <f t="shared" si="112"/>
        <v>Error?</v>
      </c>
    </row>
    <row r="7252" spans="1:4" x14ac:dyDescent="0.2">
      <c r="A7252">
        <f t="shared" si="113"/>
        <v>7191</v>
      </c>
      <c r="B7252" s="138">
        <f>'Expenditures 15-22'!D9</f>
        <v>2726</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5038</v>
      </c>
      <c r="D7254" s="2" t="str">
        <f t="shared" si="112"/>
        <v>Error?</v>
      </c>
    </row>
    <row r="7255" spans="1:4" x14ac:dyDescent="0.2">
      <c r="A7255">
        <f t="shared" si="113"/>
        <v>7194</v>
      </c>
      <c r="B7255" s="138">
        <f>'Expenditures 15-22'!G9</f>
        <v>594</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227843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133843</v>
      </c>
      <c r="D7797" s="2" t="str">
        <f t="shared" si="127"/>
        <v>Error?</v>
      </c>
      <c r="E7797" s="4" t="s">
        <v>2020</v>
      </c>
    </row>
    <row r="7798" spans="1:5" x14ac:dyDescent="0.2">
      <c r="A7798">
        <v>7737</v>
      </c>
      <c r="B7798" s="138">
        <f>'Contracts Paid in CY 29'!F141</f>
        <v>50000</v>
      </c>
      <c r="D7798" s="2" t="str">
        <f t="shared" si="127"/>
        <v>Error?</v>
      </c>
      <c r="E7798" s="4" t="s">
        <v>2020</v>
      </c>
    </row>
    <row r="7799" spans="1:5" x14ac:dyDescent="0.2">
      <c r="A7799">
        <v>7738</v>
      </c>
      <c r="B7799" s="138">
        <f>'Contracts Paid in CY 29'!G141</f>
        <v>83843</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1" t="s">
        <v>1253</v>
      </c>
      <c r="B2" s="2421"/>
      <c r="C2" s="2421"/>
      <c r="D2" s="2421"/>
      <c r="E2" s="2421"/>
      <c r="F2" s="2421"/>
      <c r="G2" s="2421"/>
      <c r="H2" s="2421"/>
      <c r="I2" s="2421"/>
      <c r="J2" s="2421"/>
      <c r="K2" s="2421"/>
      <c r="L2" s="2421"/>
    </row>
    <row r="3" spans="1:29" ht="13.5" customHeight="1" x14ac:dyDescent="0.2">
      <c r="A3" s="2407" t="s">
        <v>1252</v>
      </c>
      <c r="B3" s="2407"/>
      <c r="C3" s="2407"/>
      <c r="D3" s="2407"/>
      <c r="E3" s="2407"/>
      <c r="F3" s="2407"/>
      <c r="G3" s="2407"/>
      <c r="H3" s="2407"/>
      <c r="I3" s="2407"/>
      <c r="J3" s="2407"/>
      <c r="K3" s="2407"/>
      <c r="L3" s="2407"/>
    </row>
    <row r="4" spans="1:29" ht="13.5" customHeight="1" x14ac:dyDescent="0.2">
      <c r="A4" s="2421" t="s">
        <v>1799</v>
      </c>
      <c r="B4" s="2438"/>
      <c r="C4" s="2438"/>
      <c r="D4" s="2438"/>
      <c r="E4" s="2438"/>
      <c r="F4" s="2438"/>
      <c r="G4" s="2438"/>
      <c r="H4" s="2438"/>
      <c r="I4" s="2438"/>
      <c r="J4" s="2438"/>
      <c r="K4" s="2438"/>
      <c r="L4" s="243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1" t="str">
        <f>COVER!A17</f>
        <v>St George CCSD 258</v>
      </c>
      <c r="B7" s="2402"/>
      <c r="C7" s="2402"/>
      <c r="D7" s="2439"/>
      <c r="E7" s="2440">
        <f>COVER!A13</f>
        <v>32046258004</v>
      </c>
      <c r="F7" s="2441"/>
      <c r="G7" s="2408" t="str">
        <f>COVER!T23</f>
        <v>066-003660</v>
      </c>
      <c r="H7" s="2409"/>
      <c r="I7" s="2409"/>
      <c r="J7" s="2409"/>
      <c r="K7" s="2409"/>
      <c r="L7" s="2410"/>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1"/>
      <c r="B9" s="2412"/>
      <c r="C9" s="2412"/>
      <c r="D9" s="2412"/>
      <c r="E9" s="2412"/>
      <c r="F9" s="2413"/>
      <c r="G9" s="2414" t="str">
        <f>COVER!T13</f>
        <v>Burke Montague &amp; Associates LLC</v>
      </c>
      <c r="H9" s="2415"/>
      <c r="I9" s="2415"/>
      <c r="J9" s="2415"/>
      <c r="K9" s="2415"/>
      <c r="L9" s="2416"/>
    </row>
    <row r="10" spans="1:29" ht="13.5" customHeight="1" x14ac:dyDescent="0.2">
      <c r="A10" s="2398" t="str">
        <f>COVER!A38</f>
        <v>Helen Boehrnsen</v>
      </c>
      <c r="B10" s="2399"/>
      <c r="C10" s="2399"/>
      <c r="D10" s="2399"/>
      <c r="E10" s="2399"/>
      <c r="F10" s="2400"/>
      <c r="G10" s="2414" t="str">
        <f>COVER!T17</f>
        <v>253 W Broadway</v>
      </c>
      <c r="H10" s="2427"/>
      <c r="I10" s="2427"/>
      <c r="J10" s="2427"/>
      <c r="K10" s="2427"/>
      <c r="L10" s="2428"/>
    </row>
    <row r="11" spans="1:29" ht="13.5" customHeight="1" x14ac:dyDescent="0.2">
      <c r="A11" s="1185" t="s">
        <v>1599</v>
      </c>
      <c r="B11" s="1186"/>
      <c r="C11" s="1187"/>
      <c r="D11" s="1192"/>
      <c r="E11" s="1187"/>
      <c r="F11" s="1191"/>
      <c r="G11" s="2414" t="str">
        <f>COVER!T19</f>
        <v>Bradley</v>
      </c>
      <c r="H11" s="2427"/>
      <c r="I11" s="2427"/>
      <c r="J11" s="2427"/>
      <c r="K11" s="2427"/>
      <c r="L11" s="2428"/>
    </row>
    <row r="12" spans="1:29" ht="13.5" customHeight="1" x14ac:dyDescent="0.2">
      <c r="A12" s="2432" t="s">
        <v>1598</v>
      </c>
      <c r="B12" s="2433"/>
      <c r="C12" s="2433"/>
      <c r="D12" s="2433"/>
      <c r="E12" s="2433"/>
      <c r="F12" s="2434"/>
      <c r="G12" s="2429"/>
      <c r="H12" s="2430"/>
      <c r="I12" s="2430"/>
      <c r="J12" s="2430"/>
      <c r="K12" s="2430"/>
      <c r="L12" s="2431"/>
    </row>
    <row r="13" spans="1:29" ht="13.5" customHeight="1" x14ac:dyDescent="0.2">
      <c r="A13" s="2414"/>
      <c r="B13" s="2427"/>
      <c r="C13" s="2427"/>
      <c r="D13" s="2427"/>
      <c r="E13" s="2427"/>
      <c r="F13" s="2428"/>
      <c r="G13" s="2422" t="s">
        <v>1600</v>
      </c>
      <c r="H13" s="2423"/>
      <c r="I13" s="2435" t="str">
        <f>COVER!T25</f>
        <v>kwilson@mybmacpa.com</v>
      </c>
      <c r="J13" s="2436"/>
      <c r="K13" s="2436"/>
      <c r="L13" s="2437"/>
    </row>
    <row r="14" spans="1:29" ht="13.5" customHeight="1" x14ac:dyDescent="0.2">
      <c r="A14" s="2414" t="str">
        <f>COVER!A19</f>
        <v>5200 E Center</v>
      </c>
      <c r="B14" s="2427"/>
      <c r="C14" s="2427"/>
      <c r="D14" s="2427"/>
      <c r="E14" s="2427"/>
      <c r="F14" s="2428"/>
      <c r="G14" s="1196" t="s">
        <v>1247</v>
      </c>
      <c r="H14" s="1194"/>
      <c r="I14" s="1194"/>
      <c r="J14" s="1194"/>
      <c r="K14" s="1194"/>
      <c r="L14" s="1195"/>
    </row>
    <row r="15" spans="1:29" ht="13.5" customHeight="1" x14ac:dyDescent="0.2">
      <c r="A15" s="2414" t="str">
        <f>COVER!A21</f>
        <v>Bourbonnais</v>
      </c>
      <c r="B15" s="2427"/>
      <c r="C15" s="2427"/>
      <c r="D15" s="2427"/>
      <c r="E15" s="2427"/>
      <c r="F15" s="2428"/>
      <c r="G15" s="2424" t="str">
        <f>COVER!T15</f>
        <v>Kathleen Wilson</v>
      </c>
      <c r="H15" s="2425"/>
      <c r="I15" s="2425"/>
      <c r="J15" s="2425"/>
      <c r="K15" s="2425"/>
      <c r="L15" s="2426"/>
    </row>
    <row r="16" spans="1:29" ht="12.2" customHeight="1" x14ac:dyDescent="0.2">
      <c r="A16" s="2404">
        <f>COVER!A25</f>
        <v>60914</v>
      </c>
      <c r="B16" s="2405"/>
      <c r="C16" s="2405"/>
      <c r="D16" s="2405"/>
      <c r="E16" s="2405"/>
      <c r="F16" s="2406"/>
      <c r="G16" s="2417"/>
      <c r="H16" s="2418"/>
      <c r="I16" s="2418"/>
      <c r="J16" s="2418"/>
      <c r="K16" s="2418"/>
      <c r="L16" s="2419"/>
    </row>
    <row r="17" spans="1:13" ht="12.2" customHeight="1" x14ac:dyDescent="0.2">
      <c r="A17" s="2420"/>
      <c r="B17" s="2405"/>
      <c r="C17" s="2405"/>
      <c r="D17" s="2405"/>
      <c r="E17" s="2405"/>
      <c r="F17" s="2406"/>
      <c r="G17" s="1196" t="s">
        <v>1246</v>
      </c>
      <c r="H17" s="1194"/>
      <c r="I17" s="1194"/>
      <c r="J17" s="1194"/>
      <c r="K17" s="1198" t="s">
        <v>1245</v>
      </c>
      <c r="L17" s="1191"/>
      <c r="M17" s="1184"/>
    </row>
    <row r="18" spans="1:13" ht="12.2" customHeight="1" x14ac:dyDescent="0.2">
      <c r="A18" s="2398"/>
      <c r="B18" s="2399"/>
      <c r="C18" s="2399"/>
      <c r="D18" s="2399"/>
      <c r="E18" s="2399"/>
      <c r="F18" s="2400"/>
      <c r="G18" s="2401" t="str">
        <f>COVER!T21</f>
        <v>815-933-5641</v>
      </c>
      <c r="H18" s="2402"/>
      <c r="I18" s="2402"/>
      <c r="J18" s="2402"/>
      <c r="K18" s="2401" t="str">
        <f>COVER!X21</f>
        <v>815-939-0016</v>
      </c>
      <c r="L18" s="2403"/>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St George CCSD 258</v>
      </c>
      <c r="B1" s="2438"/>
      <c r="C1" s="2438"/>
      <c r="D1" s="2438"/>
    </row>
    <row r="2" spans="1:11" s="1215" customFormat="1" ht="12.75" x14ac:dyDescent="0.2">
      <c r="A2" s="2443">
        <f>'Single Audit Cover'!E7</f>
        <v>32046258004</v>
      </c>
      <c r="B2" s="2444"/>
      <c r="C2" s="2444"/>
      <c r="D2" s="2444"/>
    </row>
    <row r="3" spans="1:11" s="1215" customFormat="1" ht="12.75" x14ac:dyDescent="0.2">
      <c r="A3" s="2442" t="s">
        <v>1593</v>
      </c>
      <c r="B3" s="2438"/>
      <c r="C3" s="2438"/>
      <c r="D3" s="243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D49" sqref="D49"/>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St George CCSD 258</v>
      </c>
      <c r="B1" s="2446"/>
      <c r="C1" s="2446"/>
      <c r="D1" s="2446"/>
      <c r="E1" s="2446"/>
    </row>
    <row r="2" spans="1:5" x14ac:dyDescent="0.2">
      <c r="A2" s="2447">
        <f>'Single Audit Cover'!E7</f>
        <v>32046258004</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270458</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14593</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-14562</v>
      </c>
    </row>
    <row r="19" spans="1:4" ht="13.5" thickBot="1" x14ac:dyDescent="0.25">
      <c r="A19" s="1265" t="s">
        <v>1297</v>
      </c>
      <c r="D19" s="1266">
        <f>SUM(D10:D17)</f>
        <v>270489</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270489</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0</v>
      </c>
    </row>
    <row r="49" spans="2:4" x14ac:dyDescent="0.2">
      <c r="B49" s="1272" t="s">
        <v>1288</v>
      </c>
      <c r="C49" s="1272"/>
      <c r="D49" s="1273">
        <f>D32-D47</f>
        <v>270489</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1" t="str">
        <f>'Single Audit Cover'!A7</f>
        <v>St George CCSD 258</v>
      </c>
      <c r="B1" s="2451"/>
      <c r="C1" s="2451"/>
      <c r="D1" s="2451"/>
      <c r="E1" s="2451"/>
      <c r="F1" s="2451"/>
    </row>
    <row r="2" spans="1:7" ht="13.5" customHeight="1" x14ac:dyDescent="0.2">
      <c r="A2" s="2452">
        <f>'Single Audit Cover'!E7</f>
        <v>32046258004</v>
      </c>
      <c r="B2" s="2452"/>
      <c r="C2" s="2452"/>
      <c r="D2" s="2452"/>
      <c r="E2" s="2452"/>
      <c r="F2" s="2452"/>
      <c r="G2" s="1275"/>
    </row>
    <row r="3" spans="1:7" ht="15.75" customHeight="1" x14ac:dyDescent="0.2">
      <c r="A3" s="2453" t="s">
        <v>1333</v>
      </c>
      <c r="B3" s="2453"/>
      <c r="C3" s="2453"/>
      <c r="D3" s="2453"/>
      <c r="E3" s="2453"/>
      <c r="F3" s="2453"/>
    </row>
    <row r="4" spans="1:7" ht="13.5" customHeight="1" x14ac:dyDescent="0.2">
      <c r="A4" s="2454" t="str">
        <f>'Single Audit Cover'!A4</f>
        <v>Year Ending June 30, 2018</v>
      </c>
      <c r="B4" s="2454"/>
      <c r="C4" s="2454"/>
      <c r="D4" s="2454"/>
      <c r="E4" s="2454"/>
      <c r="F4" s="2454"/>
    </row>
    <row r="5" spans="1:7" ht="8.25" customHeight="1" x14ac:dyDescent="0.2">
      <c r="C5" s="317"/>
      <c r="D5" s="317"/>
    </row>
    <row r="6" spans="1:7" ht="13.5" customHeight="1" x14ac:dyDescent="0.2">
      <c r="A6" s="1276" t="s">
        <v>1831</v>
      </c>
      <c r="C6" s="317"/>
      <c r="D6" s="317"/>
    </row>
    <row r="7" spans="1:7" ht="60.95" customHeight="1" x14ac:dyDescent="0.2">
      <c r="A7" s="2450" t="s">
        <v>1832</v>
      </c>
      <c r="B7" s="2450"/>
      <c r="C7" s="2450"/>
      <c r="D7" s="2450"/>
      <c r="E7" s="2450"/>
      <c r="F7" s="245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0" t="s">
        <v>1834</v>
      </c>
      <c r="B13" s="2450"/>
      <c r="C13" s="2450"/>
      <c r="D13" s="2450"/>
      <c r="E13" s="2450"/>
      <c r="F13" s="2450"/>
    </row>
    <row r="14" spans="1:7" ht="9.75" customHeight="1" x14ac:dyDescent="0.2">
      <c r="C14" s="1260"/>
      <c r="D14" s="1260"/>
    </row>
    <row r="15" spans="1:7" ht="13.5" customHeight="1" x14ac:dyDescent="0.2">
      <c r="C15" s="1871" t="s">
        <v>1332</v>
      </c>
      <c r="D15" s="2456" t="s">
        <v>1331</v>
      </c>
      <c r="E15" s="2456"/>
      <c r="F15" s="2456"/>
    </row>
    <row r="16" spans="1:7" ht="13.5" customHeight="1" x14ac:dyDescent="0.2">
      <c r="A16" s="1282"/>
      <c r="B16" s="1276" t="s">
        <v>1330</v>
      </c>
      <c r="C16" s="1871" t="s">
        <v>1329</v>
      </c>
      <c r="D16" s="2457" t="s">
        <v>1670</v>
      </c>
      <c r="E16" s="2457"/>
      <c r="F16" s="2457"/>
    </row>
    <row r="17" spans="1:6" ht="20.45" customHeight="1" x14ac:dyDescent="0.2">
      <c r="A17" s="1283"/>
      <c r="B17" s="1284"/>
      <c r="C17" s="1285"/>
      <c r="D17" s="2455"/>
      <c r="E17" s="2455"/>
      <c r="F17" s="2455"/>
    </row>
    <row r="18" spans="1:6" ht="20.65" customHeight="1" x14ac:dyDescent="0.2">
      <c r="A18" s="1283"/>
      <c r="B18" s="1284"/>
      <c r="C18" s="1285"/>
      <c r="D18" s="2455"/>
      <c r="E18" s="2455"/>
      <c r="F18" s="2455"/>
    </row>
    <row r="19" spans="1:6" ht="20.65" customHeight="1" x14ac:dyDescent="0.2">
      <c r="A19" s="1283"/>
      <c r="B19" s="1284"/>
      <c r="C19" s="1285"/>
      <c r="D19" s="2455"/>
      <c r="E19" s="2455"/>
      <c r="F19" s="2455"/>
    </row>
    <row r="20" spans="1:6" ht="20.65" customHeight="1" x14ac:dyDescent="0.2">
      <c r="A20" s="1283"/>
      <c r="B20" s="1284"/>
      <c r="C20" s="1285"/>
      <c r="D20" s="2455"/>
      <c r="E20" s="2455"/>
      <c r="F20" s="2455"/>
    </row>
    <row r="21" spans="1:6" ht="20.65" customHeight="1" x14ac:dyDescent="0.2">
      <c r="A21" s="1283"/>
      <c r="B21" s="1284"/>
      <c r="C21" s="1285"/>
      <c r="D21" s="2455"/>
      <c r="E21" s="2455"/>
      <c r="F21" s="2455"/>
    </row>
    <row r="22" spans="1:6" ht="20.65" customHeight="1" x14ac:dyDescent="0.2">
      <c r="A22" s="1283"/>
      <c r="B22" s="1284"/>
      <c r="C22" s="1285"/>
      <c r="D22" s="2455"/>
      <c r="E22" s="2455"/>
      <c r="F22" s="2455"/>
    </row>
    <row r="23" spans="1:6" ht="20.65" customHeight="1" x14ac:dyDescent="0.2">
      <c r="A23" s="1283"/>
      <c r="B23" s="1284"/>
      <c r="C23" s="1285"/>
      <c r="D23" s="2455"/>
      <c r="E23" s="2455"/>
      <c r="F23" s="2455"/>
    </row>
    <row r="24" spans="1:6" ht="20.65" customHeight="1" x14ac:dyDescent="0.2">
      <c r="A24" s="1283"/>
      <c r="B24" s="1284"/>
      <c r="C24" s="1285"/>
      <c r="D24" s="2455"/>
      <c r="E24" s="2455"/>
      <c r="F24" s="2455"/>
    </row>
    <row r="25" spans="1:6" ht="20.65" customHeight="1" x14ac:dyDescent="0.2">
      <c r="A25" s="1283"/>
      <c r="B25" s="1284"/>
      <c r="C25" s="1285"/>
      <c r="D25" s="2455"/>
      <c r="E25" s="2455"/>
      <c r="F25" s="2455"/>
    </row>
    <row r="26" spans="1:6" ht="20.65" customHeight="1" x14ac:dyDescent="0.2">
      <c r="A26" s="1283"/>
      <c r="B26" s="1284"/>
      <c r="C26" s="1285"/>
      <c r="D26" s="2455"/>
      <c r="E26" s="2455"/>
      <c r="F26" s="2455"/>
    </row>
    <row r="27" spans="1:6" ht="20.65" customHeight="1" x14ac:dyDescent="0.2">
      <c r="A27" s="1283"/>
      <c r="B27" s="1284"/>
      <c r="C27" s="1285"/>
      <c r="D27" s="2455"/>
      <c r="E27" s="2455"/>
      <c r="F27" s="2455"/>
    </row>
    <row r="28" spans="1:6" ht="20.65" customHeight="1" x14ac:dyDescent="0.2">
      <c r="A28" s="1283"/>
      <c r="B28" s="1284"/>
      <c r="C28" s="1285"/>
      <c r="D28" s="2455"/>
      <c r="E28" s="2455"/>
      <c r="F28" s="2455"/>
    </row>
    <row r="29" spans="1:6" ht="20.65" customHeight="1" x14ac:dyDescent="0.2">
      <c r="A29" s="1283"/>
      <c r="B29" s="1284"/>
      <c r="C29" s="1285"/>
      <c r="D29" s="2455"/>
      <c r="E29" s="2455"/>
      <c r="F29" s="2455"/>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9" t="s">
        <v>1835</v>
      </c>
      <c r="B32" s="2459"/>
      <c r="C32" s="2459"/>
      <c r="D32" s="2459"/>
      <c r="E32" s="2459"/>
      <c r="F32" s="2459"/>
    </row>
    <row r="33" spans="1:6" ht="13.5" customHeight="1" x14ac:dyDescent="0.2">
      <c r="A33" s="328" t="s">
        <v>1509</v>
      </c>
      <c r="B33" s="328"/>
      <c r="C33" s="1288">
        <v>0</v>
      </c>
      <c r="D33" s="1928"/>
      <c r="E33" s="1286"/>
    </row>
    <row r="34" spans="1:6" ht="13.5" customHeight="1" x14ac:dyDescent="0.2">
      <c r="A34" s="328" t="s">
        <v>1949</v>
      </c>
      <c r="B34" s="328"/>
      <c r="C34" s="1289">
        <v>0</v>
      </c>
      <c r="D34" s="1928" t="s">
        <v>1671</v>
      </c>
      <c r="E34" s="2460">
        <f>+C33+C34</f>
        <v>0</v>
      </c>
      <c r="F34" s="2461"/>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2" t="s">
        <v>1672</v>
      </c>
      <c r="C49" s="2462"/>
      <c r="D49" s="2462"/>
      <c r="E49" s="1399"/>
    </row>
    <row r="50" spans="1:5" s="1300" customFormat="1" ht="3.75" customHeight="1" x14ac:dyDescent="0.2">
      <c r="A50" s="1299"/>
      <c r="B50" s="1870"/>
      <c r="C50" s="1870"/>
      <c r="D50" s="1870"/>
      <c r="E50" s="1399"/>
    </row>
    <row r="51" spans="1:5" s="1300" customFormat="1" ht="20.25" customHeight="1" x14ac:dyDescent="0.2">
      <c r="A51" s="1301">
        <v>6</v>
      </c>
      <c r="B51" s="2458" t="s">
        <v>1632</v>
      </c>
      <c r="C51" s="2458"/>
      <c r="D51" s="2458"/>
    </row>
    <row r="52" spans="1:5" ht="14.25" customHeight="1" x14ac:dyDescent="0.2">
      <c r="A52" s="1301"/>
      <c r="B52" s="2458"/>
      <c r="C52" s="2458"/>
      <c r="D52" s="245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7" t="str">
        <f>'Single Audit Cover'!A7</f>
        <v>St George CCSD 258</v>
      </c>
      <c r="C1" s="2463"/>
      <c r="D1" s="2463"/>
      <c r="E1" s="2463"/>
      <c r="F1" s="2463"/>
      <c r="G1" s="2463"/>
      <c r="H1" s="2463"/>
      <c r="I1" s="2463"/>
      <c r="J1" s="2463"/>
      <c r="K1" s="2463"/>
      <c r="L1" s="2463"/>
      <c r="M1" s="2463"/>
    </row>
    <row r="2" spans="2:14" ht="15" x14ac:dyDescent="0.2">
      <c r="B2" s="2452">
        <f>'Single Audit Cover'!E7</f>
        <v>32046258004</v>
      </c>
      <c r="C2" s="2452"/>
      <c r="D2" s="2452"/>
      <c r="E2" s="2452"/>
      <c r="F2" s="2452"/>
      <c r="G2" s="2452"/>
      <c r="H2" s="2452"/>
      <c r="I2" s="2452"/>
      <c r="J2" s="2452"/>
      <c r="K2" s="2452"/>
      <c r="L2" s="2452"/>
      <c r="M2" s="2452"/>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3" colorId="8" zoomScale="110" zoomScaleNormal="110" workbookViewId="0">
      <selection activeCell="H54" sqref="H5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t="s">
        <v>2077</v>
      </c>
      <c r="C53" s="179">
        <v>22</v>
      </c>
      <c r="D53" s="247" t="s">
        <v>1537</v>
      </c>
      <c r="E53" s="248"/>
      <c r="F53" s="249"/>
      <c r="G53" s="249" t="s">
        <v>1536</v>
      </c>
      <c r="H53" s="250">
        <v>35735</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2078</v>
      </c>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0" t="str">
        <f>'Single Audit Cover'!A7</f>
        <v>St George CCSD 258</v>
      </c>
      <c r="C1" s="2471"/>
      <c r="D1" s="2471"/>
      <c r="E1" s="2471"/>
      <c r="F1" s="2471"/>
      <c r="G1" s="2471"/>
      <c r="H1" s="2471"/>
      <c r="I1" s="2471"/>
      <c r="J1" s="1422"/>
    </row>
    <row r="2" spans="2:10" s="317" customFormat="1" ht="12.75" customHeight="1" x14ac:dyDescent="0.2">
      <c r="B2" s="2472">
        <f>'Single Audit Cover'!E7</f>
        <v>32046258004</v>
      </c>
      <c r="C2" s="2473"/>
      <c r="D2" s="2473"/>
      <c r="E2" s="2473"/>
      <c r="F2" s="2473"/>
      <c r="G2" s="2473"/>
      <c r="H2" s="2473"/>
      <c r="I2" s="2473"/>
      <c r="J2" s="1422"/>
    </row>
    <row r="3" spans="2:10" s="317" customFormat="1" ht="12.75" customHeight="1" x14ac:dyDescent="0.2">
      <c r="B3" s="2474" t="s">
        <v>1347</v>
      </c>
      <c r="C3" s="2475"/>
      <c r="D3" s="2475"/>
      <c r="E3" s="2475"/>
      <c r="F3" s="2475"/>
      <c r="G3" s="2475"/>
      <c r="H3" s="2475"/>
      <c r="I3" s="2475"/>
      <c r="J3" s="1423"/>
    </row>
    <row r="4" spans="2:10" s="317" customFormat="1" ht="12.75" customHeight="1" x14ac:dyDescent="0.2">
      <c r="B4" s="2474" t="str">
        <f>'Single Audit Cover'!A4</f>
        <v>Year Ending June 30, 2018</v>
      </c>
      <c r="C4" s="2475"/>
      <c r="D4" s="2475"/>
      <c r="E4" s="2475"/>
      <c r="F4" s="2475"/>
      <c r="G4" s="2475"/>
      <c r="H4" s="2475"/>
      <c r="I4" s="2475"/>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4" t="s">
        <v>1346</v>
      </c>
      <c r="C7" s="2475"/>
      <c r="D7" s="2475"/>
      <c r="E7" s="2475"/>
      <c r="F7" s="2475"/>
      <c r="G7" s="2475"/>
      <c r="H7" s="2475"/>
      <c r="I7" s="2475"/>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6"/>
      <c r="D11" s="2476"/>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7"/>
      <c r="E29" s="2477"/>
      <c r="F29" s="2477"/>
      <c r="G29" s="2477"/>
      <c r="H29" s="2477"/>
      <c r="I29" s="2477"/>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8" t="s">
        <v>1854</v>
      </c>
      <c r="D37" s="2479"/>
      <c r="E37" s="2479"/>
      <c r="F37" s="2480"/>
      <c r="G37" s="2478" t="s">
        <v>1674</v>
      </c>
      <c r="H37" s="2479"/>
      <c r="I37" s="2480"/>
    </row>
    <row r="38" spans="2:9" ht="16.5" customHeight="1" x14ac:dyDescent="0.2">
      <c r="B38" s="1444"/>
      <c r="C38" s="2466"/>
      <c r="D38" s="2467"/>
      <c r="E38" s="2467"/>
      <c r="F38" s="2468"/>
      <c r="G38" s="2481"/>
      <c r="H38" s="2482"/>
      <c r="I38" s="2483"/>
    </row>
    <row r="39" spans="2:9" ht="16.5" customHeight="1" x14ac:dyDescent="0.2">
      <c r="B39" s="1444"/>
      <c r="C39" s="2466"/>
      <c r="D39" s="2467"/>
      <c r="E39" s="2467"/>
      <c r="F39" s="2468"/>
      <c r="G39" s="2469"/>
      <c r="H39" s="2469"/>
      <c r="I39" s="2469"/>
    </row>
    <row r="40" spans="2:9" ht="16.5" customHeight="1" x14ac:dyDescent="0.2">
      <c r="B40" s="1444"/>
      <c r="C40" s="2466"/>
      <c r="D40" s="2467"/>
      <c r="E40" s="2467"/>
      <c r="F40" s="2468"/>
      <c r="G40" s="2469"/>
      <c r="H40" s="2469"/>
      <c r="I40" s="2469"/>
    </row>
    <row r="41" spans="2:9" ht="16.5" customHeight="1" x14ac:dyDescent="0.2">
      <c r="B41" s="1444"/>
      <c r="C41" s="2466"/>
      <c r="D41" s="2467"/>
      <c r="E41" s="2467"/>
      <c r="F41" s="2468"/>
      <c r="G41" s="2469"/>
      <c r="H41" s="2469"/>
      <c r="I41" s="2469"/>
    </row>
    <row r="42" spans="2:9" ht="16.5" customHeight="1" x14ac:dyDescent="0.2">
      <c r="B42" s="1444"/>
      <c r="C42" s="2466"/>
      <c r="D42" s="2467"/>
      <c r="E42" s="2467"/>
      <c r="F42" s="2468"/>
      <c r="G42" s="2469"/>
      <c r="H42" s="2469"/>
      <c r="I42" s="2469"/>
    </row>
    <row r="43" spans="2:9" ht="16.5" customHeight="1" x14ac:dyDescent="0.2">
      <c r="B43" s="1444"/>
      <c r="C43" s="2484" t="s">
        <v>1675</v>
      </c>
      <c r="D43" s="2485"/>
      <c r="E43" s="2485"/>
      <c r="F43" s="2486"/>
      <c r="G43" s="2487">
        <f>SUM(G38:I42)</f>
        <v>0</v>
      </c>
      <c r="H43" s="2487"/>
      <c r="I43" s="2487"/>
    </row>
    <row r="44" spans="2:9" ht="12.75" customHeight="1" x14ac:dyDescent="0.2"/>
    <row r="45" spans="2:9" ht="12.75" customHeight="1" x14ac:dyDescent="0.2">
      <c r="B45" s="1435" t="s">
        <v>1952</v>
      </c>
      <c r="D45" s="2488">
        <v>0</v>
      </c>
      <c r="E45" s="2489"/>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0"/>
      <c r="F49" s="2490"/>
      <c r="G49" s="2490"/>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0" t="str">
        <f>'Single Audit Cover'!A7</f>
        <v>St George CCSD 258</v>
      </c>
      <c r="C1" s="2470"/>
      <c r="D1" s="2470"/>
      <c r="E1" s="2470"/>
      <c r="F1" s="2470"/>
      <c r="G1" s="2470"/>
      <c r="H1" s="2470"/>
      <c r="I1" s="2470"/>
      <c r="J1" s="2470"/>
      <c r="K1" s="2470"/>
      <c r="L1" s="1374"/>
      <c r="M1" s="1374"/>
    </row>
    <row r="2" spans="1:13" ht="12" customHeight="1" x14ac:dyDescent="0.2">
      <c r="B2" s="2472">
        <f>'Single Audit Cover'!E7</f>
        <v>32046258004</v>
      </c>
      <c r="C2" s="2472"/>
      <c r="D2" s="2472"/>
      <c r="E2" s="2472"/>
      <c r="F2" s="2472"/>
      <c r="G2" s="2472"/>
      <c r="H2" s="2472"/>
      <c r="I2" s="2472"/>
      <c r="J2" s="2472"/>
      <c r="K2" s="2472"/>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7" t="str">
        <f>'Single Audit Cover'!A7</f>
        <v>St George CCSD 258</v>
      </c>
      <c r="C1" s="2497"/>
      <c r="D1" s="2497"/>
      <c r="E1" s="2497"/>
      <c r="F1" s="2497"/>
      <c r="G1" s="2497"/>
      <c r="H1" s="2497"/>
      <c r="I1" s="2497"/>
      <c r="J1" s="2497"/>
      <c r="K1" s="2497"/>
      <c r="L1" s="1465"/>
    </row>
    <row r="2" spans="1:12" ht="12.75" customHeight="1" x14ac:dyDescent="0.2">
      <c r="B2" s="2498">
        <f>'Single Audit Cover'!E7</f>
        <v>32046258004</v>
      </c>
      <c r="C2" s="2498"/>
      <c r="D2" s="2498"/>
      <c r="E2" s="2498"/>
      <c r="F2" s="2498"/>
      <c r="G2" s="2498"/>
      <c r="H2" s="2498"/>
      <c r="I2" s="2498"/>
      <c r="J2" s="2498"/>
      <c r="K2" s="2498"/>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499" t="s">
        <v>1375</v>
      </c>
      <c r="C6" s="2499"/>
      <c r="D6" s="2499"/>
      <c r="E6" s="2499"/>
      <c r="F6" s="2499"/>
      <c r="G6" s="2499"/>
      <c r="H6" s="2499"/>
      <c r="I6" s="2499"/>
      <c r="J6" s="2499"/>
      <c r="K6" s="2499"/>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7"/>
      <c r="G12" s="2477"/>
      <c r="H12" s="2477"/>
      <c r="I12" s="2477"/>
      <c r="J12" s="2477"/>
      <c r="K12" s="2477"/>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0"/>
      <c r="E14" s="2500"/>
      <c r="F14" s="2500"/>
      <c r="H14" s="1475" t="s">
        <v>1370</v>
      </c>
      <c r="I14" s="2501"/>
      <c r="J14" s="2501"/>
      <c r="K14" s="2501"/>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1"/>
      <c r="E16" s="2501"/>
      <c r="F16" s="2501"/>
      <c r="G16" s="2501"/>
      <c r="H16" s="2501"/>
      <c r="I16" s="2501"/>
      <c r="J16" s="2501"/>
      <c r="K16" s="2501"/>
      <c r="L16" s="322"/>
    </row>
    <row r="17" spans="2:12" ht="13.5" customHeight="1" x14ac:dyDescent="0.2">
      <c r="B17" s="1387" t="s">
        <v>1368</v>
      </c>
      <c r="C17" s="1387"/>
      <c r="D17" s="2502"/>
      <c r="E17" s="2502"/>
      <c r="F17" s="2502"/>
      <c r="G17" s="2502"/>
      <c r="H17" s="2502"/>
      <c r="I17" s="2502"/>
      <c r="J17" s="2502"/>
      <c r="K17" s="2502"/>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0" t="str">
        <f>'Single Audit Cover'!A7</f>
        <v>St George CCSD 258</v>
      </c>
      <c r="C1" s="2470"/>
      <c r="D1" s="2470"/>
      <c r="E1" s="1491"/>
    </row>
    <row r="2" spans="2:5" s="1282" customFormat="1" ht="12.75" customHeight="1" x14ac:dyDescent="0.2">
      <c r="B2" s="2472">
        <f>'Single Audit Cover'!E7</f>
        <v>32046258004</v>
      </c>
      <c r="C2" s="2472"/>
      <c r="D2" s="2472"/>
      <c r="E2" s="1492"/>
    </row>
    <row r="3" spans="2:5" ht="12.75" customHeight="1" x14ac:dyDescent="0.2">
      <c r="B3" s="2493" t="s">
        <v>1869</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L11" sqref="L1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77388298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2.3614E-2</v>
      </c>
      <c r="E10" s="356" t="s">
        <v>1062</v>
      </c>
      <c r="F10" s="355">
        <v>3.1020000000000002E-3</v>
      </c>
      <c r="G10" s="356" t="s">
        <v>1062</v>
      </c>
      <c r="H10" s="355">
        <v>1.16E-3</v>
      </c>
      <c r="I10" s="356" t="s">
        <v>1063</v>
      </c>
      <c r="J10" s="1754">
        <f>ROUND(D10+F10+H10,5)</f>
        <v>2.7879999999999999E-2</v>
      </c>
      <c r="K10" s="222"/>
      <c r="L10" s="355">
        <v>1.2999999999999999E-5</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4102546</v>
      </c>
      <c r="E16" s="356"/>
      <c r="F16" s="1755">
        <f>SUM('Acct Summary 7-8'!C17,'Acct Summary 7-8'!D17,'Acct Summary 7-8'!F17)</f>
        <v>3920316</v>
      </c>
      <c r="G16" s="356"/>
      <c r="H16" s="1755">
        <f>SUM(D16-F16)</f>
        <v>182230</v>
      </c>
      <c r="I16" s="222"/>
      <c r="J16" s="1755">
        <f>SUM('Acct Summary 7-8'!C81,'Acct Summary 7-8'!D81,'Acct Summary 7-8'!F81,'Acct Summary 7-8'!I81)</f>
        <v>2409877</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2077</v>
      </c>
      <c r="C31" s="367" t="s">
        <v>607</v>
      </c>
      <c r="D31" s="237" t="s">
        <v>1132</v>
      </c>
      <c r="E31" s="222"/>
      <c r="F31" s="222"/>
      <c r="G31" s="363"/>
      <c r="H31" s="1757">
        <f>IF(B31="X",(J7*0.069),IF(B32="X",(J7*0.138),"Enter x in a.or b."))</f>
        <v>5339792.5620000008</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2320000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16" zoomScale="110" zoomScaleNormal="110" workbookViewId="0">
      <selection activeCell="D40" sqre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St George CCSD 258</v>
      </c>
      <c r="E7" s="391"/>
      <c r="G7" s="252"/>
      <c r="H7" s="387"/>
      <c r="I7" s="387"/>
      <c r="J7" s="387"/>
      <c r="K7" s="387"/>
      <c r="L7" s="329"/>
      <c r="M7" s="329"/>
      <c r="N7" s="329"/>
      <c r="O7" s="329"/>
      <c r="P7" s="329"/>
    </row>
    <row r="8" spans="1:18" ht="12.75" x14ac:dyDescent="0.2">
      <c r="A8" s="329"/>
      <c r="B8" s="329"/>
      <c r="C8" s="389" t="s">
        <v>1187</v>
      </c>
      <c r="D8" s="392">
        <f>COVER!A13</f>
        <v>32046258004</v>
      </c>
      <c r="E8" s="393"/>
      <c r="G8" s="329"/>
      <c r="H8" s="329"/>
      <c r="I8" s="329"/>
      <c r="J8" s="329"/>
      <c r="K8" s="329"/>
      <c r="L8" s="329"/>
      <c r="M8" s="329"/>
      <c r="N8" s="329"/>
      <c r="O8" s="329"/>
      <c r="P8" s="329"/>
    </row>
    <row r="9" spans="1:18" ht="12.75" x14ac:dyDescent="0.2">
      <c r="A9" s="329"/>
      <c r="B9" s="329"/>
      <c r="C9" s="389" t="s">
        <v>737</v>
      </c>
      <c r="D9" s="394" t="str">
        <f>COVER!A15</f>
        <v>Kankakee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2409877</v>
      </c>
      <c r="I12" s="404"/>
      <c r="J12" s="404"/>
      <c r="K12" s="405">
        <f>TRUNC((H12/H13*100000),5)/100000</f>
        <v>0.58741011059999992</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4102546</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3920316</v>
      </c>
      <c r="I17" s="404"/>
      <c r="J17" s="416"/>
      <c r="K17" s="405">
        <f>TRUNC((H17/H18*100000),5)/100000</f>
        <v>0.95558124150000001</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4102546</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2409877</v>
      </c>
      <c r="I24" s="422"/>
      <c r="J24" s="422"/>
      <c r="K24" s="423">
        <f>TRUNC(((H24/H25*100000)/100000),2)</f>
        <v>221.29</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10889.766670000001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1833947.8859999999</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2320000</v>
      </c>
      <c r="I32" s="420"/>
      <c r="J32" s="420"/>
      <c r="K32" s="423">
        <f>TRUNC(100-((((H32/H33*100))*100)/100),2)</f>
        <v>56.55</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5339792.5620000008</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5" activePane="bottomLeft" state="frozen"/>
      <selection activeCell="A47" sqref="A47"/>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1939971</v>
      </c>
      <c r="D4" s="466">
        <v>272044</v>
      </c>
      <c r="E4" s="466">
        <v>73</v>
      </c>
      <c r="F4" s="466">
        <v>155193</v>
      </c>
      <c r="G4" s="466">
        <v>38262</v>
      </c>
      <c r="H4" s="466">
        <v>217556</v>
      </c>
      <c r="I4" s="466">
        <v>42669</v>
      </c>
      <c r="J4" s="467">
        <v>20543</v>
      </c>
      <c r="K4" s="466">
        <v>7357</v>
      </c>
      <c r="L4" s="466">
        <v>28416</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1939971</v>
      </c>
      <c r="D13" s="1759">
        <f t="shared" ref="D13:L13" si="0">SUM(D4:D12)</f>
        <v>272044</v>
      </c>
      <c r="E13" s="1759">
        <f t="shared" si="0"/>
        <v>73</v>
      </c>
      <c r="F13" s="1759">
        <f t="shared" si="0"/>
        <v>155193</v>
      </c>
      <c r="G13" s="1759">
        <f t="shared" si="0"/>
        <v>38262</v>
      </c>
      <c r="H13" s="1759">
        <f t="shared" si="0"/>
        <v>217556</v>
      </c>
      <c r="I13" s="1759">
        <f t="shared" si="0"/>
        <v>42669</v>
      </c>
      <c r="J13" s="1759">
        <f t="shared" si="0"/>
        <v>20543</v>
      </c>
      <c r="K13" s="1759">
        <f t="shared" si="0"/>
        <v>7357</v>
      </c>
      <c r="L13" s="1759">
        <f t="shared" si="0"/>
        <v>28416</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671408</v>
      </c>
      <c r="N16" s="484"/>
    </row>
    <row r="17" spans="1:14" s="485" customFormat="1" ht="12.75" customHeight="1" x14ac:dyDescent="0.2">
      <c r="A17" s="482" t="s">
        <v>1470</v>
      </c>
      <c r="B17" s="483">
        <v>230</v>
      </c>
      <c r="C17" s="477"/>
      <c r="D17" s="477"/>
      <c r="E17" s="477"/>
      <c r="F17" s="477"/>
      <c r="G17" s="477"/>
      <c r="H17" s="477"/>
      <c r="I17" s="477"/>
      <c r="J17" s="477"/>
      <c r="K17" s="477"/>
      <c r="L17" s="477"/>
      <c r="M17" s="467">
        <v>5781791</v>
      </c>
      <c r="N17" s="484"/>
    </row>
    <row r="18" spans="1:14" s="485" customFormat="1" ht="12.75" customHeight="1" x14ac:dyDescent="0.2">
      <c r="A18" s="482" t="s">
        <v>1471</v>
      </c>
      <c r="B18" s="483">
        <v>240</v>
      </c>
      <c r="C18" s="477"/>
      <c r="D18" s="477"/>
      <c r="E18" s="477"/>
      <c r="F18" s="477"/>
      <c r="G18" s="477"/>
      <c r="H18" s="477"/>
      <c r="I18" s="477"/>
      <c r="J18" s="477"/>
      <c r="K18" s="477"/>
      <c r="L18" s="477"/>
      <c r="M18" s="467">
        <v>241043</v>
      </c>
      <c r="N18" s="484"/>
    </row>
    <row r="19" spans="1:14" s="485" customFormat="1" ht="12.75" customHeight="1" x14ac:dyDescent="0.2">
      <c r="A19" s="482" t="s">
        <v>1472</v>
      </c>
      <c r="B19" s="483">
        <v>250</v>
      </c>
      <c r="C19" s="477"/>
      <c r="D19" s="477"/>
      <c r="E19" s="477"/>
      <c r="F19" s="477"/>
      <c r="G19" s="477"/>
      <c r="H19" s="477"/>
      <c r="I19" s="477"/>
      <c r="J19" s="477"/>
      <c r="K19" s="477"/>
      <c r="L19" s="477"/>
      <c r="M19" s="467"/>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73</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2319927</v>
      </c>
    </row>
    <row r="23" spans="1:14" ht="13.5" customHeight="1" thickBot="1" x14ac:dyDescent="0.25">
      <c r="A23" s="1758" t="s">
        <v>664</v>
      </c>
      <c r="B23" s="1763"/>
      <c r="C23" s="468"/>
      <c r="D23" s="468"/>
      <c r="E23" s="468"/>
      <c r="F23" s="468"/>
      <c r="G23" s="468"/>
      <c r="H23" s="468"/>
      <c r="I23" s="468"/>
      <c r="J23" s="468"/>
      <c r="K23" s="468"/>
      <c r="L23" s="468"/>
      <c r="M23" s="1710">
        <f>SUM(M15:M22)</f>
        <v>6694242</v>
      </c>
      <c r="N23" s="1710">
        <f>SUM(N21:N22)</f>
        <v>2320000</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28416</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28416</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2320000</v>
      </c>
    </row>
    <row r="37" spans="1:14" ht="13.5" thickBot="1" x14ac:dyDescent="0.25">
      <c r="A37" s="1758" t="s">
        <v>674</v>
      </c>
      <c r="B37" s="1763"/>
      <c r="C37" s="477"/>
      <c r="D37" s="477"/>
      <c r="E37" s="477"/>
      <c r="F37" s="477"/>
      <c r="G37" s="477"/>
      <c r="H37" s="477"/>
      <c r="I37" s="477"/>
      <c r="J37" s="477"/>
      <c r="K37" s="477"/>
      <c r="L37" s="480"/>
      <c r="M37" s="468"/>
      <c r="N37" s="1710">
        <f>SUM(N36:N36)</f>
        <v>2320000</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1939971</v>
      </c>
      <c r="D39" s="466">
        <v>272044</v>
      </c>
      <c r="E39" s="466">
        <v>73</v>
      </c>
      <c r="F39" s="466">
        <v>155193</v>
      </c>
      <c r="G39" s="466">
        <v>38262</v>
      </c>
      <c r="H39" s="466">
        <v>217556</v>
      </c>
      <c r="I39" s="466">
        <v>42669</v>
      </c>
      <c r="J39" s="467">
        <v>20543</v>
      </c>
      <c r="K39" s="466">
        <v>7357</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6694242</v>
      </c>
      <c r="N40" s="497"/>
    </row>
    <row r="41" spans="1:14" ht="13.5" customHeight="1" thickBot="1" x14ac:dyDescent="0.25">
      <c r="A41" s="1758" t="s">
        <v>676</v>
      </c>
      <c r="B41" s="1728"/>
      <c r="C41" s="1710">
        <f>(SUM(C34,C37,C38,C39))</f>
        <v>1939971</v>
      </c>
      <c r="D41" s="1710">
        <f t="shared" ref="D41:L41" si="2">SUM(D34,D37,D38:D39)</f>
        <v>272044</v>
      </c>
      <c r="E41" s="1710">
        <f t="shared" si="2"/>
        <v>73</v>
      </c>
      <c r="F41" s="1710">
        <f t="shared" si="2"/>
        <v>155193</v>
      </c>
      <c r="G41" s="1710">
        <f t="shared" si="2"/>
        <v>38262</v>
      </c>
      <c r="H41" s="1710">
        <f t="shared" si="2"/>
        <v>217556</v>
      </c>
      <c r="I41" s="1710">
        <f t="shared" si="2"/>
        <v>42669</v>
      </c>
      <c r="J41" s="1710">
        <f t="shared" si="2"/>
        <v>20543</v>
      </c>
      <c r="K41" s="1710">
        <f t="shared" si="2"/>
        <v>7357</v>
      </c>
      <c r="L41" s="1710">
        <f t="shared" si="2"/>
        <v>28416</v>
      </c>
      <c r="M41" s="1710">
        <f>SUM(M40)</f>
        <v>6694242</v>
      </c>
      <c r="N41" s="1710">
        <f>SUM(N37)</f>
        <v>2320000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K9" sqref="K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54" t="s">
        <v>1579</v>
      </c>
      <c r="B4" s="1955">
        <v>1000</v>
      </c>
      <c r="C4" s="1764">
        <f>'Revenues 9-14'!C109</f>
        <v>1864794</v>
      </c>
      <c r="D4" s="1764">
        <f>'Revenues 9-14'!D109</f>
        <v>318039</v>
      </c>
      <c r="E4" s="1764">
        <f>'Revenues 9-14'!E109</f>
        <v>493587</v>
      </c>
      <c r="F4" s="1764">
        <f>'Revenues 9-14'!F109</f>
        <v>47828</v>
      </c>
      <c r="G4" s="1764">
        <f>'Revenues 9-14'!G109</f>
        <v>93113</v>
      </c>
      <c r="H4" s="1764">
        <f>'Revenues 9-14'!H109</f>
        <v>17385</v>
      </c>
      <c r="I4" s="1764">
        <f>'Revenues 9-14'!I109</f>
        <v>747</v>
      </c>
      <c r="J4" s="1764">
        <f>'Revenues 9-14'!J109</f>
        <v>11668</v>
      </c>
      <c r="K4" s="1764">
        <f>'Revenues 9-14'!K109</f>
        <v>747</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1136515</v>
      </c>
      <c r="D6" s="1765">
        <f>'Revenues 9-14'!D173</f>
        <v>285000</v>
      </c>
      <c r="E6" s="1765">
        <f>'Revenues 9-14'!E173</f>
        <v>18200</v>
      </c>
      <c r="F6" s="1765">
        <f>'Revenues 9-14'!F173</f>
        <v>179165</v>
      </c>
      <c r="G6" s="1765">
        <f>'Revenues 9-14'!G173</f>
        <v>10000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270458</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3271767</v>
      </c>
      <c r="D8" s="1710">
        <f t="shared" ref="D8:K8" si="0">SUM(D4:D7)</f>
        <v>603039</v>
      </c>
      <c r="E8" s="1710">
        <f t="shared" si="0"/>
        <v>511787</v>
      </c>
      <c r="F8" s="1710">
        <f t="shared" si="0"/>
        <v>226993</v>
      </c>
      <c r="G8" s="1710">
        <f t="shared" si="0"/>
        <v>103113</v>
      </c>
      <c r="H8" s="1710">
        <f t="shared" si="0"/>
        <v>17385</v>
      </c>
      <c r="I8" s="1710">
        <f t="shared" si="0"/>
        <v>747</v>
      </c>
      <c r="J8" s="1710">
        <f t="shared" si="0"/>
        <v>11668</v>
      </c>
      <c r="K8" s="1710">
        <f t="shared" si="0"/>
        <v>747</v>
      </c>
      <c r="L8" s="347"/>
    </row>
    <row r="9" spans="1:13" ht="15.75" thickTop="1" x14ac:dyDescent="0.2">
      <c r="A9" s="514" t="s">
        <v>1752</v>
      </c>
      <c r="B9" s="515">
        <v>3998</v>
      </c>
      <c r="C9" s="481">
        <v>1173611</v>
      </c>
      <c r="D9" s="516"/>
      <c r="E9" s="481"/>
      <c r="F9" s="481"/>
      <c r="G9" s="517"/>
      <c r="H9" s="481"/>
      <c r="I9" s="509" t="s">
        <v>1231</v>
      </c>
      <c r="J9" s="478"/>
      <c r="K9" s="481"/>
      <c r="L9" s="347"/>
    </row>
    <row r="10" spans="1:13" s="519" customFormat="1" ht="13.5" thickBot="1" x14ac:dyDescent="0.25">
      <c r="A10" s="1758" t="s">
        <v>1235</v>
      </c>
      <c r="B10" s="1731"/>
      <c r="C10" s="1710">
        <f>SUM(C8:C9)</f>
        <v>4445378</v>
      </c>
      <c r="D10" s="1710">
        <f t="shared" ref="D10:K10" si="1">SUM(D8:D9)</f>
        <v>603039</v>
      </c>
      <c r="E10" s="1710">
        <f t="shared" si="1"/>
        <v>511787</v>
      </c>
      <c r="F10" s="1710">
        <f t="shared" si="1"/>
        <v>226993</v>
      </c>
      <c r="G10" s="1710">
        <f t="shared" si="1"/>
        <v>103113</v>
      </c>
      <c r="H10" s="1710">
        <f t="shared" si="1"/>
        <v>17385</v>
      </c>
      <c r="I10" s="1710">
        <f t="shared" si="1"/>
        <v>747</v>
      </c>
      <c r="J10" s="1710">
        <f t="shared" si="1"/>
        <v>11668</v>
      </c>
      <c r="K10" s="1710">
        <f t="shared" si="1"/>
        <v>747</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4">
        <f>'Expenditures 15-22'!K33</f>
        <v>1785856</v>
      </c>
      <c r="D12" s="520" t="s">
        <v>1231</v>
      </c>
      <c r="E12" s="468" t="s">
        <v>1231</v>
      </c>
      <c r="F12" s="468" t="s">
        <v>1231</v>
      </c>
      <c r="G12" s="1764">
        <f>'Expenditures 15-22'!K229</f>
        <v>37253</v>
      </c>
      <c r="H12" s="521"/>
      <c r="I12" s="468" t="s">
        <v>1231</v>
      </c>
      <c r="J12" s="468" t="s">
        <v>1231</v>
      </c>
      <c r="K12" s="521" t="s">
        <v>1231</v>
      </c>
      <c r="L12" s="347"/>
    </row>
    <row r="13" spans="1:13" ht="15.75" customHeight="1" x14ac:dyDescent="0.2">
      <c r="A13" s="1598" t="s">
        <v>477</v>
      </c>
      <c r="B13" s="1600">
        <v>2000</v>
      </c>
      <c r="C13" s="1765">
        <f>'Expenditures 15-22'!K74</f>
        <v>1154857</v>
      </c>
      <c r="D13" s="1765">
        <f>'Expenditures 15-22'!K129</f>
        <v>688980</v>
      </c>
      <c r="E13" s="469" t="s">
        <v>1231</v>
      </c>
      <c r="F13" s="1765">
        <f>'Expenditures 15-22'!K184</f>
        <v>238291</v>
      </c>
      <c r="G13" s="1765">
        <f>'Expenditures 15-22'!K279</f>
        <v>68293</v>
      </c>
      <c r="H13" s="1765">
        <f>'Expenditures 15-22'!K303</f>
        <v>0</v>
      </c>
      <c r="I13" s="468" t="s">
        <v>1231</v>
      </c>
      <c r="J13" s="1765">
        <f>'Expenditures 15-22'!K330</f>
        <v>0</v>
      </c>
      <c r="K13" s="1769">
        <f>'Expenditures 15-22'!K352</f>
        <v>622</v>
      </c>
      <c r="L13" s="347"/>
    </row>
    <row r="14" spans="1:13" ht="15.75" customHeight="1" x14ac:dyDescent="0.2">
      <c r="A14" s="1598" t="s">
        <v>469</v>
      </c>
      <c r="B14" s="1600">
        <v>3000</v>
      </c>
      <c r="C14" s="1765">
        <f>'Expenditures 15-22'!K75</f>
        <v>948</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51384</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520648</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2993045</v>
      </c>
      <c r="D17" s="1710">
        <f t="shared" si="2"/>
        <v>688980</v>
      </c>
      <c r="E17" s="1710">
        <f t="shared" si="2"/>
        <v>520648</v>
      </c>
      <c r="F17" s="1710">
        <f t="shared" si="2"/>
        <v>238291</v>
      </c>
      <c r="G17" s="1710">
        <f t="shared" si="2"/>
        <v>105546</v>
      </c>
      <c r="H17" s="1710">
        <f t="shared" si="2"/>
        <v>0</v>
      </c>
      <c r="I17" s="468"/>
      <c r="J17" s="1710">
        <f>SUM(J12:J16)</f>
        <v>0</v>
      </c>
      <c r="K17" s="1710">
        <f>SUM(K12:K16)</f>
        <v>622</v>
      </c>
      <c r="L17" s="347"/>
    </row>
    <row r="18" spans="1:12" ht="15" customHeight="1" thickTop="1" x14ac:dyDescent="0.2">
      <c r="A18" s="1766" t="s">
        <v>1753</v>
      </c>
      <c r="B18" s="1767">
        <v>4180</v>
      </c>
      <c r="C18" s="1764">
        <f t="shared" ref="C18:H18" si="3">C9</f>
        <v>1173611</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4166656</v>
      </c>
      <c r="D19" s="1710">
        <f t="shared" si="4"/>
        <v>688980</v>
      </c>
      <c r="E19" s="1710">
        <f t="shared" si="4"/>
        <v>520648</v>
      </c>
      <c r="F19" s="1710">
        <f t="shared" si="4"/>
        <v>238291</v>
      </c>
      <c r="G19" s="1710">
        <f t="shared" si="4"/>
        <v>105546</v>
      </c>
      <c r="H19" s="1710">
        <f t="shared" si="4"/>
        <v>0</v>
      </c>
      <c r="I19" s="468"/>
      <c r="J19" s="1710">
        <f>SUM(J17:J18)</f>
        <v>0</v>
      </c>
      <c r="K19" s="1710">
        <f>SUM(K17:K18)</f>
        <v>622</v>
      </c>
      <c r="L19" s="347"/>
    </row>
    <row r="20" spans="1:12" ht="16.5" thickTop="1" thickBot="1" x14ac:dyDescent="0.25">
      <c r="A20" s="2143" t="s">
        <v>1754</v>
      </c>
      <c r="B20" s="2144"/>
      <c r="C20" s="1768">
        <f>C8-C17</f>
        <v>278722</v>
      </c>
      <c r="D20" s="1768">
        <f t="shared" ref="D20:K20" si="5">D8-D17</f>
        <v>-85941</v>
      </c>
      <c r="E20" s="1768">
        <f t="shared" si="5"/>
        <v>-8861</v>
      </c>
      <c r="F20" s="1768">
        <f t="shared" si="5"/>
        <v>-11298</v>
      </c>
      <c r="G20" s="1768">
        <f t="shared" si="5"/>
        <v>-2433</v>
      </c>
      <c r="H20" s="1768">
        <f t="shared" si="5"/>
        <v>17385</v>
      </c>
      <c r="I20" s="1768">
        <f t="shared" si="5"/>
        <v>747</v>
      </c>
      <c r="J20" s="1768">
        <f t="shared" si="5"/>
        <v>11668</v>
      </c>
      <c r="K20" s="1768">
        <f t="shared" si="5"/>
        <v>125</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7" t="s">
        <v>392</v>
      </c>
      <c r="B44" s="2158"/>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3" t="s">
        <v>460</v>
      </c>
      <c r="B76" s="2134"/>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5" t="s">
        <v>1239</v>
      </c>
      <c r="B77" s="2136"/>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9" t="s">
        <v>618</v>
      </c>
      <c r="B78" s="2140"/>
      <c r="C78" s="1724">
        <f t="shared" ref="C78:K78" si="9">C20+C77</f>
        <v>278722</v>
      </c>
      <c r="D78" s="1724">
        <f t="shared" si="9"/>
        <v>-85941</v>
      </c>
      <c r="E78" s="1724">
        <f t="shared" si="9"/>
        <v>-8861</v>
      </c>
      <c r="F78" s="1724">
        <f t="shared" si="9"/>
        <v>-11298</v>
      </c>
      <c r="G78" s="1724">
        <f t="shared" si="9"/>
        <v>-2433</v>
      </c>
      <c r="H78" s="1724">
        <f t="shared" si="9"/>
        <v>17385</v>
      </c>
      <c r="I78" s="1724">
        <f t="shared" si="9"/>
        <v>747</v>
      </c>
      <c r="J78" s="1724">
        <f t="shared" si="9"/>
        <v>11668</v>
      </c>
      <c r="K78" s="1724">
        <f t="shared" si="9"/>
        <v>125</v>
      </c>
      <c r="L78" s="533"/>
    </row>
    <row r="79" spans="1:12" ht="13.5" thickTop="1" x14ac:dyDescent="0.2">
      <c r="A79" s="1516" t="s">
        <v>2073</v>
      </c>
      <c r="B79" s="534"/>
      <c r="C79" s="478">
        <v>1661250</v>
      </c>
      <c r="D79" s="535">
        <v>357985</v>
      </c>
      <c r="E79" s="535">
        <v>8933</v>
      </c>
      <c r="F79" s="535">
        <v>166492</v>
      </c>
      <c r="G79" s="535">
        <v>40697</v>
      </c>
      <c r="H79" s="535">
        <v>200171</v>
      </c>
      <c r="I79" s="535">
        <v>41921</v>
      </c>
      <c r="J79" s="535">
        <v>8875</v>
      </c>
      <c r="K79" s="535">
        <v>7231</v>
      </c>
      <c r="L79" s="347"/>
    </row>
    <row r="80" spans="1:12" x14ac:dyDescent="0.2">
      <c r="A80" s="2145" t="s">
        <v>1898</v>
      </c>
      <c r="B80" s="2146"/>
      <c r="C80" s="467">
        <v>-1</v>
      </c>
      <c r="D80" s="467"/>
      <c r="E80" s="467">
        <v>1</v>
      </c>
      <c r="F80" s="467">
        <v>-1</v>
      </c>
      <c r="G80" s="467">
        <v>-2</v>
      </c>
      <c r="H80" s="467"/>
      <c r="I80" s="467">
        <v>1</v>
      </c>
      <c r="J80" s="467"/>
      <c r="K80" s="467">
        <v>1</v>
      </c>
      <c r="L80" s="347"/>
    </row>
    <row r="81" spans="1:12" ht="13.5" thickBot="1" x14ac:dyDescent="0.25">
      <c r="A81" s="2137" t="s">
        <v>2074</v>
      </c>
      <c r="B81" s="2138"/>
      <c r="C81" s="1710">
        <f>(SUM(C78:C80))</f>
        <v>1939971</v>
      </c>
      <c r="D81" s="1710">
        <f>SUM(D78:D80)</f>
        <v>272044</v>
      </c>
      <c r="E81" s="1710">
        <f t="shared" ref="E81:K81" si="10">SUM(E78:E80)</f>
        <v>73</v>
      </c>
      <c r="F81" s="1710">
        <f t="shared" si="10"/>
        <v>155193</v>
      </c>
      <c r="G81" s="1710">
        <f t="shared" si="10"/>
        <v>38262</v>
      </c>
      <c r="H81" s="1710">
        <f t="shared" si="10"/>
        <v>217556</v>
      </c>
      <c r="I81" s="1710">
        <f t="shared" si="10"/>
        <v>42669</v>
      </c>
      <c r="J81" s="1710">
        <f t="shared" si="10"/>
        <v>20543</v>
      </c>
      <c r="K81" s="1710">
        <f t="shared" si="10"/>
        <v>7357</v>
      </c>
      <c r="L81" s="347"/>
    </row>
    <row r="82" spans="1:12" ht="0.75" customHeight="1" thickTop="1" thickBot="1" x14ac:dyDescent="0.25">
      <c r="A82" s="536" t="s">
        <v>361</v>
      </c>
      <c r="B82" s="537"/>
      <c r="C82" s="538">
        <f>(C81-C79)</f>
        <v>278721</v>
      </c>
      <c r="D82" s="538">
        <f t="shared" ref="D82:K82" si="11">(D81-D79)</f>
        <v>-85941</v>
      </c>
      <c r="E82" s="538">
        <f t="shared" si="11"/>
        <v>-8860</v>
      </c>
      <c r="F82" s="538">
        <f t="shared" si="11"/>
        <v>-11299</v>
      </c>
      <c r="G82" s="538">
        <f t="shared" si="11"/>
        <v>-2435</v>
      </c>
      <c r="H82" s="538">
        <f t="shared" si="11"/>
        <v>17385</v>
      </c>
      <c r="I82" s="538">
        <f t="shared" si="11"/>
        <v>748</v>
      </c>
      <c r="J82" s="538">
        <f t="shared" si="11"/>
        <v>11668</v>
      </c>
      <c r="K82" s="538">
        <f t="shared" si="11"/>
        <v>126</v>
      </c>
    </row>
    <row r="83" spans="1:12" ht="14.25" hidden="1" thickTop="1" thickBot="1" x14ac:dyDescent="0.25">
      <c r="A83" s="539" t="s">
        <v>362</v>
      </c>
      <c r="B83" s="464"/>
      <c r="C83" s="540">
        <f>C82/C81</f>
        <v>0.14367276624238198</v>
      </c>
      <c r="D83" s="540">
        <f t="shared" ref="D83:K83" si="12">D82/D81</f>
        <v>-0.31590845598506123</v>
      </c>
      <c r="E83" s="540">
        <f t="shared" si="12"/>
        <v>-121.36986301369863</v>
      </c>
      <c r="F83" s="540">
        <f t="shared" si="12"/>
        <v>-7.2806118832679304E-2</v>
      </c>
      <c r="G83" s="540">
        <f t="shared" si="12"/>
        <v>-6.3640165176937949E-2</v>
      </c>
      <c r="H83" s="540">
        <f t="shared" si="12"/>
        <v>7.9910459835628528E-2</v>
      </c>
      <c r="I83" s="540">
        <f t="shared" si="12"/>
        <v>1.7530291312193864E-2</v>
      </c>
      <c r="J83" s="540">
        <f t="shared" si="12"/>
        <v>0.56797936036606145</v>
      </c>
      <c r="K83" s="540">
        <f t="shared" si="12"/>
        <v>1.7126546146527116E-2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E5" sqref="E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1905</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1723711</v>
      </c>
      <c r="D5" s="481">
        <v>308009</v>
      </c>
      <c r="E5" s="466">
        <v>493547</v>
      </c>
      <c r="F5" s="548">
        <v>47824</v>
      </c>
      <c r="G5" s="466">
        <v>33028</v>
      </c>
      <c r="H5" s="466"/>
      <c r="I5" s="466">
        <v>747</v>
      </c>
      <c r="J5" s="467">
        <v>11209</v>
      </c>
      <c r="K5" s="466">
        <v>747</v>
      </c>
    </row>
    <row r="6" spans="1:12" ht="15" x14ac:dyDescent="0.2">
      <c r="A6" s="463" t="s">
        <v>1761</v>
      </c>
      <c r="B6" s="470">
        <v>1130</v>
      </c>
      <c r="C6" s="466"/>
      <c r="D6" s="466"/>
      <c r="E6" s="475"/>
      <c r="F6" s="475"/>
      <c r="G6" s="468"/>
      <c r="H6" s="468"/>
      <c r="I6" s="468"/>
      <c r="J6" s="468"/>
      <c r="K6" s="468"/>
    </row>
    <row r="7" spans="1:12" x14ac:dyDescent="0.2">
      <c r="A7" s="463" t="s">
        <v>112</v>
      </c>
      <c r="B7" s="549">
        <v>1140</v>
      </c>
      <c r="C7" s="466"/>
      <c r="D7" s="466"/>
      <c r="E7" s="468"/>
      <c r="F7" s="467"/>
      <c r="G7" s="467"/>
      <c r="H7" s="467"/>
      <c r="I7" s="468"/>
      <c r="J7" s="468"/>
      <c r="K7" s="468"/>
    </row>
    <row r="8" spans="1:12" x14ac:dyDescent="0.2">
      <c r="A8" s="463" t="s">
        <v>433</v>
      </c>
      <c r="B8" s="470">
        <v>1150</v>
      </c>
      <c r="C8" s="475"/>
      <c r="D8" s="475"/>
      <c r="E8" s="477"/>
      <c r="F8" s="477"/>
      <c r="G8" s="481">
        <v>60077</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1723711</v>
      </c>
      <c r="D12" s="1729">
        <f t="shared" si="0"/>
        <v>308009</v>
      </c>
      <c r="E12" s="1729">
        <f t="shared" si="0"/>
        <v>493547</v>
      </c>
      <c r="F12" s="1729">
        <f t="shared" si="0"/>
        <v>47824</v>
      </c>
      <c r="G12" s="1729">
        <f t="shared" si="0"/>
        <v>93105</v>
      </c>
      <c r="H12" s="1729">
        <f t="shared" si="0"/>
        <v>0</v>
      </c>
      <c r="I12" s="1729">
        <f t="shared" si="0"/>
        <v>747</v>
      </c>
      <c r="J12" s="1729">
        <f t="shared" si="0"/>
        <v>11209</v>
      </c>
      <c r="K12" s="1710">
        <f t="shared" si="0"/>
        <v>747</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7688</v>
      </c>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7688</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17794</v>
      </c>
      <c r="D65" s="466">
        <v>25</v>
      </c>
      <c r="E65" s="466">
        <v>40</v>
      </c>
      <c r="F65" s="467">
        <v>4</v>
      </c>
      <c r="G65" s="466">
        <v>8</v>
      </c>
      <c r="H65" s="466"/>
      <c r="I65" s="466"/>
      <c r="J65" s="467">
        <v>1</v>
      </c>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17794</v>
      </c>
      <c r="D67" s="1710">
        <f t="shared" ref="D67:K67" si="2">SUM(D65:D66)</f>
        <v>25</v>
      </c>
      <c r="E67" s="1710">
        <f t="shared" si="2"/>
        <v>40</v>
      </c>
      <c r="F67" s="1710">
        <f t="shared" si="2"/>
        <v>4</v>
      </c>
      <c r="G67" s="1710">
        <f t="shared" si="2"/>
        <v>8</v>
      </c>
      <c r="H67" s="1710">
        <f t="shared" si="2"/>
        <v>0</v>
      </c>
      <c r="I67" s="1710">
        <f t="shared" si="2"/>
        <v>0</v>
      </c>
      <c r="J67" s="1710">
        <f t="shared" si="2"/>
        <v>1</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47690</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5268</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1785</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54743</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6642</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8821</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15463</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33469</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v>79</v>
      </c>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33548</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v>6500</v>
      </c>
      <c r="D95" s="551">
        <v>10000</v>
      </c>
      <c r="E95" s="521"/>
      <c r="F95" s="521"/>
      <c r="G95" s="521"/>
      <c r="H95" s="521"/>
      <c r="I95" s="521"/>
      <c r="J95" s="521"/>
      <c r="K95" s="521"/>
    </row>
    <row r="96" spans="1:11" ht="12.75" customHeight="1" x14ac:dyDescent="0.2">
      <c r="A96" s="463" t="s">
        <v>409</v>
      </c>
      <c r="B96" s="470">
        <v>1920</v>
      </c>
      <c r="C96" s="551">
        <v>2738</v>
      </c>
      <c r="D96" s="551"/>
      <c r="E96" s="479"/>
      <c r="F96" s="478"/>
      <c r="G96" s="478"/>
      <c r="H96" s="478"/>
      <c r="I96" s="478"/>
      <c r="J96" s="478"/>
      <c r="K96" s="478"/>
    </row>
    <row r="97" spans="1:12" ht="12.75" customHeight="1" x14ac:dyDescent="0.2">
      <c r="A97" s="1517" t="s">
        <v>262</v>
      </c>
      <c r="B97" s="559">
        <v>1930</v>
      </c>
      <c r="C97" s="489"/>
      <c r="D97" s="467"/>
      <c r="E97" s="474"/>
      <c r="F97" s="467"/>
      <c r="G97" s="467"/>
      <c r="H97" s="467">
        <v>17385</v>
      </c>
      <c r="I97" s="467"/>
      <c r="J97" s="467"/>
      <c r="K97" s="467"/>
    </row>
    <row r="98" spans="1:12" ht="12.75" customHeight="1" x14ac:dyDescent="0.2">
      <c r="A98" s="463" t="s">
        <v>198</v>
      </c>
      <c r="B98" s="470">
        <v>1940</v>
      </c>
      <c r="C98" s="489">
        <v>2137</v>
      </c>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472</v>
      </c>
      <c r="D107" s="466">
        <v>5</v>
      </c>
      <c r="E107" s="466"/>
      <c r="F107" s="466"/>
      <c r="G107" s="466"/>
      <c r="H107" s="466"/>
      <c r="I107" s="466"/>
      <c r="J107" s="467">
        <v>458</v>
      </c>
      <c r="K107" s="466"/>
    </row>
    <row r="108" spans="1:12" ht="12.75" customHeight="1" thickBot="1" x14ac:dyDescent="0.25">
      <c r="A108" s="1730" t="s">
        <v>508</v>
      </c>
      <c r="B108" s="1734"/>
      <c r="C108" s="1729">
        <f>SUM(C95:C107)</f>
        <v>11847</v>
      </c>
      <c r="D108" s="1729">
        <f t="shared" ref="D108:K108" si="3">SUM(D95:D107)</f>
        <v>10005</v>
      </c>
      <c r="E108" s="1729">
        <f t="shared" si="3"/>
        <v>0</v>
      </c>
      <c r="F108" s="1729">
        <f t="shared" si="3"/>
        <v>0</v>
      </c>
      <c r="G108" s="1729">
        <f t="shared" si="3"/>
        <v>0</v>
      </c>
      <c r="H108" s="1729">
        <f t="shared" si="3"/>
        <v>17385</v>
      </c>
      <c r="I108" s="1729">
        <f t="shared" si="3"/>
        <v>0</v>
      </c>
      <c r="J108" s="1729">
        <f t="shared" si="3"/>
        <v>458</v>
      </c>
      <c r="K108" s="1710">
        <f t="shared" si="3"/>
        <v>0</v>
      </c>
    </row>
    <row r="109" spans="1:12" ht="14.25" thickTop="1" thickBot="1" x14ac:dyDescent="0.25">
      <c r="A109" s="1735" t="s">
        <v>266</v>
      </c>
      <c r="B109" s="1736" t="s">
        <v>591</v>
      </c>
      <c r="C109" s="1737">
        <f t="shared" ref="C109:K109" si="4">SUM(C12,C18,C40,C63,C67,C75,C82,C93,C108,)</f>
        <v>1864794</v>
      </c>
      <c r="D109" s="1737">
        <f t="shared" si="4"/>
        <v>318039</v>
      </c>
      <c r="E109" s="1737">
        <f t="shared" si="4"/>
        <v>493587</v>
      </c>
      <c r="F109" s="1737">
        <f t="shared" si="4"/>
        <v>47828</v>
      </c>
      <c r="G109" s="1737">
        <f t="shared" si="4"/>
        <v>93113</v>
      </c>
      <c r="H109" s="1737">
        <f t="shared" si="4"/>
        <v>17385</v>
      </c>
      <c r="I109" s="1737">
        <f t="shared" si="4"/>
        <v>747</v>
      </c>
      <c r="J109" s="1737">
        <f t="shared" si="4"/>
        <v>11668</v>
      </c>
      <c r="K109" s="1724">
        <f t="shared" si="4"/>
        <v>747</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992691</v>
      </c>
      <c r="D117" s="481">
        <v>285000</v>
      </c>
      <c r="E117" s="466">
        <v>18200</v>
      </c>
      <c r="F117" s="481">
        <v>20000</v>
      </c>
      <c r="G117" s="481">
        <v>10000</v>
      </c>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992691</v>
      </c>
      <c r="D121" s="1729">
        <f t="shared" si="5"/>
        <v>285000</v>
      </c>
      <c r="E121" s="1729">
        <f t="shared" si="5"/>
        <v>18200</v>
      </c>
      <c r="F121" s="1729">
        <f t="shared" si="5"/>
        <v>20000</v>
      </c>
      <c r="G121" s="1729">
        <f t="shared" si="5"/>
        <v>10000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61175</v>
      </c>
      <c r="D124" s="561"/>
      <c r="E124" s="468"/>
      <c r="F124" s="548"/>
      <c r="G124" s="468"/>
      <c r="H124" s="468"/>
      <c r="I124" s="468"/>
      <c r="J124" s="468"/>
      <c r="K124" s="468"/>
    </row>
    <row r="125" spans="1:11" ht="12.75" customHeight="1" x14ac:dyDescent="0.2">
      <c r="A125" s="463" t="s">
        <v>1521</v>
      </c>
      <c r="B125" s="562">
        <v>3105</v>
      </c>
      <c r="C125" s="466">
        <v>30033</v>
      </c>
      <c r="D125" s="561"/>
      <c r="E125" s="468"/>
      <c r="F125" s="466"/>
      <c r="G125" s="468"/>
      <c r="H125" s="468"/>
      <c r="I125" s="468"/>
      <c r="J125" s="468"/>
      <c r="K125" s="468"/>
    </row>
    <row r="126" spans="1:11" ht="12.75" customHeight="1" x14ac:dyDescent="0.2">
      <c r="A126" s="463" t="s">
        <v>922</v>
      </c>
      <c r="B126" s="562">
        <v>3110</v>
      </c>
      <c r="C126" s="551">
        <v>34696</v>
      </c>
      <c r="D126" s="466"/>
      <c r="E126" s="468"/>
      <c r="F126" s="466"/>
      <c r="G126" s="468"/>
      <c r="H126" s="468"/>
      <c r="I126" s="468"/>
      <c r="J126" s="468"/>
      <c r="K126" s="468"/>
    </row>
    <row r="127" spans="1:11" ht="12.75" customHeight="1" x14ac:dyDescent="0.2">
      <c r="A127" s="463" t="s">
        <v>107</v>
      </c>
      <c r="B127" s="562">
        <v>3120</v>
      </c>
      <c r="C127" s="466">
        <v>10557</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1266</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137727</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v>5338</v>
      </c>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5338</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759</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124241</v>
      </c>
      <c r="G151" s="467"/>
      <c r="H151" s="468"/>
      <c r="I151" s="468"/>
      <c r="J151" s="468"/>
      <c r="K151" s="468"/>
    </row>
    <row r="152" spans="1:11" ht="12.75" customHeight="1" x14ac:dyDescent="0.2">
      <c r="A152" s="463" t="s">
        <v>1117</v>
      </c>
      <c r="B152" s="562">
        <v>3510</v>
      </c>
      <c r="C152" s="551"/>
      <c r="D152" s="466"/>
      <c r="E152" s="561"/>
      <c r="F152" s="466">
        <v>34924</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159165</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143824</v>
      </c>
      <c r="D172" s="1744">
        <f t="shared" si="6"/>
        <v>0</v>
      </c>
      <c r="E172" s="1744">
        <f t="shared" si="6"/>
        <v>0</v>
      </c>
      <c r="F172" s="1744">
        <f t="shared" si="6"/>
        <v>159165</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1136515</v>
      </c>
      <c r="D173" s="1737">
        <f>SUM(D121,D172)</f>
        <v>285000</v>
      </c>
      <c r="E173" s="1737">
        <f>SUM(E121,E172)</f>
        <v>18200</v>
      </c>
      <c r="F173" s="1737">
        <f t="shared" ref="F173:K173" si="7">SUM(F121,F172)</f>
        <v>179165</v>
      </c>
      <c r="G173" s="1737">
        <f t="shared" si="7"/>
        <v>10000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v>47089</v>
      </c>
      <c r="D183" s="466"/>
      <c r="E183" s="468"/>
      <c r="F183" s="466"/>
      <c r="G183" s="466"/>
      <c r="H183" s="466"/>
      <c r="I183" s="468"/>
      <c r="J183" s="468"/>
      <c r="K183" s="466"/>
    </row>
    <row r="184" spans="1:11" ht="13.5" thickBot="1" x14ac:dyDescent="0.25">
      <c r="A184" s="2169" t="s">
        <v>818</v>
      </c>
      <c r="B184" s="2170"/>
      <c r="C184" s="1729">
        <f>SUM(C180:C183)</f>
        <v>47089</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1906</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62435</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62435</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56521</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56521</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v>1012</v>
      </c>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1012</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3063</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73592</v>
      </c>
      <c r="D220" s="466"/>
      <c r="E220" s="468"/>
      <c r="F220" s="466"/>
      <c r="G220" s="466"/>
      <c r="H220" s="468"/>
      <c r="I220" s="468"/>
      <c r="J220" s="468"/>
      <c r="K220" s="468"/>
    </row>
    <row r="221" spans="1:11" ht="12.75" customHeight="1" x14ac:dyDescent="0.2">
      <c r="A221" s="463" t="s">
        <v>1114</v>
      </c>
      <c r="B221" s="470">
        <v>4625</v>
      </c>
      <c r="C221" s="551">
        <v>834</v>
      </c>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77489</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v>543</v>
      </c>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5221</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5586</v>
      </c>
      <c r="D270" s="576"/>
      <c r="E270" s="468"/>
      <c r="F270" s="576"/>
      <c r="G270" s="576"/>
      <c r="H270" s="468"/>
      <c r="I270" s="468"/>
      <c r="J270" s="468"/>
      <c r="K270" s="468"/>
    </row>
    <row r="271" spans="1:11" ht="12.75" customHeight="1" thickTop="1" thickBot="1" x14ac:dyDescent="0.25">
      <c r="A271" s="463" t="s">
        <v>395</v>
      </c>
      <c r="B271" s="470">
        <v>4992</v>
      </c>
      <c r="C271" s="575">
        <v>14562</v>
      </c>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223369</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270458</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3271767</v>
      </c>
      <c r="D275" s="1737">
        <f t="shared" si="12"/>
        <v>603039</v>
      </c>
      <c r="E275" s="1737">
        <f t="shared" si="12"/>
        <v>511787</v>
      </c>
      <c r="F275" s="1737">
        <f t="shared" si="12"/>
        <v>226993</v>
      </c>
      <c r="G275" s="1737">
        <f t="shared" si="12"/>
        <v>103113</v>
      </c>
      <c r="H275" s="1737">
        <f t="shared" si="12"/>
        <v>17385</v>
      </c>
      <c r="I275" s="1737">
        <f t="shared" si="12"/>
        <v>747</v>
      </c>
      <c r="J275" s="1737">
        <f t="shared" si="12"/>
        <v>11668</v>
      </c>
      <c r="K275" s="1724">
        <f t="shared" si="12"/>
        <v>747</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46" activePane="bottomLeft" state="frozen"/>
      <selection activeCell="A47" sqref="A47"/>
      <selection pane="bottomLeft" activeCell="L378" sqref="L37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894735</v>
      </c>
      <c r="D5" s="466">
        <v>213397</v>
      </c>
      <c r="E5" s="466">
        <v>3394</v>
      </c>
      <c r="F5" s="466">
        <v>46662</v>
      </c>
      <c r="G5" s="466">
        <v>40433</v>
      </c>
      <c r="H5" s="466">
        <v>123</v>
      </c>
      <c r="I5" s="467"/>
      <c r="J5" s="467"/>
      <c r="K5" s="1693">
        <f>SUM(C5:J5)</f>
        <v>1198744</v>
      </c>
      <c r="L5" s="466">
        <v>1255490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v>303455</v>
      </c>
      <c r="D8" s="466">
        <v>63532</v>
      </c>
      <c r="E8" s="466">
        <v>15457</v>
      </c>
      <c r="F8" s="466">
        <v>8312</v>
      </c>
      <c r="G8" s="466">
        <v>3734</v>
      </c>
      <c r="H8" s="466"/>
      <c r="I8" s="467"/>
      <c r="J8" s="467"/>
      <c r="K8" s="1693">
        <f t="shared" si="0"/>
        <v>394490</v>
      </c>
      <c r="L8" s="466">
        <v>415550</v>
      </c>
    </row>
    <row r="9" spans="1:14" x14ac:dyDescent="0.2">
      <c r="A9" s="1526" t="s">
        <v>745</v>
      </c>
      <c r="B9" s="615" t="s">
        <v>1025</v>
      </c>
      <c r="C9" s="467">
        <v>15629</v>
      </c>
      <c r="D9" s="467">
        <v>2726</v>
      </c>
      <c r="E9" s="467"/>
      <c r="F9" s="467">
        <v>5038</v>
      </c>
      <c r="G9" s="467">
        <v>594</v>
      </c>
      <c r="H9" s="467"/>
      <c r="I9" s="467"/>
      <c r="J9" s="467"/>
      <c r="K9" s="1693">
        <f t="shared" si="0"/>
        <v>23987</v>
      </c>
      <c r="L9" s="466">
        <v>48140</v>
      </c>
    </row>
    <row r="10" spans="1:14" x14ac:dyDescent="0.2">
      <c r="A10" s="1526" t="s">
        <v>746</v>
      </c>
      <c r="B10" s="615">
        <v>1250</v>
      </c>
      <c r="C10" s="466">
        <v>53446</v>
      </c>
      <c r="D10" s="466">
        <v>13210</v>
      </c>
      <c r="E10" s="466"/>
      <c r="F10" s="466">
        <v>624</v>
      </c>
      <c r="G10" s="466"/>
      <c r="H10" s="466"/>
      <c r="I10" s="467"/>
      <c r="J10" s="467"/>
      <c r="K10" s="1693">
        <f t="shared" si="0"/>
        <v>67280</v>
      </c>
      <c r="L10" s="466">
        <v>81875</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22567</v>
      </c>
      <c r="D14" s="466">
        <v>984</v>
      </c>
      <c r="E14" s="466">
        <v>9331</v>
      </c>
      <c r="F14" s="466">
        <v>5753</v>
      </c>
      <c r="G14" s="466">
        <v>1653</v>
      </c>
      <c r="H14" s="466">
        <v>3422</v>
      </c>
      <c r="I14" s="467"/>
      <c r="J14" s="467"/>
      <c r="K14" s="1693">
        <f t="shared" si="0"/>
        <v>43710</v>
      </c>
      <c r="L14" s="466">
        <v>45954</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v>42644</v>
      </c>
      <c r="D18" s="466">
        <v>11281</v>
      </c>
      <c r="E18" s="466"/>
      <c r="F18" s="466">
        <v>906</v>
      </c>
      <c r="G18" s="466"/>
      <c r="H18" s="466"/>
      <c r="I18" s="467"/>
      <c r="J18" s="467"/>
      <c r="K18" s="1693">
        <f t="shared" si="0"/>
        <v>54831</v>
      </c>
      <c r="L18" s="466">
        <v>56660</v>
      </c>
    </row>
    <row r="19" spans="1:12" x14ac:dyDescent="0.2">
      <c r="A19" s="1526" t="s">
        <v>136</v>
      </c>
      <c r="B19" s="615">
        <v>1900</v>
      </c>
      <c r="C19" s="466"/>
      <c r="D19" s="466"/>
      <c r="E19" s="466"/>
      <c r="F19" s="466"/>
      <c r="G19" s="466"/>
      <c r="H19" s="466"/>
      <c r="I19" s="467"/>
      <c r="J19" s="467"/>
      <c r="K19" s="1693">
        <f t="shared" si="0"/>
        <v>0</v>
      </c>
      <c r="L19" s="466">
        <v>1500</v>
      </c>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v>2814</v>
      </c>
      <c r="I32" s="617"/>
      <c r="J32" s="480"/>
      <c r="K32" s="1693">
        <f t="shared" si="0"/>
        <v>2814</v>
      </c>
      <c r="L32" s="471"/>
    </row>
    <row r="33" spans="1:14" ht="12.75" customHeight="1" thickBot="1" x14ac:dyDescent="0.25">
      <c r="A33" s="1690" t="s">
        <v>1767</v>
      </c>
      <c r="B33" s="1691" t="s">
        <v>591</v>
      </c>
      <c r="C33" s="1692">
        <f>SUM(C5:C32)</f>
        <v>1332476</v>
      </c>
      <c r="D33" s="1692">
        <f t="shared" ref="D33:L33" si="1">SUM(D5:D32)</f>
        <v>305130</v>
      </c>
      <c r="E33" s="1692">
        <f t="shared" si="1"/>
        <v>28182</v>
      </c>
      <c r="F33" s="1692">
        <f t="shared" si="1"/>
        <v>67295</v>
      </c>
      <c r="G33" s="1692">
        <f t="shared" si="1"/>
        <v>46414</v>
      </c>
      <c r="H33" s="1692">
        <f t="shared" si="1"/>
        <v>6359</v>
      </c>
      <c r="I33" s="1692">
        <f t="shared" si="1"/>
        <v>0</v>
      </c>
      <c r="J33" s="1692">
        <f t="shared" si="1"/>
        <v>0</v>
      </c>
      <c r="K33" s="1692">
        <f t="shared" si="1"/>
        <v>1785856</v>
      </c>
      <c r="L33" s="1692">
        <f t="shared" si="1"/>
        <v>1905169</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v>926</v>
      </c>
      <c r="G36" s="481"/>
      <c r="H36" s="481"/>
      <c r="I36" s="467"/>
      <c r="J36" s="467"/>
      <c r="K36" s="1693">
        <f t="shared" ref="K36:K41" si="2">SUM(C36:J36)</f>
        <v>926</v>
      </c>
      <c r="L36" s="466">
        <v>500</v>
      </c>
    </row>
    <row r="37" spans="1:14" x14ac:dyDescent="0.2">
      <c r="A37" s="1526" t="s">
        <v>1151</v>
      </c>
      <c r="B37" s="615">
        <v>2120</v>
      </c>
      <c r="C37" s="466">
        <v>43196</v>
      </c>
      <c r="D37" s="466">
        <v>11158</v>
      </c>
      <c r="E37" s="466"/>
      <c r="F37" s="466"/>
      <c r="G37" s="466"/>
      <c r="H37" s="466"/>
      <c r="I37" s="467"/>
      <c r="J37" s="467"/>
      <c r="K37" s="1693">
        <f t="shared" si="2"/>
        <v>54354</v>
      </c>
      <c r="L37" s="466">
        <v>54370</v>
      </c>
    </row>
    <row r="38" spans="1:14" x14ac:dyDescent="0.2">
      <c r="A38" s="1526" t="s">
        <v>207</v>
      </c>
      <c r="B38" s="615">
        <v>2130</v>
      </c>
      <c r="C38" s="466">
        <v>140</v>
      </c>
      <c r="D38" s="466"/>
      <c r="E38" s="466">
        <v>109</v>
      </c>
      <c r="F38" s="466">
        <v>847</v>
      </c>
      <c r="G38" s="466"/>
      <c r="H38" s="466"/>
      <c r="I38" s="467"/>
      <c r="J38" s="467"/>
      <c r="K38" s="1693">
        <f t="shared" si="2"/>
        <v>1096</v>
      </c>
      <c r="L38" s="466">
        <v>1750</v>
      </c>
    </row>
    <row r="39" spans="1:14" x14ac:dyDescent="0.2">
      <c r="A39" s="1526" t="s">
        <v>208</v>
      </c>
      <c r="B39" s="615">
        <v>2140</v>
      </c>
      <c r="C39" s="466">
        <v>20250</v>
      </c>
      <c r="D39" s="466"/>
      <c r="E39" s="466">
        <v>5051</v>
      </c>
      <c r="F39" s="466">
        <v>1015</v>
      </c>
      <c r="G39" s="466"/>
      <c r="H39" s="466"/>
      <c r="I39" s="467"/>
      <c r="J39" s="467"/>
      <c r="K39" s="1693">
        <f t="shared" si="2"/>
        <v>26316</v>
      </c>
      <c r="L39" s="466">
        <v>18950</v>
      </c>
    </row>
    <row r="40" spans="1:14" x14ac:dyDescent="0.2">
      <c r="A40" s="1526" t="s">
        <v>209</v>
      </c>
      <c r="B40" s="615">
        <v>2150</v>
      </c>
      <c r="C40" s="466">
        <v>61895</v>
      </c>
      <c r="D40" s="466">
        <v>7572</v>
      </c>
      <c r="E40" s="466">
        <v>2383</v>
      </c>
      <c r="F40" s="466">
        <v>98</v>
      </c>
      <c r="G40" s="466"/>
      <c r="H40" s="466">
        <v>80</v>
      </c>
      <c r="I40" s="467"/>
      <c r="J40" s="467"/>
      <c r="K40" s="1693">
        <f t="shared" si="2"/>
        <v>72028</v>
      </c>
      <c r="L40" s="466">
        <v>72858</v>
      </c>
    </row>
    <row r="41" spans="1:14" x14ac:dyDescent="0.2">
      <c r="A41" s="1526" t="s">
        <v>1768</v>
      </c>
      <c r="B41" s="615">
        <v>2190</v>
      </c>
      <c r="C41" s="466"/>
      <c r="D41" s="466"/>
      <c r="E41" s="466">
        <v>27597</v>
      </c>
      <c r="F41" s="466"/>
      <c r="G41" s="466"/>
      <c r="H41" s="466"/>
      <c r="I41" s="467"/>
      <c r="J41" s="467"/>
      <c r="K41" s="1693">
        <f t="shared" si="2"/>
        <v>27597</v>
      </c>
      <c r="L41" s="466">
        <v>43000</v>
      </c>
    </row>
    <row r="42" spans="1:14" ht="12.75" customHeight="1" thickBot="1" x14ac:dyDescent="0.25">
      <c r="A42" s="1690" t="s">
        <v>581</v>
      </c>
      <c r="B42" s="1691" t="s">
        <v>740</v>
      </c>
      <c r="C42" s="1692">
        <f>SUM(C36:C41)</f>
        <v>125481</v>
      </c>
      <c r="D42" s="1692">
        <f t="shared" ref="D42:L42" si="3">SUM(D36:D41)</f>
        <v>18730</v>
      </c>
      <c r="E42" s="1692">
        <f t="shared" si="3"/>
        <v>35140</v>
      </c>
      <c r="F42" s="1692">
        <f t="shared" si="3"/>
        <v>2886</v>
      </c>
      <c r="G42" s="1692">
        <f t="shared" si="3"/>
        <v>0</v>
      </c>
      <c r="H42" s="1692">
        <f t="shared" si="3"/>
        <v>80</v>
      </c>
      <c r="I42" s="1692">
        <f t="shared" si="3"/>
        <v>0</v>
      </c>
      <c r="J42" s="1692">
        <f t="shared" si="3"/>
        <v>0</v>
      </c>
      <c r="K42" s="1692">
        <f t="shared" si="3"/>
        <v>182317</v>
      </c>
      <c r="L42" s="1692">
        <f t="shared" si="3"/>
        <v>191428</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1730</v>
      </c>
      <c r="D44" s="481">
        <v>36</v>
      </c>
      <c r="E44" s="481">
        <v>12142</v>
      </c>
      <c r="F44" s="481">
        <v>2603</v>
      </c>
      <c r="G44" s="481"/>
      <c r="H44" s="481">
        <v>1084</v>
      </c>
      <c r="I44" s="467"/>
      <c r="J44" s="467"/>
      <c r="K44" s="1694">
        <f>SUM(C44:J44)</f>
        <v>17595</v>
      </c>
      <c r="L44" s="481">
        <v>28100</v>
      </c>
    </row>
    <row r="45" spans="1:14" x14ac:dyDescent="0.2">
      <c r="A45" s="1526" t="s">
        <v>869</v>
      </c>
      <c r="B45" s="615">
        <v>2220</v>
      </c>
      <c r="C45" s="466">
        <v>355</v>
      </c>
      <c r="D45" s="466"/>
      <c r="E45" s="466"/>
      <c r="F45" s="466">
        <v>1043</v>
      </c>
      <c r="G45" s="466"/>
      <c r="H45" s="466"/>
      <c r="I45" s="467"/>
      <c r="J45" s="467"/>
      <c r="K45" s="1694">
        <f>SUM(C45:J45)</f>
        <v>1398</v>
      </c>
      <c r="L45" s="466">
        <v>5479</v>
      </c>
    </row>
    <row r="46" spans="1:14" x14ac:dyDescent="0.2">
      <c r="A46" s="1526" t="s">
        <v>870</v>
      </c>
      <c r="B46" s="615">
        <v>2230</v>
      </c>
      <c r="C46" s="466"/>
      <c r="D46" s="466"/>
      <c r="E46" s="466"/>
      <c r="F46" s="466">
        <v>9360</v>
      </c>
      <c r="G46" s="466"/>
      <c r="H46" s="466"/>
      <c r="I46" s="467"/>
      <c r="J46" s="467"/>
      <c r="K46" s="1694">
        <f>SUM(C46:J46)</f>
        <v>9360</v>
      </c>
      <c r="L46" s="466">
        <v>9750</v>
      </c>
    </row>
    <row r="47" spans="1:14" ht="12.75" customHeight="1" thickBot="1" x14ac:dyDescent="0.25">
      <c r="A47" s="1690" t="s">
        <v>582</v>
      </c>
      <c r="B47" s="1691" t="s">
        <v>32</v>
      </c>
      <c r="C47" s="1692">
        <f>SUM(C44:C46)</f>
        <v>2085</v>
      </c>
      <c r="D47" s="1692">
        <f t="shared" ref="D47:K47" si="4">SUM(D44:D46)</f>
        <v>36</v>
      </c>
      <c r="E47" s="1692">
        <f t="shared" si="4"/>
        <v>12142</v>
      </c>
      <c r="F47" s="1692">
        <f t="shared" si="4"/>
        <v>13006</v>
      </c>
      <c r="G47" s="1692">
        <f t="shared" si="4"/>
        <v>0</v>
      </c>
      <c r="H47" s="1692">
        <f t="shared" si="4"/>
        <v>1084</v>
      </c>
      <c r="I47" s="1692">
        <f t="shared" si="4"/>
        <v>0</v>
      </c>
      <c r="J47" s="1692">
        <f t="shared" si="4"/>
        <v>0</v>
      </c>
      <c r="K47" s="1692">
        <f t="shared" si="4"/>
        <v>28353</v>
      </c>
      <c r="L47" s="1692">
        <f>SUM(L44:L46)</f>
        <v>43329</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v>93890</v>
      </c>
      <c r="F49" s="481">
        <v>311</v>
      </c>
      <c r="G49" s="481"/>
      <c r="H49" s="481">
        <v>8309</v>
      </c>
      <c r="I49" s="467"/>
      <c r="J49" s="467"/>
      <c r="K49" s="1694">
        <f>SUM(C49:J49)</f>
        <v>102510</v>
      </c>
      <c r="L49" s="481">
        <v>96600</v>
      </c>
    </row>
    <row r="50" spans="1:14" x14ac:dyDescent="0.2">
      <c r="A50" s="1526" t="s">
        <v>872</v>
      </c>
      <c r="B50" s="615">
        <v>2320</v>
      </c>
      <c r="C50" s="466">
        <v>182175</v>
      </c>
      <c r="D50" s="466">
        <v>32359</v>
      </c>
      <c r="E50" s="466">
        <v>4004</v>
      </c>
      <c r="F50" s="466">
        <v>952</v>
      </c>
      <c r="G50" s="466">
        <v>1118</v>
      </c>
      <c r="H50" s="466">
        <v>2563</v>
      </c>
      <c r="I50" s="467"/>
      <c r="J50" s="467"/>
      <c r="K50" s="1694">
        <f>SUM(C50:J50)</f>
        <v>223171</v>
      </c>
      <c r="L50" s="466">
        <v>235052</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v>23633</v>
      </c>
      <c r="F52" s="474"/>
      <c r="G52" s="474"/>
      <c r="H52" s="474"/>
      <c r="I52" s="474"/>
      <c r="J52" s="474"/>
      <c r="K52" s="1694">
        <f>SUM(C52:J52)</f>
        <v>23633</v>
      </c>
      <c r="L52" s="474">
        <v>5000</v>
      </c>
    </row>
    <row r="53" spans="1:14" ht="12.75" customHeight="1" thickBot="1" x14ac:dyDescent="0.25">
      <c r="A53" s="1690" t="s">
        <v>741</v>
      </c>
      <c r="B53" s="1691" t="s">
        <v>33</v>
      </c>
      <c r="C53" s="1692">
        <f>SUM(C49:C52)</f>
        <v>182175</v>
      </c>
      <c r="D53" s="1692">
        <f t="shared" ref="D53:L53" si="5">SUM(D49:D52)</f>
        <v>32359</v>
      </c>
      <c r="E53" s="1692">
        <f t="shared" si="5"/>
        <v>121527</v>
      </c>
      <c r="F53" s="1692">
        <f t="shared" si="5"/>
        <v>1263</v>
      </c>
      <c r="G53" s="1692">
        <f t="shared" si="5"/>
        <v>1118</v>
      </c>
      <c r="H53" s="1692">
        <f t="shared" si="5"/>
        <v>10872</v>
      </c>
      <c r="I53" s="1692">
        <f t="shared" si="5"/>
        <v>0</v>
      </c>
      <c r="J53" s="1692">
        <f t="shared" si="5"/>
        <v>0</v>
      </c>
      <c r="K53" s="1692">
        <f t="shared" si="5"/>
        <v>349314</v>
      </c>
      <c r="L53" s="1692">
        <f t="shared" si="5"/>
        <v>336652</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203707</v>
      </c>
      <c r="D55" s="481">
        <v>40672</v>
      </c>
      <c r="E55" s="481">
        <v>1229</v>
      </c>
      <c r="F55" s="481">
        <v>3808</v>
      </c>
      <c r="G55" s="481">
        <v>713</v>
      </c>
      <c r="H55" s="481">
        <v>2244</v>
      </c>
      <c r="I55" s="467"/>
      <c r="J55" s="467"/>
      <c r="K55" s="1694">
        <f>SUM(C55:J55)</f>
        <v>252373</v>
      </c>
      <c r="L55" s="481">
        <v>260285</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203707</v>
      </c>
      <c r="D57" s="1696">
        <f t="shared" ref="D57:K57" si="6">SUM(D55:D56)</f>
        <v>40672</v>
      </c>
      <c r="E57" s="1696">
        <f t="shared" si="6"/>
        <v>1229</v>
      </c>
      <c r="F57" s="1696">
        <f t="shared" si="6"/>
        <v>3808</v>
      </c>
      <c r="G57" s="1696">
        <f t="shared" si="6"/>
        <v>713</v>
      </c>
      <c r="H57" s="1696">
        <f t="shared" si="6"/>
        <v>2244</v>
      </c>
      <c r="I57" s="1696">
        <f t="shared" si="6"/>
        <v>0</v>
      </c>
      <c r="J57" s="1696">
        <f t="shared" si="6"/>
        <v>0</v>
      </c>
      <c r="K57" s="1696">
        <f t="shared" si="6"/>
        <v>252373</v>
      </c>
      <c r="L57" s="1692">
        <f>SUM(L55:L56)</f>
        <v>260285</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67301</v>
      </c>
      <c r="D60" s="466">
        <v>6359</v>
      </c>
      <c r="E60" s="466">
        <v>13874</v>
      </c>
      <c r="F60" s="466">
        <v>5294</v>
      </c>
      <c r="G60" s="466"/>
      <c r="H60" s="466">
        <v>569</v>
      </c>
      <c r="I60" s="467"/>
      <c r="J60" s="467"/>
      <c r="K60" s="1694">
        <f t="shared" si="7"/>
        <v>93397</v>
      </c>
      <c r="L60" s="466">
        <v>94498</v>
      </c>
      <c r="M60" s="610"/>
      <c r="N60" s="610"/>
    </row>
    <row r="61" spans="1:14" s="343" customFormat="1" x14ac:dyDescent="0.2">
      <c r="A61" s="1526" t="s">
        <v>206</v>
      </c>
      <c r="B61" s="615">
        <v>2540</v>
      </c>
      <c r="C61" s="466"/>
      <c r="D61" s="466"/>
      <c r="E61" s="466">
        <v>23991</v>
      </c>
      <c r="F61" s="466"/>
      <c r="G61" s="466"/>
      <c r="H61" s="466"/>
      <c r="I61" s="467"/>
      <c r="J61" s="467"/>
      <c r="K61" s="1694">
        <f t="shared" si="7"/>
        <v>23991</v>
      </c>
      <c r="L61" s="466">
        <v>31000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50358</v>
      </c>
      <c r="D63" s="466">
        <v>6778</v>
      </c>
      <c r="E63" s="466">
        <v>1351</v>
      </c>
      <c r="F63" s="466">
        <v>61591</v>
      </c>
      <c r="G63" s="466"/>
      <c r="H63" s="466">
        <v>748</v>
      </c>
      <c r="I63" s="467"/>
      <c r="J63" s="467"/>
      <c r="K63" s="1694">
        <f t="shared" si="7"/>
        <v>120826</v>
      </c>
      <c r="L63" s="466">
        <v>127243</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117659</v>
      </c>
      <c r="D65" s="1692">
        <f t="shared" ref="D65:L65" si="8">SUM(D59:D64)</f>
        <v>13137</v>
      </c>
      <c r="E65" s="1692">
        <f t="shared" si="8"/>
        <v>39216</v>
      </c>
      <c r="F65" s="1692">
        <f t="shared" si="8"/>
        <v>66885</v>
      </c>
      <c r="G65" s="1692">
        <f t="shared" si="8"/>
        <v>0</v>
      </c>
      <c r="H65" s="1692">
        <f t="shared" si="8"/>
        <v>1317</v>
      </c>
      <c r="I65" s="1692">
        <f t="shared" si="8"/>
        <v>0</v>
      </c>
      <c r="J65" s="1692">
        <f t="shared" si="8"/>
        <v>0</v>
      </c>
      <c r="K65" s="1692">
        <f t="shared" si="8"/>
        <v>238214</v>
      </c>
      <c r="L65" s="1692">
        <f t="shared" si="8"/>
        <v>252741</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v>6</v>
      </c>
      <c r="F69" s="466">
        <v>917</v>
      </c>
      <c r="G69" s="466">
        <v>169</v>
      </c>
      <c r="H69" s="466"/>
      <c r="I69" s="467"/>
      <c r="J69" s="467"/>
      <c r="K69" s="1694">
        <f>SUM(C69:J69)</f>
        <v>1092</v>
      </c>
      <c r="L69" s="466">
        <v>6000</v>
      </c>
      <c r="M69" s="610"/>
      <c r="N69" s="610"/>
    </row>
    <row r="70" spans="1:14" s="343" customFormat="1" x14ac:dyDescent="0.2">
      <c r="A70" s="1526" t="s">
        <v>423</v>
      </c>
      <c r="B70" s="615">
        <v>2640</v>
      </c>
      <c r="C70" s="466">
        <v>4718</v>
      </c>
      <c r="D70" s="466"/>
      <c r="E70" s="466">
        <v>12717</v>
      </c>
      <c r="F70" s="466">
        <v>3937</v>
      </c>
      <c r="G70" s="466"/>
      <c r="H70" s="466"/>
      <c r="I70" s="467"/>
      <c r="J70" s="467"/>
      <c r="K70" s="1694">
        <f>SUM(C70:J70)</f>
        <v>21372</v>
      </c>
      <c r="L70" s="466">
        <v>19634</v>
      </c>
      <c r="M70" s="610"/>
      <c r="N70" s="610"/>
    </row>
    <row r="71" spans="1:14" s="343" customFormat="1" x14ac:dyDescent="0.2">
      <c r="A71" s="1526" t="s">
        <v>424</v>
      </c>
      <c r="B71" s="615">
        <v>2660</v>
      </c>
      <c r="C71" s="466"/>
      <c r="D71" s="466"/>
      <c r="E71" s="466">
        <v>74399</v>
      </c>
      <c r="F71" s="466">
        <v>7423</v>
      </c>
      <c r="G71" s="466"/>
      <c r="H71" s="466"/>
      <c r="I71" s="467"/>
      <c r="J71" s="467"/>
      <c r="K71" s="1694">
        <f>SUM(C71:J71)</f>
        <v>81822</v>
      </c>
      <c r="L71" s="466">
        <v>87500</v>
      </c>
      <c r="M71" s="610"/>
      <c r="N71" s="610"/>
    </row>
    <row r="72" spans="1:14" s="343" customFormat="1" ht="12.75" customHeight="1" thickBot="1" x14ac:dyDescent="0.25">
      <c r="A72" s="1690" t="s">
        <v>37</v>
      </c>
      <c r="B72" s="1697" t="s">
        <v>36</v>
      </c>
      <c r="C72" s="1692">
        <f>SUM(C67:C71)</f>
        <v>4718</v>
      </c>
      <c r="D72" s="1692">
        <f t="shared" ref="D72:K72" si="9">SUM(D67:D71)</f>
        <v>0</v>
      </c>
      <c r="E72" s="1692">
        <f t="shared" si="9"/>
        <v>87122</v>
      </c>
      <c r="F72" s="1692">
        <f t="shared" si="9"/>
        <v>12277</v>
      </c>
      <c r="G72" s="1692">
        <f t="shared" si="9"/>
        <v>169</v>
      </c>
      <c r="H72" s="1692">
        <f t="shared" si="9"/>
        <v>0</v>
      </c>
      <c r="I72" s="1692">
        <f t="shared" si="9"/>
        <v>0</v>
      </c>
      <c r="J72" s="1692">
        <f t="shared" si="9"/>
        <v>0</v>
      </c>
      <c r="K72" s="1692">
        <f t="shared" si="9"/>
        <v>104286</v>
      </c>
      <c r="L72" s="1692">
        <f>SUM(L67:L71)</f>
        <v>113134</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635825</v>
      </c>
      <c r="D74" s="1699">
        <f t="shared" ref="D74:K74" si="10">SUM(D42,D47,D53,D57,D65,D72,D73)</f>
        <v>104934</v>
      </c>
      <c r="E74" s="1699">
        <f t="shared" si="10"/>
        <v>296376</v>
      </c>
      <c r="F74" s="1699">
        <f t="shared" si="10"/>
        <v>100125</v>
      </c>
      <c r="G74" s="1699">
        <f t="shared" si="10"/>
        <v>2000</v>
      </c>
      <c r="H74" s="1699">
        <f t="shared" si="10"/>
        <v>15597</v>
      </c>
      <c r="I74" s="1699">
        <f t="shared" si="10"/>
        <v>0</v>
      </c>
      <c r="J74" s="1699">
        <f t="shared" si="10"/>
        <v>0</v>
      </c>
      <c r="K74" s="1699">
        <f t="shared" si="10"/>
        <v>1154857</v>
      </c>
      <c r="L74" s="1699">
        <f>SUM(L42,L47,L53,L57,L65,L72,L73)</f>
        <v>1197569</v>
      </c>
    </row>
    <row r="75" spans="1:14" s="259" customFormat="1" ht="15.75" customHeight="1" thickTop="1" thickBot="1" x14ac:dyDescent="0.25">
      <c r="A75" s="1632" t="s">
        <v>49</v>
      </c>
      <c r="B75" s="1633" t="s">
        <v>596</v>
      </c>
      <c r="C75" s="573">
        <v>772</v>
      </c>
      <c r="D75" s="573">
        <v>176</v>
      </c>
      <c r="E75" s="573"/>
      <c r="F75" s="573"/>
      <c r="G75" s="573"/>
      <c r="H75" s="573"/>
      <c r="I75" s="531"/>
      <c r="J75" s="531"/>
      <c r="K75" s="1692">
        <f>SUM(C75:J75)</f>
        <v>948</v>
      </c>
      <c r="L75" s="576"/>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v>51384</v>
      </c>
      <c r="F79" s="617"/>
      <c r="G79" s="617"/>
      <c r="H79" s="466"/>
      <c r="I79" s="477"/>
      <c r="J79" s="477"/>
      <c r="K79" s="1693">
        <f t="shared" si="11"/>
        <v>51384</v>
      </c>
      <c r="L79" s="466">
        <v>51000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51384</v>
      </c>
      <c r="F84" s="617"/>
      <c r="G84" s="617"/>
      <c r="H84" s="1692">
        <f>SUM(H78:H83)</f>
        <v>0</v>
      </c>
      <c r="I84" s="477"/>
      <c r="J84" s="477"/>
      <c r="K84" s="1692">
        <f>SUM(K78:K83)</f>
        <v>51384</v>
      </c>
      <c r="L84" s="1692">
        <f>SUM(L78:L83)</f>
        <v>51000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51384</v>
      </c>
      <c r="F102" s="617"/>
      <c r="G102" s="617"/>
      <c r="H102" s="1699">
        <f>SUM(H84,H92,H100,H101)</f>
        <v>0</v>
      </c>
      <c r="I102" s="477"/>
      <c r="J102" s="477"/>
      <c r="K102" s="1699">
        <f>SUM(K84,K92,K100,K101)</f>
        <v>51384</v>
      </c>
      <c r="L102" s="1699">
        <f>SUM(L84,L92,L100,L101)</f>
        <v>51000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25000</v>
      </c>
      <c r="M113" s="614"/>
      <c r="N113" s="614"/>
    </row>
    <row r="114" spans="1:14" ht="12.75" customHeight="1" thickTop="1" thickBot="1" x14ac:dyDescent="0.25">
      <c r="A114" s="1690" t="s">
        <v>50</v>
      </c>
      <c r="B114" s="1704"/>
      <c r="C114" s="1692">
        <f>SUM(C33,C74,C75,C102,C112,C113)</f>
        <v>1969073</v>
      </c>
      <c r="D114" s="1692">
        <f t="shared" ref="D114:K114" si="13">SUM(D33,D74,D75,D102,D112,D113)</f>
        <v>410240</v>
      </c>
      <c r="E114" s="1692">
        <f t="shared" si="13"/>
        <v>375942</v>
      </c>
      <c r="F114" s="1692">
        <f t="shared" si="13"/>
        <v>167420</v>
      </c>
      <c r="G114" s="1692">
        <f t="shared" si="13"/>
        <v>48414</v>
      </c>
      <c r="H114" s="1692">
        <f>SUM(H33,H74,H75,H102,H112,H113)</f>
        <v>21956</v>
      </c>
      <c r="I114" s="1692">
        <f t="shared" si="13"/>
        <v>0</v>
      </c>
      <c r="J114" s="1692">
        <f t="shared" si="13"/>
        <v>0</v>
      </c>
      <c r="K114" s="1692">
        <f t="shared" si="13"/>
        <v>2993045</v>
      </c>
      <c r="L114" s="1692">
        <f>SUM(L33,L74,L75,L102,L112,L113)</f>
        <v>3178738</v>
      </c>
    </row>
    <row r="115" spans="1:14" ht="13.5" thickTop="1" x14ac:dyDescent="0.2">
      <c r="A115" s="2173" t="s">
        <v>1053</v>
      </c>
      <c r="B115" s="2174"/>
      <c r="C115" s="619"/>
      <c r="D115" s="619"/>
      <c r="E115" s="619"/>
      <c r="F115" s="619"/>
      <c r="G115" s="619"/>
      <c r="H115" s="619"/>
      <c r="I115" s="619"/>
      <c r="J115" s="619"/>
      <c r="K115" s="1706">
        <f>'Revenues 9-14'!C275-'Expenditures 15-22'!K114</f>
        <v>278722</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115505</v>
      </c>
      <c r="D124" s="466">
        <v>18937</v>
      </c>
      <c r="E124" s="466">
        <v>101504</v>
      </c>
      <c r="F124" s="466">
        <v>84412</v>
      </c>
      <c r="G124" s="466">
        <v>367674</v>
      </c>
      <c r="H124" s="466">
        <v>948</v>
      </c>
      <c r="I124" s="467"/>
      <c r="J124" s="467"/>
      <c r="K124" s="1692">
        <f>SUM(C124:J124)</f>
        <v>688980</v>
      </c>
      <c r="L124" s="466">
        <v>720785</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115505</v>
      </c>
      <c r="D127" s="1692">
        <f t="shared" ref="D127:L127" si="14">SUM(D122:D126)</f>
        <v>18937</v>
      </c>
      <c r="E127" s="1692">
        <f t="shared" si="14"/>
        <v>101504</v>
      </c>
      <c r="F127" s="1692">
        <f t="shared" si="14"/>
        <v>84412</v>
      </c>
      <c r="G127" s="1692">
        <f t="shared" si="14"/>
        <v>367674</v>
      </c>
      <c r="H127" s="1692">
        <f t="shared" si="14"/>
        <v>948</v>
      </c>
      <c r="I127" s="1692">
        <f t="shared" si="14"/>
        <v>0</v>
      </c>
      <c r="J127" s="1692">
        <f t="shared" si="14"/>
        <v>0</v>
      </c>
      <c r="K127" s="1692">
        <f t="shared" si="14"/>
        <v>688980</v>
      </c>
      <c r="L127" s="1692">
        <f t="shared" si="14"/>
        <v>720785</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115505</v>
      </c>
      <c r="D129" s="1699">
        <f t="shared" ref="D129:L129" si="15">SUM(D120,D127,D128)</f>
        <v>18937</v>
      </c>
      <c r="E129" s="1699">
        <f t="shared" si="15"/>
        <v>101504</v>
      </c>
      <c r="F129" s="1699">
        <f t="shared" si="15"/>
        <v>84412</v>
      </c>
      <c r="G129" s="1699">
        <f t="shared" si="15"/>
        <v>367674</v>
      </c>
      <c r="H129" s="1699">
        <f t="shared" si="15"/>
        <v>948</v>
      </c>
      <c r="I129" s="1699">
        <f t="shared" si="15"/>
        <v>0</v>
      </c>
      <c r="J129" s="1699">
        <f t="shared" si="15"/>
        <v>0</v>
      </c>
      <c r="K129" s="1699">
        <f t="shared" si="15"/>
        <v>688980</v>
      </c>
      <c r="L129" s="1699">
        <f t="shared" si="15"/>
        <v>720785</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0" t="s">
        <v>641</v>
      </c>
      <c r="B151" s="2170"/>
      <c r="C151" s="1692">
        <f>SUM(C129,C130,C139,C149,C150)</f>
        <v>115505</v>
      </c>
      <c r="D151" s="1692">
        <f t="shared" ref="D151:K151" si="16">SUM(D129,D130,D139,D149,D150)</f>
        <v>18937</v>
      </c>
      <c r="E151" s="1692">
        <f t="shared" si="16"/>
        <v>101504</v>
      </c>
      <c r="F151" s="1692">
        <f t="shared" si="16"/>
        <v>84412</v>
      </c>
      <c r="G151" s="1692">
        <f t="shared" si="16"/>
        <v>367674</v>
      </c>
      <c r="H151" s="1692">
        <f t="shared" si="16"/>
        <v>948</v>
      </c>
      <c r="I151" s="1692">
        <f t="shared" si="16"/>
        <v>0</v>
      </c>
      <c r="J151" s="1692">
        <f t="shared" si="16"/>
        <v>0</v>
      </c>
      <c r="K151" s="1692">
        <f t="shared" si="16"/>
        <v>688980</v>
      </c>
      <c r="L151" s="1692">
        <f>SUM(L129,L130,L139,L149,L150)</f>
        <v>720785</v>
      </c>
    </row>
    <row r="152" spans="1:14" ht="12.75" customHeight="1" thickTop="1" x14ac:dyDescent="0.2">
      <c r="A152" s="2193" t="s">
        <v>1240</v>
      </c>
      <c r="B152" s="2194"/>
      <c r="C152" s="619"/>
      <c r="D152" s="619"/>
      <c r="E152" s="619"/>
      <c r="F152" s="619"/>
      <c r="G152" s="619"/>
      <c r="H152" s="619"/>
      <c r="I152" s="619"/>
      <c r="J152" s="617"/>
      <c r="K152" s="1706">
        <f>'Revenues 9-14'!D275-'Expenditures 15-22'!K151</f>
        <v>-85941</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101148</v>
      </c>
      <c r="I169" s="617"/>
      <c r="J169" s="617"/>
      <c r="K169" s="1693">
        <f>SUM(C169:H169)</f>
        <v>101148</v>
      </c>
      <c r="L169" s="657">
        <v>101148</v>
      </c>
    </row>
    <row r="170" spans="1:14" ht="33.75" customHeight="1" x14ac:dyDescent="0.2">
      <c r="A170" s="670" t="s">
        <v>1769</v>
      </c>
      <c r="B170" s="672" t="s">
        <v>31</v>
      </c>
      <c r="C170" s="617"/>
      <c r="D170" s="617"/>
      <c r="E170" s="617"/>
      <c r="F170" s="617"/>
      <c r="G170" s="617"/>
      <c r="H170" s="569">
        <v>418000</v>
      </c>
      <c r="I170" s="617"/>
      <c r="J170" s="617"/>
      <c r="K170" s="1693">
        <f>SUM(C170:J170)</f>
        <v>418000</v>
      </c>
      <c r="L170" s="569">
        <v>418000</v>
      </c>
    </row>
    <row r="171" spans="1:14" ht="15.75" customHeight="1" x14ac:dyDescent="0.2">
      <c r="A171" s="622" t="s">
        <v>790</v>
      </c>
      <c r="B171" s="673" t="s">
        <v>86</v>
      </c>
      <c r="C171" s="617"/>
      <c r="D171" s="617"/>
      <c r="E171" s="466"/>
      <c r="F171" s="617"/>
      <c r="G171" s="617"/>
      <c r="H171" s="569">
        <v>1500</v>
      </c>
      <c r="I171" s="477"/>
      <c r="J171" s="617"/>
      <c r="K171" s="1693">
        <f>SUM(C171:J171)</f>
        <v>1500</v>
      </c>
      <c r="L171" s="569">
        <v>1500</v>
      </c>
    </row>
    <row r="172" spans="1:14" ht="12.75" customHeight="1" thickBot="1" x14ac:dyDescent="0.25">
      <c r="A172" s="1690" t="s">
        <v>659</v>
      </c>
      <c r="B172" s="1691" t="s">
        <v>513</v>
      </c>
      <c r="C172" s="617"/>
      <c r="D172" s="617"/>
      <c r="E172" s="1699">
        <f>SUM(E168,E169,E170,E171)</f>
        <v>0</v>
      </c>
      <c r="F172" s="617"/>
      <c r="G172" s="617"/>
      <c r="H172" s="1699">
        <f>SUM(H168,H169,H170,H171)</f>
        <v>520648</v>
      </c>
      <c r="I172" s="639"/>
      <c r="J172" s="617"/>
      <c r="K172" s="1699">
        <f>SUM(K168,K169,K170,K171)</f>
        <v>520648</v>
      </c>
      <c r="L172" s="1699">
        <f>SUM(L168,L169,L170,L171)</f>
        <v>520648</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520648</v>
      </c>
      <c r="I174" s="639"/>
      <c r="J174" s="617"/>
      <c r="K174" s="1699">
        <f>SUM(K160,K172,K173)</f>
        <v>520648</v>
      </c>
      <c r="L174" s="1699">
        <f>SUM(L160,L172,L173)</f>
        <v>520648</v>
      </c>
    </row>
    <row r="175" spans="1:14" ht="13.5" thickTop="1" x14ac:dyDescent="0.2">
      <c r="A175" s="2173" t="s">
        <v>1053</v>
      </c>
      <c r="B175" s="2174"/>
      <c r="C175" s="617"/>
      <c r="D175" s="617"/>
      <c r="E175" s="617"/>
      <c r="F175" s="617"/>
      <c r="G175" s="617"/>
      <c r="H175" s="619"/>
      <c r="I175" s="617"/>
      <c r="J175" s="617"/>
      <c r="K175" s="1706">
        <f>'Revenues 9-14'!E275-'Expenditures 15-22'!K174</f>
        <v>-8861</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112876</v>
      </c>
      <c r="D182" s="466"/>
      <c r="E182" s="466">
        <v>100193</v>
      </c>
      <c r="F182" s="466">
        <v>25158</v>
      </c>
      <c r="G182" s="466"/>
      <c r="H182" s="466">
        <v>64</v>
      </c>
      <c r="I182" s="467"/>
      <c r="J182" s="467"/>
      <c r="K182" s="1693">
        <f>SUM(C182:J182)</f>
        <v>238291</v>
      </c>
      <c r="L182" s="466">
        <v>238093</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112876</v>
      </c>
      <c r="D184" s="1699">
        <f t="shared" ref="D184:J184" si="17">SUM(D180,D182,D183)</f>
        <v>0</v>
      </c>
      <c r="E184" s="1699">
        <f t="shared" si="17"/>
        <v>100193</v>
      </c>
      <c r="F184" s="1699">
        <f t="shared" si="17"/>
        <v>25158</v>
      </c>
      <c r="G184" s="1699">
        <f t="shared" si="17"/>
        <v>0</v>
      </c>
      <c r="H184" s="1699">
        <f t="shared" si="17"/>
        <v>64</v>
      </c>
      <c r="I184" s="1699">
        <f t="shared" si="17"/>
        <v>0</v>
      </c>
      <c r="J184" s="1699">
        <f t="shared" si="17"/>
        <v>0</v>
      </c>
      <c r="K184" s="1699">
        <f>SUM(K180,K182,K183)</f>
        <v>238291</v>
      </c>
      <c r="L184" s="1699">
        <f>SUM(L180, L182:L183)</f>
        <v>238093</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112876</v>
      </c>
      <c r="D210" s="1692">
        <f>SUM(D184,D185)</f>
        <v>0</v>
      </c>
      <c r="E210" s="1692">
        <f>SUM(E184,E185,E196)</f>
        <v>100193</v>
      </c>
      <c r="F210" s="1692">
        <f>SUM(F184,F185)</f>
        <v>25158</v>
      </c>
      <c r="G210" s="1692">
        <f>SUM(G184,G185)</f>
        <v>0</v>
      </c>
      <c r="H210" s="1692">
        <f>SUM(H184,H185,H196,H208,H209)</f>
        <v>64</v>
      </c>
      <c r="I210" s="1692">
        <f>SUM(I184,I185)</f>
        <v>0</v>
      </c>
      <c r="J210" s="1692">
        <f>SUM(J184,J185)</f>
        <v>0</v>
      </c>
      <c r="K210" s="1693">
        <f>SUM(K184,K185,K196,K208,K209)</f>
        <v>238291</v>
      </c>
      <c r="L210" s="1692">
        <f>SUM(L184,L185,L196,L208,L209)</f>
        <v>238093</v>
      </c>
    </row>
    <row r="211" spans="1:14" ht="13.5" thickTop="1" x14ac:dyDescent="0.2">
      <c r="A211" s="2173" t="s">
        <v>1053</v>
      </c>
      <c r="B211" s="2174"/>
      <c r="C211" s="619"/>
      <c r="D211" s="619"/>
      <c r="E211" s="619"/>
      <c r="F211" s="619"/>
      <c r="G211" s="619"/>
      <c r="H211" s="619"/>
      <c r="I211" s="617"/>
      <c r="J211" s="617"/>
      <c r="K211" s="1706">
        <f>'Revenues 9-14'!F275-'Expenditures 15-22'!K210</f>
        <v>-11298</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12296</v>
      </c>
      <c r="E215" s="617"/>
      <c r="F215" s="617"/>
      <c r="G215" s="617"/>
      <c r="H215" s="617"/>
      <c r="I215" s="617"/>
      <c r="J215" s="617"/>
      <c r="K215" s="1693">
        <f>D215</f>
        <v>12296</v>
      </c>
      <c r="L215" s="466">
        <v>13291</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v>20768</v>
      </c>
      <c r="E217" s="617"/>
      <c r="F217" s="617"/>
      <c r="G217" s="617"/>
      <c r="H217" s="617"/>
      <c r="I217" s="617"/>
      <c r="J217" s="617"/>
      <c r="K217" s="1693">
        <f t="shared" si="19"/>
        <v>20768</v>
      </c>
      <c r="L217" s="466">
        <v>21392</v>
      </c>
    </row>
    <row r="218" spans="1:14" x14ac:dyDescent="0.2">
      <c r="A218" s="1526" t="s">
        <v>296</v>
      </c>
      <c r="B218" s="615" t="s">
        <v>1025</v>
      </c>
      <c r="C218" s="617"/>
      <c r="D218" s="467">
        <v>414</v>
      </c>
      <c r="E218" s="617"/>
      <c r="F218" s="617"/>
      <c r="G218" s="617"/>
      <c r="H218" s="617"/>
      <c r="I218" s="617"/>
      <c r="J218" s="617"/>
      <c r="K218" s="1693">
        <f t="shared" si="19"/>
        <v>414</v>
      </c>
      <c r="L218" s="466">
        <v>2641</v>
      </c>
    </row>
    <row r="219" spans="1:14" x14ac:dyDescent="0.2">
      <c r="A219" s="1526" t="s">
        <v>297</v>
      </c>
      <c r="B219" s="615">
        <v>1250</v>
      </c>
      <c r="C219" s="617"/>
      <c r="D219" s="466">
        <v>1836</v>
      </c>
      <c r="E219" s="617"/>
      <c r="F219" s="617"/>
      <c r="G219" s="617"/>
      <c r="H219" s="617"/>
      <c r="I219" s="617"/>
      <c r="J219" s="617"/>
      <c r="K219" s="1693">
        <f t="shared" si="19"/>
        <v>1836</v>
      </c>
      <c r="L219" s="466">
        <v>1738</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1321</v>
      </c>
      <c r="E223" s="617"/>
      <c r="F223" s="617"/>
      <c r="G223" s="617"/>
      <c r="H223" s="617"/>
      <c r="I223" s="617"/>
      <c r="J223" s="617"/>
      <c r="K223" s="1693">
        <f t="shared" si="19"/>
        <v>1321</v>
      </c>
      <c r="L223" s="466">
        <v>340</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v>618</v>
      </c>
      <c r="E227" s="617"/>
      <c r="F227" s="617"/>
      <c r="G227" s="617"/>
      <c r="H227" s="617"/>
      <c r="I227" s="617"/>
      <c r="J227" s="617"/>
      <c r="K227" s="1693">
        <f t="shared" si="19"/>
        <v>618</v>
      </c>
      <c r="L227" s="466">
        <v>625</v>
      </c>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37253</v>
      </c>
      <c r="E229" s="617"/>
      <c r="F229" s="617"/>
      <c r="G229" s="617"/>
      <c r="H229" s="617"/>
      <c r="I229" s="617"/>
      <c r="J229" s="617"/>
      <c r="K229" s="1692">
        <f>SUM(K215:K228)</f>
        <v>37253</v>
      </c>
      <c r="L229" s="1692">
        <f>SUM(L215:L228)</f>
        <v>40027</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304</v>
      </c>
      <c r="E232" s="617"/>
      <c r="F232" s="617"/>
      <c r="G232" s="617"/>
      <c r="H232" s="617"/>
      <c r="I232" s="617"/>
      <c r="J232" s="617"/>
      <c r="K232" s="1693">
        <f t="shared" ref="K232:K237" si="20">D232</f>
        <v>304</v>
      </c>
      <c r="L232" s="466"/>
    </row>
    <row r="233" spans="1:12" x14ac:dyDescent="0.2">
      <c r="A233" s="1526" t="s">
        <v>1151</v>
      </c>
      <c r="B233" s="615">
        <v>2120</v>
      </c>
      <c r="C233" s="617"/>
      <c r="D233" s="466">
        <v>626</v>
      </c>
      <c r="E233" s="617"/>
      <c r="F233" s="617"/>
      <c r="G233" s="617"/>
      <c r="H233" s="617"/>
      <c r="I233" s="617"/>
      <c r="J233" s="617"/>
      <c r="K233" s="1693">
        <f t="shared" si="20"/>
        <v>626</v>
      </c>
      <c r="L233" s="466">
        <v>628</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897</v>
      </c>
      <c r="E236" s="617"/>
      <c r="F236" s="617"/>
      <c r="G236" s="617"/>
      <c r="H236" s="617"/>
      <c r="I236" s="617"/>
      <c r="J236" s="617"/>
      <c r="K236" s="1693">
        <f t="shared" si="20"/>
        <v>897</v>
      </c>
      <c r="L236" s="466">
        <v>911</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1827</v>
      </c>
      <c r="E238" s="617"/>
      <c r="F238" s="617"/>
      <c r="G238" s="617"/>
      <c r="H238" s="617"/>
      <c r="I238" s="617"/>
      <c r="J238" s="617"/>
      <c r="K238" s="1692">
        <f>SUM(K232:K237)</f>
        <v>1827</v>
      </c>
      <c r="L238" s="1692">
        <f>SUM(L232:L237)</f>
        <v>1539</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25</v>
      </c>
      <c r="E240" s="617"/>
      <c r="F240" s="617"/>
      <c r="G240" s="617"/>
      <c r="H240" s="617"/>
      <c r="I240" s="617"/>
      <c r="J240" s="617"/>
      <c r="K240" s="1694">
        <f>D240</f>
        <v>25</v>
      </c>
      <c r="L240" s="481"/>
    </row>
    <row r="241" spans="1:12" x14ac:dyDescent="0.2">
      <c r="A241" s="1526" t="s">
        <v>869</v>
      </c>
      <c r="B241" s="615">
        <v>2220</v>
      </c>
      <c r="C241" s="617"/>
      <c r="D241" s="466">
        <v>54</v>
      </c>
      <c r="E241" s="617"/>
      <c r="F241" s="617"/>
      <c r="G241" s="617"/>
      <c r="H241" s="617"/>
      <c r="I241" s="617"/>
      <c r="J241" s="617"/>
      <c r="K241" s="1694">
        <f>D241</f>
        <v>54</v>
      </c>
      <c r="L241" s="466">
        <v>232</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79</v>
      </c>
      <c r="E243" s="617"/>
      <c r="F243" s="617"/>
      <c r="G243" s="617"/>
      <c r="H243" s="617"/>
      <c r="I243" s="617"/>
      <c r="J243" s="617"/>
      <c r="K243" s="1692">
        <f>SUM(K240:K242)</f>
        <v>79</v>
      </c>
      <c r="L243" s="1692">
        <f>SUM(L240:L242)</f>
        <v>232</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v>8537</v>
      </c>
      <c r="E246" s="617"/>
      <c r="F246" s="617"/>
      <c r="G246" s="617"/>
      <c r="H246" s="617"/>
      <c r="I246" s="617"/>
      <c r="J246" s="617"/>
      <c r="K246" s="1694">
        <f t="shared" ref="K246:K256" si="21">D246</f>
        <v>8537</v>
      </c>
      <c r="L246" s="466">
        <v>9306</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8537</v>
      </c>
      <c r="E257" s="617"/>
      <c r="F257" s="617"/>
      <c r="G257" s="617"/>
      <c r="H257" s="617"/>
      <c r="I257" s="617"/>
      <c r="J257" s="617"/>
      <c r="K257" s="1692">
        <f>SUM(K245:K256)</f>
        <v>8537</v>
      </c>
      <c r="L257" s="1692">
        <f>SUM(L245:L256)</f>
        <v>9306</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10636</v>
      </c>
      <c r="E259" s="617"/>
      <c r="F259" s="617"/>
      <c r="G259" s="617"/>
      <c r="H259" s="617"/>
      <c r="I259" s="617"/>
      <c r="J259" s="617"/>
      <c r="K259" s="1694">
        <f>D259</f>
        <v>10636</v>
      </c>
      <c r="L259" s="481">
        <v>10697</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10636</v>
      </c>
      <c r="E261" s="617"/>
      <c r="F261" s="617"/>
      <c r="G261" s="617"/>
      <c r="H261" s="617"/>
      <c r="I261" s="617"/>
      <c r="J261" s="617"/>
      <c r="K261" s="1692">
        <f>SUM(K259:K260)</f>
        <v>10636</v>
      </c>
      <c r="L261" s="1692">
        <f>SUM(L259:L260)</f>
        <v>10697</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10576</v>
      </c>
      <c r="E264" s="617"/>
      <c r="F264" s="617"/>
      <c r="G264" s="617"/>
      <c r="H264" s="617"/>
      <c r="I264" s="617"/>
      <c r="J264" s="617"/>
      <c r="K264" s="1694">
        <f t="shared" ref="K264:K269" si="22">D264</f>
        <v>10576</v>
      </c>
      <c r="L264" s="466">
        <v>10576</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17357</v>
      </c>
      <c r="E266" s="617"/>
      <c r="F266" s="617"/>
      <c r="G266" s="617"/>
      <c r="H266" s="617"/>
      <c r="I266" s="617"/>
      <c r="J266" s="617"/>
      <c r="K266" s="1694">
        <f t="shared" si="22"/>
        <v>17357</v>
      </c>
      <c r="L266" s="466">
        <v>17059</v>
      </c>
    </row>
    <row r="267" spans="1:14" x14ac:dyDescent="0.2">
      <c r="A267" s="1526" t="s">
        <v>1010</v>
      </c>
      <c r="B267" s="615">
        <v>2550</v>
      </c>
      <c r="C267" s="617"/>
      <c r="D267" s="466">
        <v>11221</v>
      </c>
      <c r="E267" s="617"/>
      <c r="F267" s="617"/>
      <c r="G267" s="617"/>
      <c r="H267" s="617"/>
      <c r="I267" s="617"/>
      <c r="J267" s="617"/>
      <c r="K267" s="1694">
        <f t="shared" si="22"/>
        <v>11221</v>
      </c>
      <c r="L267" s="466">
        <v>11078</v>
      </c>
    </row>
    <row r="268" spans="1:14" x14ac:dyDescent="0.2">
      <c r="A268" s="1526" t="s">
        <v>102</v>
      </c>
      <c r="B268" s="615">
        <v>2560</v>
      </c>
      <c r="C268" s="617"/>
      <c r="D268" s="466">
        <v>7317</v>
      </c>
      <c r="E268" s="617"/>
      <c r="F268" s="617"/>
      <c r="G268" s="617"/>
      <c r="H268" s="617"/>
      <c r="I268" s="617"/>
      <c r="J268" s="617"/>
      <c r="K268" s="1694">
        <f t="shared" si="22"/>
        <v>7317</v>
      </c>
      <c r="L268" s="466">
        <v>7835</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46471</v>
      </c>
      <c r="E270" s="617"/>
      <c r="F270" s="617"/>
      <c r="G270" s="617"/>
      <c r="H270" s="617"/>
      <c r="I270" s="617"/>
      <c r="J270" s="617"/>
      <c r="K270" s="1692">
        <f>SUM(K263:K269)</f>
        <v>46471</v>
      </c>
      <c r="L270" s="1692">
        <f>SUM(L263:L269)</f>
        <v>46548</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v>743</v>
      </c>
      <c r="E275" s="617"/>
      <c r="F275" s="617"/>
      <c r="G275" s="617"/>
      <c r="H275" s="617"/>
      <c r="I275" s="617"/>
      <c r="J275" s="617"/>
      <c r="K275" s="1694">
        <f>D275</f>
        <v>743</v>
      </c>
      <c r="L275" s="466">
        <v>634</v>
      </c>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743</v>
      </c>
      <c r="E277" s="617"/>
      <c r="F277" s="617"/>
      <c r="G277" s="617"/>
      <c r="H277" s="617"/>
      <c r="I277" s="617"/>
      <c r="J277" s="617"/>
      <c r="K277" s="1692">
        <f>SUM(K272:K276)</f>
        <v>743</v>
      </c>
      <c r="L277" s="1692">
        <f>SUM(L272:L276)</f>
        <v>634</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68293</v>
      </c>
      <c r="E279" s="617"/>
      <c r="F279" s="617"/>
      <c r="G279" s="617"/>
      <c r="H279" s="617"/>
      <c r="I279" s="617"/>
      <c r="J279" s="617"/>
      <c r="K279" s="1699">
        <f>SUM(K238,K243,K257,K261,K270,K277,K278)</f>
        <v>68293</v>
      </c>
      <c r="L279" s="1699">
        <f>SUM(L238,L243,L257,L261,L270,L277,L278)</f>
        <v>68956</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105546</v>
      </c>
      <c r="E295" s="617"/>
      <c r="F295" s="617"/>
      <c r="G295" s="617"/>
      <c r="H295" s="1692">
        <f>H293</f>
        <v>0</v>
      </c>
      <c r="I295" s="617"/>
      <c r="J295" s="617"/>
      <c r="K295" s="1692">
        <f>SUM(K229,K279,K280,K285,K293,K294)</f>
        <v>105546</v>
      </c>
      <c r="L295" s="1692">
        <f>SUM(L229,L279,L280,L285,L293,L294)</f>
        <v>108983</v>
      </c>
    </row>
    <row r="296" spans="1:14" ht="13.5" thickTop="1" x14ac:dyDescent="0.2">
      <c r="A296" s="2173" t="s">
        <v>1053</v>
      </c>
      <c r="B296" s="2174"/>
      <c r="C296" s="617"/>
      <c r="D296" s="619"/>
      <c r="E296" s="617"/>
      <c r="F296" s="617"/>
      <c r="G296" s="617"/>
      <c r="H296" s="688"/>
      <c r="I296" s="617"/>
      <c r="J296" s="617"/>
      <c r="K296" s="1706">
        <f>'Revenues 9-14'!G275-'Expenditures 15-22'!K295</f>
        <v>-2433</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17385</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v>18000</v>
      </c>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0</v>
      </c>
      <c r="F330" s="1692">
        <f t="shared" si="25"/>
        <v>0</v>
      </c>
      <c r="G330" s="1692">
        <f t="shared" si="25"/>
        <v>0</v>
      </c>
      <c r="H330" s="1692">
        <f t="shared" si="25"/>
        <v>0</v>
      </c>
      <c r="I330" s="1692">
        <f t="shared" si="25"/>
        <v>0</v>
      </c>
      <c r="J330" s="1692">
        <f t="shared" si="25"/>
        <v>0</v>
      </c>
      <c r="K330" s="1692">
        <f>SUM(K319:K329)</f>
        <v>0</v>
      </c>
      <c r="L330" s="1692">
        <f>SUM(L319:L329)</f>
        <v>18000</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0</v>
      </c>
      <c r="F342" s="1692">
        <f>SUM(F330)</f>
        <v>0</v>
      </c>
      <c r="G342" s="1692">
        <f>SUM(G330)</f>
        <v>0</v>
      </c>
      <c r="H342" s="1692">
        <f>SUM(H330,H334,H340)</f>
        <v>0</v>
      </c>
      <c r="I342" s="1692">
        <f>SUM(I330)</f>
        <v>0</v>
      </c>
      <c r="J342" s="1692">
        <f>SUM(J330)</f>
        <v>0</v>
      </c>
      <c r="K342" s="1692">
        <f>SUM(K330,K334,K340)</f>
        <v>0</v>
      </c>
      <c r="L342" s="1699">
        <f>SUM(L330,L340,L341)</f>
        <v>18000</v>
      </c>
    </row>
    <row r="343" spans="1:14" ht="12.75" customHeight="1" thickTop="1" x14ac:dyDescent="0.2">
      <c r="A343" s="2186" t="s">
        <v>1053</v>
      </c>
      <c r="B343" s="2187"/>
      <c r="C343" s="617"/>
      <c r="D343" s="617"/>
      <c r="E343" s="617"/>
      <c r="F343" s="617"/>
      <c r="G343" s="617"/>
      <c r="H343" s="617"/>
      <c r="I343" s="617"/>
      <c r="J343" s="617"/>
      <c r="K343" s="1706">
        <f>'Revenues 9-14'!J275-'Expenditures 15-22'!K342</f>
        <v>11668</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v>585</v>
      </c>
      <c r="F349" s="466"/>
      <c r="G349" s="466"/>
      <c r="H349" s="466">
        <v>37</v>
      </c>
      <c r="I349" s="467"/>
      <c r="J349" s="467"/>
      <c r="K349" s="1693">
        <f>SUM(C349:J349)</f>
        <v>622</v>
      </c>
      <c r="L349" s="466">
        <v>7000</v>
      </c>
    </row>
    <row r="350" spans="1:14" ht="12.75" customHeight="1" thickBot="1" x14ac:dyDescent="0.25">
      <c r="A350" s="1690" t="s">
        <v>743</v>
      </c>
      <c r="B350" s="1691" t="s">
        <v>35</v>
      </c>
      <c r="C350" s="1692">
        <f>SUM(C348:C349)</f>
        <v>0</v>
      </c>
      <c r="D350" s="1692">
        <f t="shared" ref="D350:L350" si="26">SUM(D348:D349)</f>
        <v>0</v>
      </c>
      <c r="E350" s="1692">
        <f t="shared" si="26"/>
        <v>585</v>
      </c>
      <c r="F350" s="1692">
        <f t="shared" si="26"/>
        <v>0</v>
      </c>
      <c r="G350" s="1692">
        <f t="shared" si="26"/>
        <v>0</v>
      </c>
      <c r="H350" s="1692">
        <f t="shared" si="26"/>
        <v>37</v>
      </c>
      <c r="I350" s="1692">
        <f t="shared" si="26"/>
        <v>0</v>
      </c>
      <c r="J350" s="1692">
        <f t="shared" si="26"/>
        <v>0</v>
      </c>
      <c r="K350" s="1692">
        <f t="shared" si="26"/>
        <v>622</v>
      </c>
      <c r="L350" s="1692">
        <f t="shared" si="26"/>
        <v>7000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585</v>
      </c>
      <c r="F352" s="1692">
        <f t="shared" si="27"/>
        <v>0</v>
      </c>
      <c r="G352" s="1692">
        <f t="shared" si="27"/>
        <v>0</v>
      </c>
      <c r="H352" s="1692">
        <f t="shared" si="27"/>
        <v>37</v>
      </c>
      <c r="I352" s="1692">
        <f t="shared" si="27"/>
        <v>0</v>
      </c>
      <c r="J352" s="1692">
        <f t="shared" si="27"/>
        <v>0</v>
      </c>
      <c r="K352" s="1692">
        <f t="shared" si="27"/>
        <v>622</v>
      </c>
      <c r="L352" s="1692">
        <f t="shared" si="27"/>
        <v>7000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585</v>
      </c>
      <c r="F367" s="1692">
        <f t="shared" si="28"/>
        <v>0</v>
      </c>
      <c r="G367" s="1692">
        <f t="shared" si="28"/>
        <v>0</v>
      </c>
      <c r="H367" s="1692">
        <f t="shared" si="28"/>
        <v>37</v>
      </c>
      <c r="I367" s="1692">
        <f t="shared" si="28"/>
        <v>0</v>
      </c>
      <c r="J367" s="1692">
        <f t="shared" si="28"/>
        <v>0</v>
      </c>
      <c r="K367" s="1692">
        <f t="shared" si="28"/>
        <v>622</v>
      </c>
      <c r="L367" s="1692">
        <f t="shared" si="28"/>
        <v>7000</v>
      </c>
    </row>
    <row r="368" spans="1:14" ht="13.5" thickTop="1" x14ac:dyDescent="0.2">
      <c r="A368" s="2173" t="s">
        <v>1053</v>
      </c>
      <c r="B368" s="2174"/>
      <c r="C368" s="655"/>
      <c r="D368" s="655"/>
      <c r="E368" s="627"/>
      <c r="F368" s="627"/>
      <c r="G368" s="627"/>
      <c r="H368" s="627"/>
      <c r="I368" s="627"/>
      <c r="J368" s="624"/>
      <c r="K368" s="1693">
        <f>'Revenues 9-14'!K275-'Expenditures 15-22'!K367</f>
        <v>125</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99216-9548-403A-A1AC-CF57406FE3BA}">
  <ds:schemaRefs>
    <ds:schemaRef ds:uri="http://schemas.openxmlformats.org/package/2006/metadata/core-properties"/>
    <ds:schemaRef ds:uri="http://purl.org/dc/terms/"/>
    <ds:schemaRef ds:uri="http://purl.org/dc/elements/1.1/"/>
    <ds:schemaRef ds:uri="http://schemas.microsoft.com/sharepoint/v3"/>
    <ds:schemaRef ds:uri="http://purl.org/dc/dcmitype/"/>
    <ds:schemaRef ds:uri="6ce3111e-7420-4802-b50a-75d4e9a0b980"/>
    <ds:schemaRef ds:uri="http://schemas.microsoft.com/office/infopath/2007/PartnerControls"/>
    <ds:schemaRef ds:uri="http://schemas.microsoft.com/office/2006/documentManagement/types"/>
    <ds:schemaRef ds:uri="4d435f69-8686-490b-bd6d-b153bf22ab50"/>
    <ds:schemaRef ds:uri="d21dc803-237d-4c68-8692-8d731fd2911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2018-09-17T18:29:05Z</cp:lastPrinted>
  <dcterms:created xsi:type="dcterms:W3CDTF">2003-10-29T19:06:34Z</dcterms:created>
  <dcterms:modified xsi:type="dcterms:W3CDTF">2018-09-21T16:26:08Z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