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6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s="1"/>
  <c r="B5107" i="106"/>
  <c r="D5107" i="106" s="1"/>
  <c r="B5108" i="106"/>
  <c r="D5108" i="106" s="1"/>
  <c r="B5109" i="106"/>
  <c r="D5109" i="106" s="1"/>
  <c r="B5110" i="106"/>
  <c r="D5110" i="106" s="1"/>
  <c r="B5111" i="106"/>
  <c r="D5111" i="106" s="1"/>
  <c r="B5113" i="106"/>
  <c r="D5113" i="106" s="1"/>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s="1"/>
  <c r="B6353" i="106"/>
  <c r="D6353" i="106" s="1"/>
  <c r="B6354" i="106"/>
  <c r="D6354" i="106" s="1"/>
  <c r="B6355" i="106"/>
  <c r="D6355" i="106" s="1"/>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s="1"/>
  <c r="B6381" i="106"/>
  <c r="D6381" i="106" s="1"/>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71" i="36"/>
  <c r="D72" i="36"/>
  <c r="D79" i="36"/>
  <c r="B64" i="127"/>
  <c r="B65" i="127"/>
  <c r="D26" i="108"/>
  <c r="E26" i="108"/>
  <c r="F26" i="108"/>
  <c r="G26" i="108"/>
  <c r="E27" i="108"/>
  <c r="G27" i="108"/>
  <c r="E28" i="108"/>
  <c r="F31" i="108"/>
  <c r="F36" i="108"/>
  <c r="G28" i="108"/>
  <c r="G29"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73" i="5" s="1"/>
  <c r="B5778" i="106" s="1"/>
  <c r="D5778"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11" i="37"/>
  <c r="D22" i="37"/>
  <c r="H22" i="37"/>
  <c r="J22" i="37"/>
  <c r="L22" i="37"/>
  <c r="D24" i="37"/>
  <c r="B4270" i="106" s="1"/>
  <c r="D4270" i="106" s="1"/>
  <c r="D5" i="7"/>
  <c r="B1761" i="106" s="1"/>
  <c r="D1761" i="106" s="1"/>
  <c r="D13" i="7"/>
  <c r="B3726" i="106" s="1"/>
  <c r="D3726" i="106" s="1"/>
  <c r="D9" i="7"/>
  <c r="B1767" i="106" s="1"/>
  <c r="D1767" i="106" s="1"/>
  <c r="F131" i="34"/>
  <c r="F130" i="34"/>
  <c r="F127" i="34"/>
  <c r="B5752" i="106"/>
  <c r="D5752" i="106" s="1"/>
  <c r="K274" i="5"/>
  <c r="H173" i="5"/>
  <c r="B5906" i="106" s="1"/>
  <c r="D5906" i="106" s="1"/>
  <c r="F106" i="34"/>
  <c r="D7" i="7"/>
  <c r="B1763" i="106" s="1"/>
  <c r="D1763" i="106" s="1"/>
  <c r="D17" i="7"/>
  <c r="B4104" i="106" s="1"/>
  <c r="D4104" i="106" s="1"/>
  <c r="D11" i="7"/>
  <c r="B1768" i="106" s="1"/>
  <c r="D1768" i="106" s="1"/>
  <c r="D15" i="7"/>
  <c r="B1772" i="106" s="1"/>
  <c r="D1772" i="106" s="1"/>
  <c r="D12" i="7" l="1"/>
  <c r="B1769" i="106" s="1"/>
  <c r="D1769" i="106" s="1"/>
  <c r="L5" i="11"/>
  <c r="B2056" i="106" s="1"/>
  <c r="D2056" i="106" s="1"/>
  <c r="D5" i="4"/>
  <c r="B3406" i="106" s="1"/>
  <c r="D3406" i="106" s="1"/>
  <c r="I173" i="5"/>
  <c r="B4216" i="106" s="1"/>
  <c r="D4216" i="106" s="1"/>
  <c r="E109" i="5"/>
  <c r="E4" i="4" s="1"/>
  <c r="B2630" i="106" s="1"/>
  <c r="D2630" i="106" s="1"/>
  <c r="L312" i="29"/>
  <c r="F66" i="34"/>
  <c r="F36" i="34"/>
  <c r="B7235" i="106"/>
  <c r="D7235" i="106" s="1"/>
  <c r="B6191" i="106"/>
  <c r="D6191" i="106" s="1"/>
  <c r="J41" i="3"/>
  <c r="D6103" i="106"/>
  <c r="K350" i="29"/>
  <c r="K76" i="4"/>
  <c r="B3586" i="106" s="1"/>
  <c r="D3586" i="106" s="1"/>
  <c r="L13" i="11"/>
  <c r="B2060" i="106" s="1"/>
  <c r="D2060" i="106" s="1"/>
  <c r="K24" i="12"/>
  <c r="B3649" i="106"/>
  <c r="D3649" i="106" s="1"/>
  <c r="G367" i="29"/>
  <c r="B3621" i="106"/>
  <c r="D3621" i="106" s="1"/>
  <c r="C367" i="29"/>
  <c r="D69" i="36"/>
  <c r="D68" i="36"/>
  <c r="F19" i="7"/>
  <c r="B1807" i="106" s="1"/>
  <c r="D1807" i="106" s="1"/>
  <c r="L342" i="29"/>
  <c r="D37" i="108"/>
  <c r="F37" i="108"/>
  <c r="G30" i="108"/>
  <c r="E30" i="108"/>
  <c r="E29" i="108"/>
  <c r="B1124" i="106"/>
  <c r="D1124" i="106" s="1"/>
  <c r="F34" i="34"/>
  <c r="F28" i="108"/>
  <c r="B5513" i="106"/>
  <c r="D5513" i="106" s="1"/>
  <c r="B1746" i="106"/>
  <c r="D1746" i="106" s="1"/>
  <c r="B1329" i="106"/>
  <c r="D1329" i="106" s="1"/>
  <c r="F61" i="34"/>
  <c r="K184" i="29"/>
  <c r="F13" i="4" s="1"/>
  <c r="B2596" i="106" s="1"/>
  <c r="D2596" i="106" s="1"/>
  <c r="B1410" i="106"/>
  <c r="D1410" i="106" s="1"/>
  <c r="H109" i="5"/>
  <c r="B6025" i="106" s="1"/>
  <c r="D6025" i="106" s="1"/>
  <c r="C342" i="29"/>
  <c r="B7216" i="106" s="1"/>
  <c r="D7216" i="106" s="1"/>
  <c r="F111" i="34"/>
  <c r="B5770" i="106"/>
  <c r="D5770" i="106" s="1"/>
  <c r="C172" i="5"/>
  <c r="B5214" i="106" s="1"/>
  <c r="D5214" i="106" s="1"/>
  <c r="H6" i="4"/>
  <c r="B2656" i="106" s="1"/>
  <c r="D2656" i="106" s="1"/>
  <c r="B5096" i="106"/>
  <c r="D5096" i="106" s="1"/>
  <c r="C109" i="5"/>
  <c r="B5121" i="106" s="1"/>
  <c r="D5121" i="106" s="1"/>
  <c r="D4" i="7"/>
  <c r="B1760" i="106" s="1"/>
  <c r="D1760" i="106" s="1"/>
  <c r="D109" i="5"/>
  <c r="B5356" i="106" s="1"/>
  <c r="D5356" i="106" s="1"/>
  <c r="G109" i="5"/>
  <c r="H4" i="4"/>
  <c r="B2655" i="106" s="1"/>
  <c r="D2655" i="106" s="1"/>
  <c r="H29" i="118"/>
  <c r="K28" i="118" s="1"/>
  <c r="O27" i="118" s="1"/>
  <c r="O29" i="118" s="1"/>
  <c r="D31" i="36"/>
  <c r="F27" i="108"/>
  <c r="F136" i="34"/>
  <c r="C173" i="5"/>
  <c r="B5223" i="106" s="1"/>
  <c r="D5223"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L16" i="11"/>
  <c r="B2061" i="106" s="1"/>
  <c r="D206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J7" i="4"/>
  <c r="B2657" i="106"/>
  <c r="D2657" i="106" s="1"/>
  <c r="H8" i="4"/>
  <c r="D274" i="5"/>
  <c r="B3447" i="106"/>
  <c r="D3447" i="106" s="1"/>
  <c r="B7270" i="106"/>
  <c r="H367" i="29" l="1"/>
  <c r="B3660" i="106" s="1"/>
  <c r="D3660" i="106" s="1"/>
  <c r="B7733" i="106"/>
  <c r="D7733" i="106" s="1"/>
  <c r="K26" i="12"/>
  <c r="B7743" i="106" s="1"/>
  <c r="D7743" i="106" s="1"/>
  <c r="B3670" i="106"/>
  <c r="D3670" i="106" s="1"/>
  <c r="K352" i="29"/>
  <c r="L114" i="29"/>
  <c r="F41" i="108"/>
  <c r="G43" i="108" s="1"/>
  <c r="K342" i="29"/>
  <c r="F13" i="34" s="1"/>
  <c r="F275" i="5"/>
  <c r="C4" i="4"/>
  <c r="B2551" i="106" s="1"/>
  <c r="D2551" i="106" s="1"/>
  <c r="D4" i="4"/>
  <c r="B2564" i="106" s="1"/>
  <c r="D2564" i="106" s="1"/>
  <c r="B6024" i="106"/>
  <c r="D6024" i="106" s="1"/>
  <c r="G4" i="4"/>
  <c r="B2603" i="106" s="1"/>
  <c r="D2603" i="106" s="1"/>
  <c r="D19" i="7"/>
  <c r="B1775" i="106" s="1"/>
  <c r="D1775" i="106" s="1"/>
  <c r="C6" i="4"/>
  <c r="B2553" i="106" s="1"/>
  <c r="D2553" i="106" s="1"/>
  <c r="D44" i="36"/>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D275" i="5"/>
  <c r="B5507" i="106"/>
  <c r="D5507" i="106" s="1"/>
  <c r="B7298" i="106"/>
  <c r="B7299" i="106"/>
  <c r="K13" i="4" l="1"/>
  <c r="B3572" i="106" s="1"/>
  <c r="D3572" i="106" s="1"/>
  <c r="B3672" i="106"/>
  <c r="D3672" i="106" s="1"/>
  <c r="K367" i="29"/>
  <c r="J8" i="4"/>
  <c r="B7224" i="106"/>
  <c r="D7224" i="106" s="1"/>
  <c r="J17" i="4"/>
  <c r="B6227" i="106" s="1"/>
  <c r="D6227" i="106" s="1"/>
  <c r="F8" i="4"/>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6" i="34" l="1"/>
  <c r="J20" i="4"/>
  <c r="D8" i="4"/>
  <c r="C8" i="14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D10" i="4"/>
  <c r="B4123" i="106" s="1"/>
  <c r="D4123" i="106" s="1"/>
  <c r="B2568" i="106"/>
  <c r="D2568" i="106" s="1"/>
  <c r="D20" i="4" l="1"/>
  <c r="D78" i="4"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c r="F179" i="34" l="1"/>
  <c r="F79" i="34"/>
  <c r="B2574" i="106"/>
  <c r="D2574"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<sst xmlns="http://schemas.openxmlformats.org/spreadsheetml/2006/main" count="5054" uniqueCount="2103">
  <si>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</si>
  <si>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</si>
  <si>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</si>
  <si>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</si>
  <si>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</si>
  <si>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</si>
  <si>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</si>
  <si>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</si>
  <si>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</si>
  <si>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</si>
  <si>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</si>
  <si>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</si>
  <si>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</si>
  <si>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</si>
  <si>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</si>
  <si>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</si>
  <si>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</si>
  <si>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</si>
  <si>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</si>
  <si>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</si>
  <si>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</si>
  <si>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</si>
  <si>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</si>
  <si>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</si>
  <si>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</si>
  <si>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</si>
  <si>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</si>
  <si>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</si>
  <si>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</si>
  <si>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</si>
  <si>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</si>
  <si>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</si>
  <si>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</si>
  <si>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</si>
  <si>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</si>
  <si>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</si>
  <si>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</si>
  <si>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</si>
  <si>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</si>
  <si>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</si>
  <si>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</si>
  <si>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</si>
  <si>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</si>
  <si>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</si>
  <si>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</si>
  <si>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</si>
  <si>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</si>
  <si>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</si>
  <si>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</si>
  <si>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</si>
  <si>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</si>
  <si>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</si>
  <si>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</si>
  <si>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</si>
  <si>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</si>
  <si>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</si>
  <si>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</si>
  <si>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</si>
  <si>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</si>
  <si>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</si>
  <si>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</si>
  <si>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</si>
  <si>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</si>
  <si>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</si>
  <si>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</si>
  <si>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</si>
  <si>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</si>
  <si>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</si>
  <si>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</si>
  <si>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</si>
  <si>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</si>
  <si>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</si>
  <si>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</si>
  <si>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</si>
  <si>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</si>
  <si>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</si>
  <si>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</si>
  <si>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</si>
  <si>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</si>
  <si>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</si>
  <si>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</si>
  <si>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</si>
  <si>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</si>
  <si>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</si>
  <si>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</si>
  <si>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</si>
  <si>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</si>
  <si>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</si>
  <si>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</si>
  <si>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</si>
  <si>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</si>
  <si>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</si>
  <si>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</si>
  <si>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</si>
  <si>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</si>
  <si>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</si>
  <si>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</si>
  <si>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</si>
  <si>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</si>
  <si>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</si>
  <si>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</si>
  <si>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</si>
  <si>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</si>
  <si>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</si>
  <si>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</si>
  <si>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</si>
  <si>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</si>
  <si>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</si>
  <si>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</si>
  <si>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</si>
  <si>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</si>
  <si>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</si>
  <si>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</si>
  <si>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</si>
  <si>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</si>
  <si>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</si>
  <si>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</si>
  <si>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</si>
  <si>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</si>
  <si>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</si>
  <si>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</si>
  <si>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</si>
  <si>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</si>
  <si>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</si>
  <si>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</si>
  <si>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</si>
  <si>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</si>
  <si>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</si>
  <si>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</si>
  <si>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</si>
  <si>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</si>
  <si>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</si>
  <si>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</si>
  <si>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</si>
  <si>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</si>
  <si>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</si>
  <si>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</si>
  <si>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</si>
  <si>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</si>
  <si>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</si>
  <si>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</si>
  <si>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</si>
  <si>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</si>
  <si>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</si>
  <si>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</si>
  <si>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</si>
  <si>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</si>
  <si>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</si>
  <si>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</si>
  <si>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</si>
  <si>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</si>
  <si>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</si>
  <si>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</si>
  <si>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</si>
  <si>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</si>
  <si>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</si>
  <si>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</si>
  <si>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</si>
  <si>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</si>
  <si>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</si>
  <si>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</si>
  <si>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</si>
  <si>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</si>
  <si>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</si>
  <si>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</si>
  <si>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</si>
  <si>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</si>
  <si>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</si>
  <si>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</si>
  <si>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</si>
  <si>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</si>
  <si>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</si>
  <si>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</si>
  <si>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</si>
  <si>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</si>
  <si>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</si>
  <si>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</si>
  <si>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</si>
  <si>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</si>
  <si>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</si>
  <si>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</si>
  <si>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</si>
  <si>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</si>
  <si>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</si>
  <si>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</si>
  <si>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</si>
  <si>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</si>
  <si>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</si>
  <si>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</si>
  <si>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</si>
  <si>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</si>
  <si>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</si>
  <si>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</si>
  <si>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</si>
  <si>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</si>
  <si>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</si>
  <si>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</si>
  <si>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</si>
  <si>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</si>
  <si>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</si>
  <si>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</si>
  <si>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</si>
  <si>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</si>
  <si>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</si>
  <si>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</si>
  <si>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</si>
  <si>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</si>
  <si>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</si>
  <si>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</si>
  <si>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</si>
  <si>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</si>
  <si>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</si>
  <si>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</si>
  <si>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</si>
  <si>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</si>
  <si>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</si>
  <si>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</si>
  <si>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</si>
  <si>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</si>
  <si>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</si>
  <si>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</si>
  <si>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</si>
  <si>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</si>
  <si>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</si>
  <si>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</si>
  <si>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</si>
  <si>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</si>
  <si>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</si>
  <si>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</si>
  <si>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</si>
  <si>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</si>
  <si>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</si>
  <si>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</si>
  <si>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</si>
  <si>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</si>
  <si>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</si>
  <si>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</si>
  <si>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</si>
  <si>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</si>
  <si>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</si>
  <si>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</si>
  <si>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</si>
  <si>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</si>
  <si>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</si>
  <si>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</si>
  <si>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</si>
  <si>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</si>
  <si>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</si>
  <si>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</si>
  <si>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</si>
  <si>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</si>
  <si>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</si>
  <si>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</si>
  <si>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</si>
  <si>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</si>
  <si>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</si>
  <si>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</si>
  <si>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</si>
  <si>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</si>
  <si>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</si>
  <si>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</si>
  <si>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</si>
  <si>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</si>
  <si>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</si>
  <si>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</si>
  <si>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</si>
  <si>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</si>
  <si>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</si>
  <si>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</si>
  <si>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</si>
  <si>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</si>
  <si>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</si>
  <si>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</si>
  <si>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</si>
  <si>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</si>
  <si>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</si>
  <si>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</si>
  <si>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</si>
  <si>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</si>
  <si>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</si>
  <si>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</si>
  <si>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</si>
  <si>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</si>
  <si>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</si>
  <si>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</si>
  <si>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</si>
  <si>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</si>
  <si>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</si>
  <si>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</si>
  <si>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</si>
  <si>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</si>
  <si>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</si>
  <si>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</si>
  <si>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</si>
  <si>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</si>
  <si>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</si>
  <si>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</si>
  <si>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</si>
  <si>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</si>
  <si>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</si>
  <si>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</si>
  <si>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</si>
  <si>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</si>
  <si>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</si>
  <si>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</si>
  <si>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</si>
  <si>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</si>
  <si>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</si>
  <si>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</si>
  <si>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</si>
  <si>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</si>
  <si>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</si>
  <si>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</si>
  <si>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</si>
  <si>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</si>
  <si>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</si>
  <si>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</si>
  <si>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</si>
  <si>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</si>
  <si>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</si>
  <si>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</si>
  <si>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</si>
  <si>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</si>
  <si>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</si>
  <si>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</si>
  <si>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</si>
  <si>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</si>
  <si>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</si>
  <si>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</si>
  <si>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</si>
  <si>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</si>
  <si>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</si>
  <si>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</si>
  <si>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</si>
  <si>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</si>
  <si>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</si>
  <si>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</si>
  <si>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</si>
  <si>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</si>
  <si>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</si>
  <si>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</si>
  <si>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</si>
  <si>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</si>
  <si>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</si>
  <si>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</si>
  <si>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</si>
  <si>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</si>
  <si>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</si>
  <si>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</si>
  <si>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</si>
  <si>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</si>
  <si>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</si>
  <si>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</si>
  <si>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</si>
  <si>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</si>
  <si>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</si>
  <si>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</si>
  <si>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</si>
  <si>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</si>
  <si>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</si>
  <si>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</si>
  <si>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</si>
  <si>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</si>
  <si>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</si>
  <si>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</si>
  <si>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</si>
  <si>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</si>
  <si>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</si>
  <si>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</si>
  <si>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</si>
  <si>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</si>
  <si>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</si>
  <si>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</si>
  <si>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</si>
  <si>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</si>
  <si>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</si>
  <si>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</si>
  <si>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</si>
  <si>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</si>
  <si>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</si>
  <si>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</si>
  <si>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</si>
  <si>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</si>
  <si>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</si>
  <si>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</si>
  <si>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</si>
  <si>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</si>
  <si>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</si>
  <si>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</si>
  <si>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</si>
  <si>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</si>
  <si>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</si>
  <si>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</si>
  <si>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</si>
  <si>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</si>
  <si>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</si>
  <si>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</si>
  <si>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</si>
  <si>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</si>
  <si>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</si>
  <si>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</si>
  <si>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</si>
  <si>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</si>
  <si>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</si>
  <si>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</si>
  <si>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</si>
  <si>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</si>
  <si>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</si>
  <si>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</si>
  <si>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</si>
  <si>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</si>
  <si>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</si>
  <si>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</si>
  <si>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</si>
  <si>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</si>
  <si>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</si>
  <si>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</si>
  <si>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</si>
  <si>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</si>
  <si>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</si>
  <si>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</si>
  <si>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</si>
  <si>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</si>
  <si>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</si>
  <si>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</si>
  <si>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</si>
  <si>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</si>
  <si>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</si>
  <si>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</si>
  <si>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</si>
  <si>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</si>
  <si>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</si>
  <si>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</si>
  <si>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</si>
  <si>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</si>
  <si>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</si>
  <si>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</si>
  <si>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</si>
  <si>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</si>
  <si>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</si>
  <si>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</si>
  <si>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</si>
  <si>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</si>
  <si>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</si>
  <si>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</si>
  <si>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</si>
  <si>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</si>
  <si>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</si>
  <si>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</si>
  <si>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</si>
  <si>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</si>
  <si>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</si>
  <si>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</si>
  <si>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</si>
  <si>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</si>
  <si>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</si>
  <si>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</si>
  <si>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</si>
  <si>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</si>
  <si>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</si>
  <si>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</si>
  <si>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</si>
  <si>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</si>
  <si>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</si>
  <si>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</si>
  <si>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</si>
  <si>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</si>
  <si>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</si>
  <si>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</si>
  <si>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</si>
  <si>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</si>
  <si>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</si>
  <si>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</si>
  <si>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</si>
  <si>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</si>
  <si>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</si>
  <si>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</si>
  <si>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</si>
  <si>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</si>
  <si>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</si>
  <si>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</si>
  <si>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</si>
  <si>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</si>
  <si>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</si>
  <si>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</si>
  <si>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</si>
  <si>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</si>
  <si>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</si>
  <si>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</si>
  <si>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</si>
  <si>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</si>
  <si>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</si>
  <si>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</si>
  <si>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</si>
  <si>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</si>
  <si>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</si>
  <si>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</si>
  <si>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</si>
  <si>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</si>
  <si>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</si>
  <si>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</si>
  <si>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</si>
  <si>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</si>
  <si>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</si>
  <si>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</si>
  <si>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</si>
  <si>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</si>
  <si>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</si>
  <si>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</si>
  <si>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</si>
  <si>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</si>
  <si>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</si>
  <si>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</si>
  <si>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</si>
  <si>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</si>
  <si>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</si>
  <si>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</si>
  <si>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</si>
  <si>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</si>
  <si>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</si>
  <si>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</si>
  <si>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</si>
  <si>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</si>
  <si>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</si>
  <si>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</si>
  <si>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</si>
  <si>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</si>
  <si>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</si>
  <si>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</si>
  <si>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</si>
  <si>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</si>
  <si>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</si>
  <si>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</si>
  <si>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</si>
  <si>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</si>
  <si>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</si>
  <si>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</si>
  <si>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</si>
  <si>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</si>
  <si>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</si>
  <si>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</si>
  <si>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</si>
  <si>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</si>
  <si>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</si>
  <si>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</si>
  <si>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</si>
  <si>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</si>
  <si>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</si>
  <si>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</si>
  <si>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</si>
  <si>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</si>
  <si>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</si>
  <si>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</si>
  <si>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</si>
  <si>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</si>
  <si>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</si>
  <si>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</si>
  <si>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</si>
  <si>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</si>
  <si>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</si>
  <si>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</si>
  <si>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</si>
  <si>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</si>
  <si>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</si>
  <si>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</si>
  <si>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</si>
  <si>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</si>
  <si>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</si>
  <si>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</si>
  <si>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</si>
  <si>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</si>
  <si>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</si>
  <si>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</si>
  <si>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</si>
  <si>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</si>
  <si>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</si>
  <si>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</si>
  <si>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</si>
  <si>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</si>
  <si>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</si>
  <si>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</si>
  <si>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</si>
  <si>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</si>
  <si>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</si>
  <si>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</si>
  <si>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</si>
  <si>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</si>
  <si>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</si>
  <si>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</si>
  <si>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</si>
  <si>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</si>
  <si>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</si>
  <si>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</si>
  <si>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</si>
  <si>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</si>
  <si>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</si>
  <si>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</si>
  <si>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</si>
  <si>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</si>
  <si>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</si>
  <si>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</si>
  <si>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</si>
  <si>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</si>
  <si>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</si>
  <si>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</si>
  <si>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</si>
  <si>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</si>
  <si>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</si>
  <si>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</si>
  <si>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</si>
  <si>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</si>
  <si>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</si>
  <si>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</si>
  <si>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</si>
  <si>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</si>
  <si>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</si>
  <si>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</si>
  <si>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</si>
  <si>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</si>
  <si>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</si>
  <si>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</si>
  <si>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</si>
  <si>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</si>
  <si>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</si>
  <si>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</si>
  <si>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</si>
  <si>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</si>
  <si>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</si>
  <si>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</si>
  <si>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</si>
  <si>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</si>
  <si>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</si>
  <si>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</si>
  <si>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</si>
  <si>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</si>
  <si>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</si>
  <si>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</si>
  <si>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</si>
  <si>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</si>
  <si>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</si>
  <si>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</si>
  <si>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</si>
  <si>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</si>
  <si>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</si>
  <si>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</si>
  <si>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</si>
  <si>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</si>
  <si>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</si>
  <si>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</si>
  <si>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</si>
  <si>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</si>
  <si>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</si>
  <si>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</si>
  <si>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</si>
  <si>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</si>
  <si>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</si>
  <si>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</si>
  <si>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</si>
  <si>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</si>
  <si>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</si>
  <si>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</si>
  <si>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</si>
  <si>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</si>
  <si>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</si>
  <si>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</si>
  <si>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</si>
  <si>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</si>
  <si>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</si>
  <si>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</si>
  <si>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</si>
  <si>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</si>
  <si>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</si>
  <si>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</si>
  <si>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</si>
  <si>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</si>
  <si>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</si>
  <si>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</si>
  <si>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</si>
  <si>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</si>
  <si>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</si>
  <si>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</si>
  <si>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</si>
  <si>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</si>
  <si>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</si>
  <si>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</si>
  <si>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</si>
  <si>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</si>
  <si>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</si>
  <si>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</si>
  <si>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</si>
  <si>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</si>
  <si>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</si>
  <si>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</si>
  <si>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</si>
  <si>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</si>
  <si>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</si>
  <si>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</si>
  <si>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</si>
  <si>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</si>
  <si>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</si>
  <si>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</si>
  <si>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</si>
  <si>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</si>
  <si>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</si>
  <si>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</si>
  <si>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</si>
  <si>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</si>
  <si>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</si>
  <si>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</si>
  <si>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</si>
  <si>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</si>
  <si>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</si>
  <si>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</si>
  <si>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</si>
  <si>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</si>
  <si>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</si>
  <si>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</si>
  <si>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</si>
  <si>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</si>
  <si>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</si>
  <si>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</si>
  <si>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</si>
  <si>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</si>
  <si>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</si>
  <si>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</si>
  <si>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</si>
  <si>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</si>
  <si>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</si>
  <si>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</si>
  <si>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</si>
  <si>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</si>
  <si>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</si>
  <si>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</si>
  <si>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</si>
  <si>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</si>
  <si>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</si>
  <si>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</si>
  <si>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</si>
  <si>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</si>
  <si>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</si>
  <si>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</si>
  <si>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</si>
  <si>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</si>
  <si>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</si>
  <si>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</si>
  <si>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</si>
  <si>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</si>
  <si>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</si>
  <si>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</si>
  <si>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</si>
  <si>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</si>
  <si>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</si>
  <si>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</si>
  <si>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</si>
  <si>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</si>
  <si>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</si>
  <si>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</si>
  <si>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</si>
  <si>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</si>
  <si>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</si>
  <si>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</si>
  <si>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</si>
  <si>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</si>
  <si>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</si>
  <si>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</si>
  <si>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</si>
  <si>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</si>
  <si>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</si>
  <si>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</si>
  <si>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</si>
  <si>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</si>
  <si>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</si>
  <si>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</si>
  <si>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</si>
  <si>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</si>
  <si>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</si>
  <si>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</si>
  <si>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</si>
  <si>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</si>
  <si>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</si>
  <si>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</si>
  <si>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</si>
  <si>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</si>
  <si>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</si>
  <si>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</si>
  <si>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</si>
  <si>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</si>
  <si>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</si>
  <si>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</si>
  <si>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</si>
  <si>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</si>
  <si>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</si>
  <si>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</si>
  <si>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</si>
  <si>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</si>
  <si>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</si>
  <si>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</si>
  <si>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</si>
  <si>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</si>
  <si>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</si>
  <si>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</si>
  <si>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</si>
  <si>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</si>
  <si>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</si>
  <si>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</si>
  <si>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</si>
  <si>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</si>
  <si>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</si>
  <si>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</si>
  <si>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</si>
  <si>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</si>
  <si>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</si>
  <si>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</si>
  <si>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</si>
  <si>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</si>
  <si>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</si>
  <si>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</si>
  <si>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</si>
  <si>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</si>
  <si>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</si>
  <si>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</si>
  <si>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</si>
  <si>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</si>
  <si>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</si>
  <si>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</si>
  <si>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</si>
  <si>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</si>
  <si>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</si>
  <si>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</si>
  <si>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</si>
  <si>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</si>
  <si>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</si>
  <si>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</si>
  <si>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</si>
  <si>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</si>
  <si>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</si>
  <si>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</si>
  <si>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</si>
  <si>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</si>
  <si>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</si>
  <si>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</si>
  <si>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</si>
  <si>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</si>
  <si>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</si>
  <si>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</si>
  <si>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</si>
  <si>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</si>
  <si>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</si>
  <si>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</si>
  <si>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</si>
  <si>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</si>
  <si>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</si>
  <si>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</si>
  <si>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</si>
  <si>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</si>
  <si>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</si>
  <si>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</si>
  <si>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</si>
  <si>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</si>
  <si>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</si>
  <si>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</si>
  <si>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</si>
  <si>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</si>
  <si>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</si>
  <si>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</si>
  <si>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</si>
  <si>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</si>
  <si>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</si>
  <si>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</si>
  <si>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</si>
  <si>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</si>
  <si>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</si>
  <si>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</si>
  <si>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</si>
  <si>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</si>
  <si>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</si>
  <si>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</si>
  <si>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</si>
  <si>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</si>
  <si>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</si>
  <si>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</si>
  <si>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</si>
  <si>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</si>
  <si>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</si>
  <si>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</si>
  <si>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</si>
  <si>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</si>
  <si>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</si>
  <si>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</si>
  <si>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</si>
  <si>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</si>
  <si>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</si>
  <si>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</si>
  <si>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</si>
  <si>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</si>
  <si>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</si>
  <si>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</si>
  <si>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</si>
  <si>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</si>
  <si>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</si>
  <si>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</si>
  <si>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</si>
  <si>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</si>
  <si>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</si>
  <si>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</si>
  <si>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</si>
  <si>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</si>
  <si>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</si>
  <si>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</si>
  <si>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</si>
  <si>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</si>
  <si>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</si>
  <si>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</si>
  <si>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</si>
  <si>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</si>
  <si>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</si>
  <si>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</si>
  <si>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</si>
  <si>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</si>
  <si>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</si>
  <si>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</si>
  <si>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</si>
  <si>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</si>
  <si>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</si>
  <si>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</si>
  <si>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</si>
  <si>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</si>
  <si>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</si>
  <si>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</si>
  <si>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</si>
  <si>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</si>
  <si>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</si>
  <si>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</si>
  <si>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</si>
  <si>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</si>
  <si>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</si>
  <si>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</si>
  <si>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</si>
  <si>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</si>
  <si>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</si>
  <si>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</si>
  <si>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</si>
  <si>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</si>
  <si>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</si>
  <si>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</si>
  <si>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</si>
  <si>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</si>
  <si>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</si>
  <si>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</si>
  <si>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</si>
  <si>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</si>
  <si>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</si>
  <si>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</si>
  <si>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</si>
  <si>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</si>
  <si>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</si>
  <si>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</si>
  <si>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</si>
  <si>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</si>
  <si>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</si>
  <si>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</si>
  <si>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</si>
  <si>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</si>
  <si>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</si>
  <si>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</si>
  <si>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</si>
  <si>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</si>
  <si>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</si>
  <si>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</si>
  <si>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</si>
  <si>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</si>
  <si>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</si>
  <si>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</si>
  <si>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</si>
  <si>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</si>
  <si>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</si>
  <si>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</si>
  <si>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</si>
  <si>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</si>
  <si>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</si>
  <si>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</si>
  <si>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</si>
  <si>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</si>
  <si>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</si>
  <si>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</si>
  <si>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</si>
  <si>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</si>
  <si>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</si>
  <si>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</si>
  <si>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</si>
  <si>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</si>
  <si>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</si>
  <si>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</si>
  <si>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</si>
  <si>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</si>
  <si>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</si>
  <si>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</si>
  <si>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</si>
  <si>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</si>
  <si>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</si>
  <si>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</si>
  <si>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</si>
  <si>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</si>
  <si>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</si>
  <si>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</si>
  <si>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</si>
  <si>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</si>
  <si>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</si>
  <si>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</si>
  <si>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</si>
  <si>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</si>
  <si>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</si>
  <si>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</si>
  <si>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</si>
  <si>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</si>
  <si>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</si>
  <si>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</si>
  <si>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</si>
  <si>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</si>
  <si>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</si>
  <si>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</si>
  <si>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</si>
  <si>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</si>
  <si>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</si>
  <si>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</si>
  <si>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</si>
  <si>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</si>
  <si>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</si>
  <si>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</si>
  <si>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</si>
  <si>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</si>
  <si>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</si>
  <si>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</si>
  <si>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</si>
  <si>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</si>
  <si>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</si>
  <si>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</si>
  <si>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</si>
  <si>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</si>
  <si>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</si>
  <si>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</si>
  <si>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</si>
  <si>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</si>
  <si>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</si>
  <si>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</si>
  <si>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</si>
  <si>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</si>
  <si>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</si>
  <si>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</si>
  <si>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</si>
  <si>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</si>
  <si>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</si>
  <si>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</si>
  <si>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</si>
  <si>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</si>
  <si>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</si>
  <si>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</si>
  <si>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</si>
  <si>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</si>
  <si>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</si>
  <si>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</si>
  <si>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</si>
  <si>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</si>
  <si>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</si>
  <si>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</si>
  <si>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</si>
  <si>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</si>
  <si>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</si>
  <si>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</si>
  <si>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</si>
  <si>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</si>
  <si>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</si>
  <si>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</si>
  <si>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</si>
  <si>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</si>
  <si>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</si>
  <si>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</si>
  <si>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</si>
  <si>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</si>
  <si>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</si>
  <si>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</si>
  <si>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</si>
  <si>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</si>
  <si>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</si>
  <si>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</si>
  <si>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</si>
  <si>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</si>
  <si>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</si>
  <si>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</si>
  <si>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</si>
  <si>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</si>
  <si>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</si>
  <si>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</si>
  <si>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</si>
  <si>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</si>
  <si>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</si>
  <si>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</si>
  <si>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</si>
  <si>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</si>
  <si>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</si>
  <si>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</si>
  <si>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</si>
  <si>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</si>
  <si>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</si>
  <si>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</si>
  <si>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</si>
  <si>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</si>
  <si>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</si>
  <si>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</si>
  <si>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</si>
  <si>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</si>
  <si>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</si>
  <si>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</si>
  <si>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</si>
  <si>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</si>
  <si>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</si>
  <si>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</si>
  <si>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</si>
  <si>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</si>
  <si>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</si>
  <si>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</si>
  <si>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</si>
  <si>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</si>
  <si>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</si>
  <si>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</si>
  <si>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</si>
  <si>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</si>
  <si>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</si>
  <si>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</si>
  <si>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</si>
  <si>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</si>
  <si>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</si>
  <si>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</si>
  <si>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</si>
  <si>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</si>
  <si>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</si>
  <si>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</si>
  <si>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</si>
  <si>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</si>
  <si>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</si>
  <si>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</si>
  <si>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</si>
  <si>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</si>
  <si>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</si>
  <si>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</si>
  <si>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</si>
  <si>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</si>
  <si>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</si>
  <si>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</si>
  <si>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</si>
  <si>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</si>
  <si>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</si>
  <si>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</si>
  <si>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</si>
  <si>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</si>
  <si>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</si>
  <si>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</si>
  <si>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</si>
  <si>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</si>
  <si>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</si>
  <si>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</si>
  <si>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</si>
  <si>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</si>
  <si>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</si>
  <si>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</si>
  <si>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</si>
  <si>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</si>
  <si>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</si>
  <si>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</si>
  <si>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</si>
  <si>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</si>
  <si>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</si>
  <si>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</si>
  <si>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</si>
  <si>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</si>
  <si>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</si>
  <si>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</si>
  <si>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</si>
  <si>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</si>
  <si>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</si>
  <si>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</si>
  <si>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</si>
  <si>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</si>
  <si>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</si>
  <si>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</si>
  <si>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</si>
  <si>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</si>
  <si>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</si>
  <si>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</si>
  <si>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</si>
  <si>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</si>
  <si>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</si>
  <si>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</si>
  <si>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</si>
  <si>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</si>
  <si>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</si>
  <si>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</si>
  <si>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</si>
  <si>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</si>
  <si>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</si>
  <si>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</si>
  <si>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</si>
  <si>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</si>
  <si>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</si>
  <si>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</si>
  <si>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</si>
  <si>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</si>
  <si>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</si>
  <si>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</si>
  <si>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</si>
  <si>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</si>
  <si>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</si>
  <si>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</si>
  <si>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</si>
  <si>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</si>
  <si>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</si>
  <si>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</si>
  <si>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</si>
  <si>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</si>
  <si>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</si>
  <si>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</si>
  <si>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</si>
  <si>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</si>
  <si>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</si>
  <si>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</si>
  <si>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</si>
  <si>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</si>
  <si>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</si>
  <si>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</si>
  <si>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</si>
  <si>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</si>
  <si>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</si>
  <si>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</si>
  <si>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</si>
  <si>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</si>
  <si>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</si>
  <si>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</si>
  <si>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</si>
  <si>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</si>
  <si>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</si>
  <si>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</si>
  <si>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</si>
  <si>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</si>
  <si>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</si>
  <si>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</si>
  <si>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</si>
  <si>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</si>
  <si>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</si>
  <si>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</si>
  <si>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</si>
  <si>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</si>
  <si>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</si>
  <si>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</si>
  <si>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</si>
  <si>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</si>
  <si>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</si>
  <si>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</si>
  <si>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</si>
  <si>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</si>
  <si>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</si>
  <si>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</si>
  <si>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</si>
  <si>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</si>
  <si>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</si>
  <si>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</si>
  <si>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</si>
  <si>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</si>
  <si>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</si>
  <si>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</si>
  <si>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</si>
  <si>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</si>
  <si>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</si>
  <si>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</si>
  <si>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</si>
  <si>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</si>
  <si>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</si>
  <si>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</si>
  <si>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</si>
  <si>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</si>
  <si>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</si>
  <si>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</si>
  <si>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</si>
  <si>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</si>
  <si>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</si>
  <si>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</si>
  <si>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</si>
  <si>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</si>
  <si>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</si>
  <si>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</si>
  <si>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</si>
  <si>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</si>
  <si>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</si>
  <si>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</si>
  <si>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</si>
  <si>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</si>
  <si>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</si>
  <si>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</si>
  <si>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</si>
  <si>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</si>
  <si>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</si>
  <si>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</si>
  <si>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</si>
  <si>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</si>
  <si>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</si>
  <si>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</si>
  <si>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</si>
  <si>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</si>
  <si>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</si>
  <si>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</si>
  <si>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</si>
  <si>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</si>
  <si>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</si>
  <si>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</si>
  <si>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</si>
  <si>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</si>
  <si>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</si>
  <si>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</si>
  <si>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</si>
  <si>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</si>
  <si>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</si>
  <si>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</si>
  <si>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</si>
  <si>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</si>
  <si>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</si>
  <si>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</si>
  <si>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</si>
  <si>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</si>
  <si>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</si>
  <si>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</si>
  <si>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</si>
  <si>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</si>
  <si>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</si>
  <si>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</si>
  <si>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</si>
  <si>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</si>
  <si>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</si>
  <si>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</si>
  <si>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</si>
  <si>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</si>
  <si>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</si>
  <si>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</si>
  <si>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</si>
  <si>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</si>
  <si>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</si>
  <si>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</si>
  <si>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</si>
  <si>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</si>
  <si>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</si>
  <si>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</si>
  <si>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</si>
  <si>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</si>
  <si>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</si>
  <si>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</si>
  <si>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</si>
  <si>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</si>
  <si>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</si>
  <si>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</si>
  <si>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</si>
  <si>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</si>
  <si>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</si>
  <si>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</si>
  <si>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</si>
  <si>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</si>
  <si>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</si>
  <si>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</si>
  <si>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</si>
  <si>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</si>
  <si>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</si>
  <si>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</si>
  <si>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</si>
  <si>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</si>
  <si>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</si>
  <si>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</si>
  <si>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</si>
  <si>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</si>
  <si>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</si>
  <si>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</si>
  <si>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</si>
  <si>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</si>
  <si>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</si>
  <si>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</si>
  <si>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</si>
  <si>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</si>
  <si>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</si>
  <si>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</si>
  <si>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</si>
  <si>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</si>
  <si>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</si>
  <si>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</si>
  <si>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</si>
  <si>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</si>
  <si>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</si>
  <si>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</si>
  <si>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</si>
  <si>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</si>
  <si>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</si>
  <si>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</si>
  <si>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</si>
  <si>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</si>
  <si>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</si>
  <si>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</si>
  <si>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</si>
  <si>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</si>
  <si>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</si>
  <si>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</si>
  <si>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</si>
  <si>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</si>
  <si>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</si>
  <si>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</si>
  <si>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</si>
  <si>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</si>
  <si>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</si>
  <si>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</si>
  <si>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</si>
  <si>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</si>
  <si>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</si>
  <si>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</si>
  <si>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</si>
  <si>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</si>
  <si>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</si>
  <si>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</si>
  <si>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</si>
  <si>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</si>
  <si>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</si>
  <si>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</si>
  <si>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</si>
  <si>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</si>
  <si>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</si>
  <si>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</si>
  <si>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</si>
  <si>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</si>
  <si>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</si>
  <si>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</si>
  <si>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</si>
  <si>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</si>
  <si>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</si>
  <si>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</si>
  <si>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</si>
  <si>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</si>
  <si>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</si>
  <si>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</si>
  <si>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</si>
  <si>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</si>
  <si>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</si>
  <si>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</si>
  <si>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</si>
  <si>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</si>
  <si>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</si>
  <si>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</si>
  <si>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</si>
  <si>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</si>
  <si>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</si>
  <si>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</si>
  <si>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</si>
  <si>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</si>
  <si>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</si>
  <si>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</si>
  <si>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</si>
  <si>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</si>
  <si>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</si>
  <si>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</si>
  <si>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</si>
  <si>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</si>
  <si>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</si>
  <si>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</si>
  <si>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</si>
  <si>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</si>
  <si>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</si>
  <si>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</si>
  <si>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</si>
  <si>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</si>
  <si>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</si>
  <si>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</si>
  <si>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</si>
  <si>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</si>
  <si>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</si>
  <si>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</si>
  <si>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</si>
  <si>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</si>
  <si>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</si>
  <si>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</si>
  <si>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</si>
  <si>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</si>
  <si>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</si>
  <si>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</si>
  <si>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</si>
  <si>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</si>
  <si>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</si>
  <si>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</si>
  <si>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</si>
  <si>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</si>
  <si>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</si>
  <si>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</si>
  <si>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</si>
  <si>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</si>
  <si>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</si>
  <si>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</si>
  <si>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</si>
  <si>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</si>
  <si>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</si>
  <si>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</si>
  <si>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</si>
  <si>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</si>
  <si>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</si>
  <si>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</si>
  <si>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</si>
  <si>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</si>
  <si>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</si>
  <si>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</si>
  <si>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</si>
  <si>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</si>
  <si>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</si>
  <si>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</si>
  <si>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</si>
  <si>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</si>
  <si>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</si>
  <si>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</si>
  <si>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</si>
  <si>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</si>
  <si>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</si>
  <si>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</si>
  <si>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</si>
  <si>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</si>
  <si>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</si>
  <si>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</si>
  <si>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</si>
  <si>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</si>
  <si>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</si>
  <si>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</si>
  <si>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</si>
  <si>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</si>
  <si>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</si>
  <si>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</si>
  <si>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</si>
  <si>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</si>
  <si>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</si>
  <si>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</si>
  <si>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</si>
  <si>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</si>
  <si>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</si>
  <si>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</si>
  <si>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</si>
  <si>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</si>
  <si>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</si>
  <si>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</si>
  <si>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</si>
  <si>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</si>
  <si>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</si>
  <si>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</si>
  <si>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</si>
  <si>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</si>
  <si>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</si>
  <si>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</si>
  <si>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</si>
  <si>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</si>
  <si>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</si>
  <si>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</si>
  <si>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</si>
  <si>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</si>
  <si>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</si>
  <si>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</si>
  <si>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</si>
  <si>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</si>
  <si>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</si>
  <si>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</si>
  <si>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</si>
  <si>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</si>
  <si>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</si>
  <si>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</si>
  <si>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</si>
  <si>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</si>
  <si>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</si>
  <si>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</si>
  <si>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</si>
  <si>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</si>
  <si>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</si>
  <si>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</si>
  <si>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</si>
  <si>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</si>
  <si>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</si>
  <si>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</si>
  <si>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</si>
  <si>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</si>
  <si>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</si>
  <si>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</si>
  <si>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</si>
  <si>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</si>
  <si>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</si>
  <si>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</si>
  <si>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</si>
  <si>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</si>
  <si>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</si>
  <si>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</si>
  <si>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</si>
  <si>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</si>
  <si>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</si>
  <si>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</si>
  <si>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</si>
  <si>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</si>
  <si>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</si>
  <si>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</si>
  <si>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</si>
  <si>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</si>
  <si>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</si>
  <si>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</si>
  <si>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</si>
  <si>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</si>
  <si>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</si>
  <si>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</si>
  <si>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</si>
  <si>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</si>
  <si>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</si>
  <si>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</si>
  <si>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</si>
  <si>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</si>
  <si>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</si>
  <si>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</si>
  <si>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</si>
  <si>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</si>
  <si>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</si>
  <si>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</si>
  <si>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</si>
  <si>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</si>
  <si>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</si>
  <si>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</si>
  <si>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</si>
  <si>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</si>
  <si>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</si>
  <si>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</si>
  <si>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</si>
  <si>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</si>
  <si>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</si>
  <si>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</si>
  <si>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</si>
  <si>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</si>
  <si>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</si>
  <si>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</si>
  <si>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</si>
  <si>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</si>
  <si>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</si>
  <si>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</si>
  <si>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</si>
  <si>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</si>
  <si>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</si>
  <si>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</si>
  <si>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</si>
  <si>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</si>
  <si>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</si>
  <si>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</si>
  <si>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</si>
  <si>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</si>
  <si>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</si>
  <si>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</si>
  <si>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</si>
  <si>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</si>
  <si>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</si>
  <si>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</si>
  <si>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</si>
  <si>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</si>
  <si>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</si>
  <si>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</si>
  <si>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</si>
  <si>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</si>
  <si>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</si>
  <si>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</si>
  <si>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</si>
  <si>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</si>
  <si>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</si>
  <si>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</si>
  <si>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</si>
  <si>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</si>
  <si>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</si>
  <si>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</si>
  <si>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</si>
  <si>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</si>
  <si>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</si>
  <si>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</si>
  <si>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</si>
  <si>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</si>
  <si>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</si>
  <si>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</si>
  <si>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</si>
  <si>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</si>
  <si>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</si>
  <si>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</si>
  <si>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</si>
  <si>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</si>
  <si>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</si>
  <si>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</si>
  <si>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</si>
  <si>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</si>
  <si>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</si>
  <si>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</si>
  <si>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</si>
  <si>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</si>
  <si>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</si>
  <si>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</si>
  <si>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</si>
  <si>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</si>
  <si>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</si>
  <si>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</si>
  <si>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</si>
  <si>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</si>
  <si>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</si>
  <si>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</si>
  <si>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</si>
  <si>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</si>
  <si>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</si>
  <si>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</si>
  <si>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</si>
  <si>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</si>
  <si>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</si>
  <si>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</si>
  <si>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</si>
  <si>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</si>
  <si>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</si>
  <si>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</si>
  <si>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</si>
  <si>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</si>
  <si>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</si>
  <si>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</si>
  <si>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</si>
  <si>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</si>
  <si>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</si>
  <si>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</si>
  <si>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</si>
  <si>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</si>
  <si>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</si>
  <si>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</si>
  <si>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</si>
  <si>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</si>
  <si>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</si>
  <si>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</si>
  <si>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</si>
  <si>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</si>
  <si>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</si>
  <si>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</si>
  <si>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</si>
  <si>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</si>
  <si>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</si>
  <si>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</si>
  <si>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</si>
  <si>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</si>
  <si>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</si>
  <si>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</si>
  <si>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</si>
  <si>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</si>
  <si>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</si>
  <si>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</si>
  <si>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</si>
  <si>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</si>
  <si>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</si>
  <si>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</si>
  <si>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</si>
  <si>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</si>
  <si>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</si>
  <si>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</si>
  <si>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</si>
  <si>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</si>
  <si>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</si>
  <si>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</si>
  <si>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</si>
  <si>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</si>
  <si>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</si>
  <si>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</si>
  <si>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</si>
  <si>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</si>
  <si>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</si>
  <si>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</si>
  <si>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</si>
  <si>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</si>
  <si>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</si>
  <si>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</si>
  <si>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</si>
  <si>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</si>
  <si>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</si>
  <si>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</si>
  <si>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</si>
  <si>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</si>
  <si>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</si>
  <si>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</si>
  <si>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</si>
  <si>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</si>
  <si>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</si>
  <si>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</si>
  <si>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</si>
  <si>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</si>
  <si>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</si>
  <si>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</si>
  <si>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</si>
  <si>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</si>
  <si>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</si>
  <si>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</si>
  <si>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</si>
  <si>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</si>
  <si>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</si>
  <si>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</si>
  <si>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</si>
  <si>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</si>
  <si>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</si>
  <si>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</si>
  <si>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</si>
  <si>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</si>
  <si>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</si>
  <si>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</si>
  <si>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</si>
  <si>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</si>
  <si>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</si>
  <si>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</si>
  <si>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</si>
  <si>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</si>
  <si>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</si>
  <si>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</si>
  <si>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</si>
  <si>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</si>
  <si>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</si>
  <si>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</si>
  <si>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</si>
  <si>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</si>
  <si>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</si>
  <si>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</si>
  <si>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</si>
  <si>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</si>
  <si>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</si>
  <si>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</si>
  <si>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</si>
  <si>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</si>
  <si>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</si>
  <si>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</si>
  <si>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</si>
  <si>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</si>
  <si>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</si>
  <si>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</si>
  <si>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</si>
  <si>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</si>
  <si>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</si>
  <si>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</si>
  <si>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</si>
  <si>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</si>
  <si>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</si>
  <si>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</si>
  <si>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</si>
  <si>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</si>
  <si>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</si>
  <si>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</si>
  <si>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</si>
  <si>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</si>
  <si>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</si>
  <si>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</si>
  <si>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</si>
  <si>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</si>
  <si>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</si>
  <si>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</si>
  <si>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</si>
  <si>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</si>
  <si>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</si>
  <si>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</si>
  <si>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</si>
  <si>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</si>
  <si>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</si>
  <si>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</si>
  <si>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</si>
  <si>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</si>
  <si>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</si>
  <si>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</si>
  <si>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</si>
  <si>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</si>
  <si>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</si>
  <si>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</si>
  <si>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</si>
  <si>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</si>
  <si>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</si>
  <si>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</si>
  <si>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</si>
  <si>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</si>
  <si>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</si>
  <si>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</si>
  <si>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</si>
  <si>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</si>
  <si>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</si>
  <si>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</si>
  <si>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</si>
  <si>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</si>
  <si>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</si>
  <si>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</si>
  <si>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</si>
  <si>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</si>
  <si>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</si>
  <si>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</si>
  <si>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</si>
  <si>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</si>
  <si>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</si>
  <si>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</si>
  <si>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</si>
  <si>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</si>
  <si>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</si>
  <si>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</si>
  <si>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</si>
  <si>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</si>
  <si>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</si>
  <si>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</si>
  <si>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</si>
  <si>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</si>
  <si>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</si>
  <si>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</si>
  <si>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</si>
  <si>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</si>
  <si>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</si>
  <si>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</si>
  <si>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</si>
  <si>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</si>
  <si>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</si>
  <si>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</si>
  <si>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</si>
  <si>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</si>
  <si>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</si>
  <si>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</si>
  <si>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</si>
  <si>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</si>
  <si>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</si>
  <si>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</si>
  <si>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</si>
  <si>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</si>
  <si>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</si>
  <si>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</si>
  <si>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</si>
  <si>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</si>
  <si>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</si>
  <si>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</si>
  <si>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</si>
  <si>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</si>
  <si>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</si>
  <si>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</si>
  <si>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</si>
  <si>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</si>
  <si>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</si>
  <si>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</si>
  <si>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</si>
  <si>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</si>
  <si>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</si>
  <si>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</si>
  <si>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</si>
  <si>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</si>
  <si>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</si>
  <si>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</si>
  <si>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</si>
  <si>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</si>
  <si>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</si>
  <si>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</si>
  <si>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</si>
  <si>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</si>
  <si>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</si>
  <si>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</si>
  <si>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</si>
  <si>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</si>
  <si>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</si>
  <si>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</si>
  <si>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</si>
  <si>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</si>
  <si>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</si>
  <si>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</si>
  <si>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</si>
  <si>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</si>
  <si>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</si>
  <si>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</si>
  <si>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</si>
  <si>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</si>
  <si>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</si>
  <si>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</si>
  <si>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</si>
  <si>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</si>
  <si>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</si>
  <si>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</si>
  <si>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</si>
  <si>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</si>
  <si>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</si>
  <si>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</si>
  <si>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</si>
  <si>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</si>
  <si>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</si>
  <si>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</si>
  <si>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</si>
  <si>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</si>
  <si>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</si>
  <si>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</si>
  <si>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</si>
  <si>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</si>
  <si>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</si>
  <si>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</si>
  <si>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</si>
  <si>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</si>
  <si>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</si>
  <si>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</si>
  <si>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</si>
  <si>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</si>
  <si>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</si>
  <si>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</si>
  <si>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</si>
  <si>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</si>
  <si>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</si>
  <si>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</si>
  <si>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</si>
  <si>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</si>
  <si>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</si>
  <si>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</si>
  <si>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</si>
  <si>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</si>
  <si>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</si>
  <si>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</si>
  <si>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</si>
  <si>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</si>
  <si>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</si>
  <si>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</si>
  <si>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</si>
  <si>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</si>
  <si>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</si>
  <si>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</si>
  <si>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</si>
  <si>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</si>
  <si>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</si>
  <si>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</si>
  <si>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</si>
  <si>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</si>
  <si>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</si>
  <si>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</si>
  <si>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</si>
  <si>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</si>
  <si>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</si>
  <si>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</si>
  <si>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</si>
  <si>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</si>
  <si>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</si>
  <si>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</si>
  <si>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</si>
  <si>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</si>
  <si>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</si>
  <si>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</si>
  <si>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</si>
  <si>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</si>
  <si>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</si>
  <si>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</si>
  <si>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</si>
  <si>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</si>
  <si>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</si>
  <si>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</si>
  <si>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</si>
  <si>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</si>
  <si>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</si>
  <si>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</si>
  <si>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</si>
  <si>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</si>
  <si>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</si>
  <si>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</si>
  <si>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</si>
  <si>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</si>
  <si>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</si>
  <si>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</si>
  <si>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</si>
  <si>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</si>
  <si>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</si>
  <si>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</si>
  <si>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</si>
  <si>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</si>
  <si>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</si>
  <si>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</si>
  <si>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</si>
  <si>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</si>
  <si>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</si>
  <si>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</si>
  <si>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</si>
  <si>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</si>
  <si>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</si>
  <si>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</si>
  <si>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</si>
  <si>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</si>
  <si>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</si>
  <si>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</si>
  <si>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</si>
  <si>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Russell Leigh &amp; Associates</t>
  </si>
  <si>
    <t>Hoopeston</t>
  </si>
  <si>
    <t>IL</t>
  </si>
  <si>
    <t>217-283-9336</t>
  </si>
  <si>
    <t>217-283-9736</t>
  </si>
  <si>
    <t>addredmin@russleigh.comss:</t>
  </si>
  <si>
    <t xml:space="preserve"> X</t>
  </si>
  <si>
    <t>Kankakee</t>
  </si>
  <si>
    <t>233 St Louis Ave</t>
  </si>
  <si>
    <t>St Anne</t>
  </si>
  <si>
    <t>Charles Stegall</t>
  </si>
  <si>
    <t>815-422-5022</t>
  </si>
  <si>
    <t>815-422-5023</t>
  </si>
  <si>
    <t>St Anne Comm HS Dist #302</t>
  </si>
  <si>
    <t xml:space="preserve"> x</t>
  </si>
  <si>
    <t>Kankakee Area Special Education Co-op</t>
  </si>
  <si>
    <t>Russ Leigh</t>
  </si>
  <si>
    <t>228 E Main St</t>
  </si>
  <si>
    <t>065-018319</t>
  </si>
  <si>
    <t>None</t>
  </si>
  <si>
    <t>40-2550-300</t>
  </si>
  <si>
    <t>Cardinal Bus Line Inc</t>
  </si>
  <si>
    <t>Special Ed Transportation</t>
  </si>
  <si>
    <t>St Anne CCSD 256</t>
  </si>
  <si>
    <t>40-4000-300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</si>
</sst>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1420091</xdr:colOff>
          <xdr:row>3</xdr:row>
          <xdr:rowOff>51955</xdr:rowOff>
        </xdr:from>
        <xdr:to>
          <xdr:col>1</xdr:col>
          <xdr:colOff>2322368</xdr:colOff>
          <xdr:row>7</xdr:row>
          <xdr:rowOff>49357</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t="s">
        <v>2084</v>
      </c>
      <c r="C5" s="26" t="s">
        <v>966</v>
      </c>
      <c r="D5" s="84"/>
      <c r="E5" s="84"/>
      <c r="H5" s="38"/>
      <c r="I5" s="2045" t="s">
        <v>701</v>
      </c>
      <c r="J5" s="1990"/>
      <c r="K5" s="1990"/>
      <c r="L5" s="1990"/>
      <c r="M5" s="1990"/>
      <c r="N5" s="1990"/>
      <c r="O5" s="1990"/>
      <c r="P5" s="1990"/>
      <c r="Q5" s="1990"/>
      <c r="R5" s="1990"/>
      <c r="S5" s="1990"/>
    </row>
    <row r="6" spans="1:28" ht="14.1" customHeight="1" x14ac:dyDescent="0.2">
      <c r="B6" s="104"/>
      <c r="C6" s="26" t="s">
        <v>967</v>
      </c>
      <c r="D6" s="84"/>
      <c r="E6" s="84"/>
      <c r="I6" s="2044" t="s">
        <v>938</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x14ac:dyDescent="0.2">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1012</v>
      </c>
      <c r="B11" s="1999"/>
      <c r="C11" s="1999"/>
      <c r="D11" s="1999"/>
      <c r="E11" s="1999"/>
      <c r="F11" s="1999"/>
      <c r="G11" s="1999"/>
      <c r="H11" s="2000"/>
      <c r="I11" s="27"/>
      <c r="J11" s="74"/>
      <c r="K11" s="27"/>
      <c r="O11" s="148" t="s">
        <v>2077</v>
      </c>
      <c r="P11" s="100" t="s">
        <v>210</v>
      </c>
      <c r="Q11" s="30"/>
      <c r="R11" s="28"/>
      <c r="S11" s="27"/>
      <c r="T11" s="1992"/>
      <c r="U11" s="1993"/>
      <c r="V11" s="1993"/>
      <c r="W11" s="1993"/>
      <c r="X11" s="1993"/>
      <c r="Y11" s="1993"/>
      <c r="Z11" s="1993"/>
      <c r="AA11" s="199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6">
        <v>32046256004</v>
      </c>
      <c r="B13" s="2007"/>
      <c r="C13" s="2007"/>
      <c r="D13" s="2007"/>
      <c r="E13" s="2007"/>
      <c r="F13" s="2007"/>
      <c r="G13" s="2007"/>
      <c r="H13" s="2008"/>
      <c r="I13" s="31"/>
      <c r="J13" s="30"/>
      <c r="K13" s="28"/>
      <c r="L13" s="30"/>
      <c r="M13" s="30"/>
      <c r="N13" s="30"/>
      <c r="O13" s="30"/>
      <c r="P13" s="30"/>
      <c r="Q13" s="30"/>
      <c r="R13" s="30"/>
      <c r="S13" s="30"/>
      <c r="T13" s="2011" t="s">
        <v>2078</v>
      </c>
      <c r="U13" s="2012"/>
      <c r="V13" s="2012"/>
      <c r="W13" s="2012"/>
      <c r="X13" s="2012"/>
      <c r="Y13" s="2013"/>
      <c r="Z13" s="2013"/>
      <c r="AA13" s="201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4" t="s">
        <v>2085</v>
      </c>
      <c r="B15" s="2009"/>
      <c r="C15" s="2009"/>
      <c r="D15" s="2009"/>
      <c r="E15" s="2009"/>
      <c r="F15" s="2009"/>
      <c r="G15" s="2009"/>
      <c r="H15" s="2010"/>
      <c r="T15" s="1972" t="s">
        <v>2094</v>
      </c>
      <c r="U15" s="1973"/>
      <c r="V15" s="1973"/>
      <c r="W15" s="1973"/>
      <c r="X15" s="1973"/>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2101</v>
      </c>
      <c r="B17" s="2034"/>
      <c r="C17" s="2034"/>
      <c r="D17" s="2034"/>
      <c r="E17" s="2034"/>
      <c r="F17" s="2034"/>
      <c r="G17" s="2034"/>
      <c r="H17" s="2035"/>
      <c r="T17" s="2021" t="s">
        <v>2095</v>
      </c>
      <c r="U17" s="2022"/>
      <c r="V17" s="2022"/>
      <c r="W17" s="2022"/>
      <c r="X17" s="2022"/>
      <c r="Y17" s="2022"/>
      <c r="Z17" s="2022"/>
      <c r="AA17" s="2023"/>
    </row>
    <row r="18" spans="1:27" ht="13.5" customHeight="1" x14ac:dyDescent="0.2">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9" t="s">
        <v>698</v>
      </c>
      <c r="AA18" s="46"/>
    </row>
    <row r="19" spans="1:27" ht="13.5" customHeight="1" x14ac:dyDescent="0.2">
      <c r="A19" s="2004" t="s">
        <v>2086</v>
      </c>
      <c r="B19" s="2005"/>
      <c r="C19" s="2005"/>
      <c r="D19" s="2005"/>
      <c r="E19" s="2005"/>
      <c r="F19" s="2005"/>
      <c r="G19" s="2005"/>
      <c r="H19" s="2003"/>
      <c r="I19" s="30"/>
      <c r="J19" s="99"/>
      <c r="K19" s="40"/>
      <c r="L19" s="38"/>
      <c r="M19" s="112" t="s">
        <v>333</v>
      </c>
      <c r="P19" s="27"/>
      <c r="Q19" s="27"/>
      <c r="R19" s="27"/>
      <c r="S19" s="31"/>
      <c r="T19" s="2004" t="s">
        <v>2079</v>
      </c>
      <c r="U19" s="2002"/>
      <c r="V19" s="2002"/>
      <c r="W19" s="2003"/>
      <c r="X19" s="2019" t="s">
        <v>2080</v>
      </c>
      <c r="Y19" s="2020"/>
      <c r="Z19" s="2017">
        <v>60942</v>
      </c>
      <c r="AA19" s="201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1" t="s">
        <v>2087</v>
      </c>
      <c r="B21" s="2002"/>
      <c r="C21" s="2002"/>
      <c r="D21" s="2002"/>
      <c r="E21" s="2002"/>
      <c r="F21" s="2002"/>
      <c r="G21" s="2002"/>
      <c r="H21" s="2003"/>
      <c r="I21" s="2027" t="s">
        <v>699</v>
      </c>
      <c r="J21" s="1990"/>
      <c r="K21" s="1990"/>
      <c r="L21" s="1990"/>
      <c r="M21" s="1990"/>
      <c r="N21" s="1990"/>
      <c r="O21" s="1990"/>
      <c r="P21" s="1990"/>
      <c r="Q21" s="1990"/>
      <c r="R21" s="1990"/>
      <c r="S21" s="1991"/>
      <c r="T21" s="1969" t="s">
        <v>2081</v>
      </c>
      <c r="U21" s="1970"/>
      <c r="V21" s="1970"/>
      <c r="W21" s="1970"/>
      <c r="X21" s="1983" t="s">
        <v>2082</v>
      </c>
      <c r="Y21" s="1984"/>
      <c r="Z21" s="1984"/>
      <c r="AA21" s="1985"/>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4"/>
      <c r="B23" s="2025"/>
      <c r="C23" s="2025"/>
      <c r="D23" s="2025"/>
      <c r="E23" s="2025"/>
      <c r="F23" s="2025"/>
      <c r="G23" s="2025"/>
      <c r="H23" s="2026"/>
      <c r="T23" s="1964" t="s">
        <v>2096</v>
      </c>
      <c r="U23" s="1965"/>
      <c r="V23" s="1965"/>
      <c r="W23" s="1965"/>
      <c r="X23" s="1980">
        <v>44469</v>
      </c>
      <c r="Y23" s="1981"/>
      <c r="Z23" s="1981"/>
      <c r="AA23" s="1982"/>
    </row>
    <row r="24" spans="1:27" ht="14.1" customHeight="1" x14ac:dyDescent="0.2">
      <c r="A24" s="88" t="s">
        <v>698</v>
      </c>
      <c r="B24" s="49"/>
      <c r="C24" s="49"/>
      <c r="D24" s="49"/>
      <c r="E24" s="49"/>
      <c r="F24" s="49"/>
      <c r="G24" s="49"/>
      <c r="H24" s="61"/>
      <c r="J24" s="2066" t="str">
        <f>IF(B5="x",IF(AUDITCHECK!D29="AFR form Incomplete.","",IF(AUDITCHECK!D29="Deficit reduction plan is required.","School District must complete a deficit reduction plan in the 2018-2019 Budget",)),"")</f>
        <v/>
      </c>
      <c r="K24" s="2066"/>
      <c r="L24" s="2066"/>
      <c r="M24" s="2066"/>
      <c r="N24" s="2066"/>
      <c r="O24" s="2066"/>
      <c r="P24" s="2066"/>
      <c r="Q24" s="2066"/>
      <c r="R24" s="2066"/>
      <c r="S24" s="2067"/>
      <c r="T24" s="105" t="s">
        <v>552</v>
      </c>
      <c r="U24" s="106"/>
      <c r="V24" s="106"/>
      <c r="W24" s="106"/>
      <c r="X24" s="107"/>
      <c r="Y24" s="107"/>
      <c r="Z24" s="107"/>
      <c r="AA24" s="108"/>
    </row>
    <row r="25" spans="1:27" ht="14.1" customHeight="1" x14ac:dyDescent="0.2">
      <c r="A25" s="2001">
        <v>60964</v>
      </c>
      <c r="B25" s="2002"/>
      <c r="C25" s="2002"/>
      <c r="D25" s="2002"/>
      <c r="E25" s="2002"/>
      <c r="F25" s="2002"/>
      <c r="G25" s="2002"/>
      <c r="H25" s="2003"/>
      <c r="I25" s="113"/>
      <c r="J25" s="2068"/>
      <c r="K25" s="2068"/>
      <c r="L25" s="2068"/>
      <c r="M25" s="2068"/>
      <c r="N25" s="2068"/>
      <c r="O25" s="2068"/>
      <c r="P25" s="2068"/>
      <c r="Q25" s="2068"/>
      <c r="R25" s="2068"/>
      <c r="S25" s="2069"/>
      <c r="T25" s="1961" t="s">
        <v>2083</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9" t="s">
        <v>1591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4" t="s">
        <v>2088</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t="s">
        <v>2089</v>
      </c>
      <c r="B42" s="2051"/>
      <c r="C42" s="2052"/>
      <c r="D42" s="2065" t="s">
        <v>2090</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1"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2078</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t="s">
        <v>2078</v>
      </c>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47835571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1.9900000000000001E-2</v>
      </c>
      <c r="E10" s="356" t="s">
        <v>1062</v>
      </c>
      <c r="F10" s="355">
        <v>2.5000000000000001E-3</v>
      </c>
      <c r="G10" s="356" t="s">
        <v>1062</v>
      </c>
      <c r="H10" s="355">
        <v>1.1999999999999999E-3</v>
      </c>
      <c r="I10" s="356" t="s">
        <v>1063</v>
      </c>
      <c r="J10" s="1754">
        <f>ROUND(D10+F10+H10,5)</f>
        <v>2.3599999999999999E-2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3294763</v>
      </c>
      <c r="E16" s="356"/>
      <c r="F16" s="1755">
        <f>SUM('Acct Summary 7-8'!C17,'Acct Summary 7-8'!D17,'Acct Summary 7-8'!F17)</f>
        <v>3344177</v>
      </c>
      <c r="G16" s="356"/>
      <c r="H16" s="1755">
        <f>SUM(D16-F16)</f>
        <v>-49414</v>
      </c>
      <c r="I16" s="222"/>
      <c r="J16" s="1755">
        <f>SUM('Acct Summary 7-8'!C81,'Acct Summary 7-8'!D81,'Acct Summary 7-8'!F81,'Acct Summary 7-8'!I81)</f>
        <v>1674448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3300654.3990000002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622900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 Anne CCSD 256</v>
      </c>
      <c r="E7" s="391"/>
      <c r="G7" s="252"/>
      <c r="H7" s="387"/>
      <c r="I7" s="387"/>
      <c r="J7" s="387"/>
      <c r="K7" s="387"/>
      <c r="L7" s="329"/>
      <c r="M7" s="329"/>
      <c r="N7" s="329"/>
      <c r="O7" s="329"/>
      <c r="P7" s="329"/>
    </row>
    <row r="8" spans="1:18" ht="12.75" x14ac:dyDescent="0.2">
      <c r="A8" s="329"/>
      <c r="B8" s="329"/>
      <c r="C8" s="389" t="s">
        <v>1187</v>
      </c>
      <c r="D8" s="392">
        <f>COVER!A13</f>
        <v>32046256004</v>
      </c>
      <c r="E8" s="393"/>
      <c r="G8" s="329"/>
      <c r="H8" s="329"/>
      <c r="I8" s="329"/>
      <c r="J8" s="329"/>
      <c r="K8" s="329"/>
      <c r="L8" s="329"/>
      <c r="M8" s="329"/>
      <c r="N8" s="329"/>
      <c r="O8" s="329"/>
      <c r="P8" s="329"/>
    </row>
    <row r="9" spans="1:18" ht="12.75" x14ac:dyDescent="0.2">
      <c r="A9" s="329"/>
      <c r="B9" s="329"/>
      <c r="C9" s="389" t="s">
        <v>737</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1674448</v>
      </c>
      <c r="I12" s="404"/>
      <c r="J12" s="404"/>
      <c r="K12" s="405">
        <f>TRUNC((H12/H13*100000),5)/100000</f>
        <v>0.50821500659999996</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3294763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3344177</v>
      </c>
      <c r="I17" s="404"/>
      <c r="J17" s="416"/>
      <c r="K17" s="405">
        <f>TRUNC((H17/H18*100000),5)/100000</f>
        <v>1.0149977402999999</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3294763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27.2184341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1674448</v>
      </c>
      <c r="I24" s="422"/>
      <c r="J24" s="422"/>
      <c r="K24" s="423">
        <f>TRUNC(((H24/H25*100000)/100000),2)</f>
        <v>180.25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9289.3805599999996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959581.55426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622900</v>
      </c>
      <c r="I32" s="420"/>
      <c r="J32" s="420"/>
      <c r="K32" s="423">
        <f>TRUNC(100-((((H32/H33*100))*100)/100),2)</f>
        <v>81.12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3300654.3990000002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521726</v>
      </c>
      <c r="D4" s="466">
        <v>21866</v>
      </c>
      <c r="E4" s="466">
        <v>1268</v>
      </c>
      <c r="F4" s="466">
        <v>0</v>
      </c>
      <c r="G4" s="466">
        <v>22624</v>
      </c>
      <c r="H4" s="466">
        <v>0</v>
      </c>
      <c r="I4" s="466">
        <v>45856</v>
      </c>
      <c r="J4" s="467">
        <v>55740</v>
      </c>
      <c r="K4" s="466">
        <v>13398</v>
      </c>
      <c r="L4" s="466">
        <v>8546</v>
      </c>
      <c r="M4" s="468"/>
      <c r="N4" s="469"/>
    </row>
    <row r="5" spans="1:14" x14ac:dyDescent="0.2">
      <c r="A5" s="463" t="s">
        <v>1049</v>
      </c>
      <c r="B5" s="470">
        <v>120</v>
      </c>
      <c r="C5" s="465">
        <v>240000</v>
      </c>
      <c r="D5" s="466">
        <v>45000</v>
      </c>
      <c r="E5" s="466"/>
      <c r="F5" s="466"/>
      <c r="G5" s="466">
        <v>50000</v>
      </c>
      <c r="H5" s="466"/>
      <c r="I5" s="466">
        <v>800000</v>
      </c>
      <c r="J5" s="467">
        <v>150000</v>
      </c>
      <c r="K5" s="471">
        <v>60000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761726</v>
      </c>
      <c r="D13" s="1759">
        <f t="shared" ref="D13:L13" si="0">SUM(D4:D12)</f>
        <v>66866</v>
      </c>
      <c r="E13" s="1759">
        <f t="shared" si="0"/>
        <v>1268</v>
      </c>
      <c r="F13" s="1759">
        <f t="shared" si="0"/>
        <v>0</v>
      </c>
      <c r="G13" s="1759">
        <f t="shared" si="0"/>
        <v>72624</v>
      </c>
      <c r="H13" s="1759">
        <f t="shared" si="0"/>
        <v>0</v>
      </c>
      <c r="I13" s="1759">
        <f t="shared" si="0"/>
        <v>845856</v>
      </c>
      <c r="J13" s="1759">
        <f t="shared" si="0"/>
        <v>205740</v>
      </c>
      <c r="K13" s="1759">
        <f t="shared" si="0"/>
        <v>73398</v>
      </c>
      <c r="L13" s="1759">
        <f t="shared" si="0"/>
        <v>8546</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38285</v>
      </c>
      <c r="N16" s="484"/>
    </row>
    <row r="17" spans="1:14" s="485" customFormat="1" ht="12.75" customHeight="1" x14ac:dyDescent="0.2">
      <c r="A17" s="482" t="s">
        <v>1470</v>
      </c>
      <c r="B17" s="483">
        <v>230</v>
      </c>
      <c r="C17" s="477"/>
      <c r="D17" s="477"/>
      <c r="E17" s="477"/>
      <c r="F17" s="477"/>
      <c r="G17" s="477"/>
      <c r="H17" s="477"/>
      <c r="I17" s="477"/>
      <c r="J17" s="477"/>
      <c r="K17" s="477"/>
      <c r="L17" s="477"/>
      <c r="M17" s="467">
        <v>2376547</v>
      </c>
      <c r="N17" s="484"/>
    </row>
    <row r="18" spans="1:14" s="485" customFormat="1" ht="12.75" customHeight="1" x14ac:dyDescent="0.2">
      <c r="A18" s="482" t="s">
        <v>1471</v>
      </c>
      <c r="B18" s="483">
        <v>240</v>
      </c>
      <c r="C18" s="477"/>
      <c r="D18" s="477"/>
      <c r="E18" s="477"/>
      <c r="F18" s="477"/>
      <c r="G18" s="477"/>
      <c r="H18" s="477"/>
      <c r="I18" s="477"/>
      <c r="J18" s="477"/>
      <c r="K18" s="477"/>
      <c r="L18" s="477"/>
      <c r="M18" s="467">
        <v>23750</v>
      </c>
      <c r="N18" s="484"/>
    </row>
    <row r="19" spans="1:14" s="485" customFormat="1" ht="12.75" customHeight="1" x14ac:dyDescent="0.2">
      <c r="A19" s="482" t="s">
        <v>1472</v>
      </c>
      <c r="B19" s="483">
        <v>250</v>
      </c>
      <c r="C19" s="477"/>
      <c r="D19" s="477"/>
      <c r="E19" s="477"/>
      <c r="F19" s="477"/>
      <c r="G19" s="477"/>
      <c r="H19" s="477"/>
      <c r="I19" s="477"/>
      <c r="J19" s="477"/>
      <c r="K19" s="477"/>
      <c r="L19" s="477"/>
      <c r="M19" s="467">
        <v>1237529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1268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621632</v>
      </c>
    </row>
    <row r="23" spans="1:14" ht="13.5" customHeight="1" thickBot="1" x14ac:dyDescent="0.25">
      <c r="A23" s="1758" t="s">
        <v>664</v>
      </c>
      <c r="B23" s="1763"/>
      <c r="C23" s="468"/>
      <c r="D23" s="468"/>
      <c r="E23" s="468"/>
      <c r="F23" s="468"/>
      <c r="G23" s="468"/>
      <c r="H23" s="468"/>
      <c r="I23" s="468"/>
      <c r="J23" s="468"/>
      <c r="K23" s="468"/>
      <c r="L23" s="468"/>
      <c r="M23" s="1710">
        <f>SUM(M15:M22)</f>
        <v>3676111</v>
      </c>
      <c r="N23" s="1710">
        <f>SUM(N21:N22)</f>
        <v>622900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8546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8546</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622900</v>
      </c>
    </row>
    <row r="37" spans="1:14" ht="13.5" thickBot="1" x14ac:dyDescent="0.25">
      <c r="A37" s="1758" t="s">
        <v>674</v>
      </c>
      <c r="B37" s="1763"/>
      <c r="C37" s="477"/>
      <c r="D37" s="477"/>
      <c r="E37" s="477"/>
      <c r="F37" s="477"/>
      <c r="G37" s="477"/>
      <c r="H37" s="477"/>
      <c r="I37" s="477"/>
      <c r="J37" s="477"/>
      <c r="K37" s="477"/>
      <c r="L37" s="480"/>
      <c r="M37" s="468"/>
      <c r="N37" s="1710">
        <f>SUM(N36:N36)</f>
        <v>622900</v>
      </c>
    </row>
    <row r="38" spans="1:14" s="329" customFormat="1" ht="13.5" customHeight="1" thickTop="1" x14ac:dyDescent="0.2">
      <c r="A38" s="496" t="s">
        <v>440</v>
      </c>
      <c r="B38" s="483">
        <v>714</v>
      </c>
      <c r="C38" s="466"/>
      <c r="D38" s="466"/>
      <c r="E38" s="466"/>
      <c r="F38" s="466"/>
      <c r="G38" s="466">
        <v>17541</v>
      </c>
      <c r="H38" s="466"/>
      <c r="I38" s="466"/>
      <c r="J38" s="467"/>
      <c r="K38" s="466"/>
      <c r="L38" s="481"/>
      <c r="M38" s="497"/>
      <c r="N38" s="497"/>
    </row>
    <row r="39" spans="1:14" s="329" customFormat="1" ht="13.5" customHeight="1" x14ac:dyDescent="0.2">
      <c r="A39" s="496" t="s">
        <v>360</v>
      </c>
      <c r="B39" s="483">
        <v>730</v>
      </c>
      <c r="C39" s="466">
        <v>761726</v>
      </c>
      <c r="D39" s="466">
        <v>66866</v>
      </c>
      <c r="E39" s="466">
        <v>1268</v>
      </c>
      <c r="F39" s="466">
        <v>0</v>
      </c>
      <c r="G39" s="466">
        <v>55083</v>
      </c>
      <c r="H39" s="466">
        <v>0</v>
      </c>
      <c r="I39" s="466">
        <v>845856</v>
      </c>
      <c r="J39" s="467">
        <v>205740</v>
      </c>
      <c r="K39" s="466">
        <v>73398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3676111</v>
      </c>
      <c r="N40" s="497"/>
    </row>
    <row r="41" spans="1:14" ht="13.5" customHeight="1" thickBot="1" x14ac:dyDescent="0.25">
      <c r="A41" s="1758" t="s">
        <v>676</v>
      </c>
      <c r="B41" s="1728"/>
      <c r="C41" s="1710">
        <f>(SUM(C34,C37,C38,C39))</f>
        <v>761726</v>
      </c>
      <c r="D41" s="1710">
        <f t="shared" ref="D41:L41" si="2">SUM(D34,D37,D38:D39)</f>
        <v>66866</v>
      </c>
      <c r="E41" s="1710">
        <f t="shared" si="2"/>
        <v>1268</v>
      </c>
      <c r="F41" s="1710">
        <f t="shared" si="2"/>
        <v>0</v>
      </c>
      <c r="G41" s="1710">
        <f t="shared" si="2"/>
        <v>72624</v>
      </c>
      <c r="H41" s="1710">
        <f t="shared" si="2"/>
        <v>0</v>
      </c>
      <c r="I41" s="1710">
        <f t="shared" si="2"/>
        <v>845856</v>
      </c>
      <c r="J41" s="1710">
        <f t="shared" si="2"/>
        <v>205740</v>
      </c>
      <c r="K41" s="1710">
        <f t="shared" si="2"/>
        <v>73398</v>
      </c>
      <c r="L41" s="1710">
        <f t="shared" si="2"/>
        <v>8546</v>
      </c>
      <c r="M41" s="1710">
        <f>SUM(M40)</f>
        <v>3676111</v>
      </c>
      <c r="N41" s="1710">
        <f>SUM(N37)</f>
        <v>622900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20" sqref="A20:B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4" t="s">
        <v>1579</v>
      </c>
      <c r="B4" s="1955">
        <v>1000</v>
      </c>
      <c r="C4" s="1764">
        <f>'Revenues 9-14'!C109</f>
        <v>1119732</v>
      </c>
      <c r="D4" s="1764">
        <f>'Revenues 9-14'!D109</f>
        <v>115753</v>
      </c>
      <c r="E4" s="1764">
        <f>'Revenues 9-14'!E109</f>
        <v>222644</v>
      </c>
      <c r="F4" s="1764">
        <f>'Revenues 9-14'!F109</f>
        <v>55304</v>
      </c>
      <c r="G4" s="1764">
        <f>'Revenues 9-14'!G109</f>
        <v>79016</v>
      </c>
      <c r="H4" s="1764">
        <f>'Revenues 9-14'!H109</f>
        <v>205</v>
      </c>
      <c r="I4" s="1764">
        <f>'Revenues 9-14'!I109</f>
        <v>26348</v>
      </c>
      <c r="J4" s="1764">
        <f>'Revenues 9-14'!J109</f>
        <v>157979</v>
      </c>
      <c r="K4" s="1764">
        <f>'Revenues 9-14'!K109</f>
        <v>23280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1393932</v>
      </c>
      <c r="D6" s="1765">
        <f>'Revenues 9-14'!D173</f>
        <v>0</v>
      </c>
      <c r="E6" s="1765">
        <f>'Revenues 9-14'!E173</f>
        <v>0</v>
      </c>
      <c r="F6" s="1765">
        <f>'Revenues 9-14'!F173</f>
        <v>264044</v>
      </c>
      <c r="G6" s="1765">
        <f>'Revenues 9-14'!G173</f>
        <v>0</v>
      </c>
      <c r="H6" s="1765">
        <f>'Revenues 9-14'!H173</f>
        <v>2620</v>
      </c>
      <c r="I6" s="1765">
        <f>'Revenues 9-14'!I173</f>
        <v>0</v>
      </c>
      <c r="J6" s="1765">
        <f>'Revenues 9-14'!J173</f>
        <v>0</v>
      </c>
      <c r="K6" s="1765">
        <f>'Revenues 9-14'!K173</f>
        <v>0</v>
      </c>
      <c r="L6" s="347"/>
      <c r="M6" s="513"/>
    </row>
    <row r="7" spans="1:13" ht="15.75" customHeight="1" x14ac:dyDescent="0.2">
      <c r="A7" s="1598" t="s">
        <v>1582</v>
      </c>
      <c r="B7" s="1600">
        <v>4000</v>
      </c>
      <c r="C7" s="1765">
        <f>'Revenues 9-14'!C274</f>
        <v>319650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2833314</v>
      </c>
      <c r="D8" s="1710">
        <f t="shared" ref="D8:K8" si="0">SUM(D4:D7)</f>
        <v>115753</v>
      </c>
      <c r="E8" s="1710">
        <f t="shared" si="0"/>
        <v>222644</v>
      </c>
      <c r="F8" s="1710">
        <f t="shared" si="0"/>
        <v>319348</v>
      </c>
      <c r="G8" s="1710">
        <f t="shared" si="0"/>
        <v>79016</v>
      </c>
      <c r="H8" s="1710">
        <f t="shared" si="0"/>
        <v>2825</v>
      </c>
      <c r="I8" s="1710">
        <f t="shared" si="0"/>
        <v>26348</v>
      </c>
      <c r="J8" s="1710">
        <f t="shared" si="0"/>
        <v>157979</v>
      </c>
      <c r="K8" s="1710">
        <f t="shared" si="0"/>
        <v>23280</v>
      </c>
      <c r="L8" s="347"/>
    </row>
    <row r="9" spans="1:13" ht="15.75" thickTop="1" x14ac:dyDescent="0.2">
      <c r="A9" s="514" t="s">
        <v>1752</v>
      </c>
      <c r="B9" s="515">
        <v>3998</v>
      </c>
      <c r="C9" s="481">
        <v>1343681</v>
      </c>
      <c r="D9" s="516"/>
      <c r="E9" s="481"/>
      <c r="F9" s="481"/>
      <c r="G9" s="517"/>
      <c r="H9" s="481"/>
      <c r="I9" s="509" t="s">
        <v>1231</v>
      </c>
      <c r="J9" s="478"/>
      <c r="K9" s="481"/>
      <c r="L9" s="347"/>
    </row>
    <row r="10" spans="1:13" s="519" customFormat="1" ht="13.5" thickBot="1" x14ac:dyDescent="0.25">
      <c r="A10" s="1758" t="s">
        <v>1235</v>
      </c>
      <c r="B10" s="1731"/>
      <c r="C10" s="1710">
        <f>SUM(C8:C9)</f>
        <v>4176995</v>
      </c>
      <c r="D10" s="1710">
        <f t="shared" ref="D10:K10" si="1">SUM(D8:D9)</f>
        <v>115753</v>
      </c>
      <c r="E10" s="1710">
        <f t="shared" si="1"/>
        <v>222644</v>
      </c>
      <c r="F10" s="1710">
        <f t="shared" si="1"/>
        <v>319348</v>
      </c>
      <c r="G10" s="1710">
        <f t="shared" si="1"/>
        <v>79016</v>
      </c>
      <c r="H10" s="1710">
        <f t="shared" si="1"/>
        <v>2825</v>
      </c>
      <c r="I10" s="1710">
        <f t="shared" si="1"/>
        <v>26348</v>
      </c>
      <c r="J10" s="1710">
        <f t="shared" si="1"/>
        <v>157979</v>
      </c>
      <c r="K10" s="1710">
        <f t="shared" si="1"/>
        <v>23280</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4">
        <f>'Expenditures 15-22'!K33</f>
        <v>1960094</v>
      </c>
      <c r="D12" s="520" t="s">
        <v>1231</v>
      </c>
      <c r="E12" s="468" t="s">
        <v>1231</v>
      </c>
      <c r="F12" s="468" t="s">
        <v>1231</v>
      </c>
      <c r="G12" s="1764">
        <f>'Expenditures 15-22'!K229</f>
        <v>26084</v>
      </c>
      <c r="H12" s="521"/>
      <c r="I12" s="468" t="s">
        <v>1231</v>
      </c>
      <c r="J12" s="468" t="s">
        <v>1231</v>
      </c>
      <c r="K12" s="521" t="s">
        <v>1231</v>
      </c>
      <c r="L12" s="347"/>
    </row>
    <row r="13" spans="1:13" ht="15.75" customHeight="1" x14ac:dyDescent="0.2">
      <c r="A13" s="1598" t="s">
        <v>477</v>
      </c>
      <c r="B13" s="1600">
        <v>2000</v>
      </c>
      <c r="C13" s="1765">
        <f>'Expenditures 15-22'!K74</f>
        <v>814756</v>
      </c>
      <c r="D13" s="1765">
        <f>'Expenditures 15-22'!K129</f>
        <v>98431</v>
      </c>
      <c r="E13" s="469" t="s">
        <v>1231</v>
      </c>
      <c r="F13" s="1765">
        <f>'Expenditures 15-22'!K184</f>
        <v>223586</v>
      </c>
      <c r="G13" s="1765">
        <f>'Expenditures 15-22'!K279</f>
        <v>49914</v>
      </c>
      <c r="H13" s="1765">
        <f>'Expenditures 15-22'!K303</f>
        <v>54180</v>
      </c>
      <c r="I13" s="468" t="s">
        <v>1231</v>
      </c>
      <c r="J13" s="1765">
        <f>'Expenditures 15-22'!K330</f>
        <v>84800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151547</v>
      </c>
      <c r="D15" s="1765">
        <f>'Expenditures 15-22'!K139</f>
        <v>0</v>
      </c>
      <c r="E15" s="1765">
        <f>'Expenditures 15-22'!K160</f>
        <v>0</v>
      </c>
      <c r="F15" s="1765">
        <f>'Expenditures 15-22'!K196</f>
        <v>95763</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223179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2926397</v>
      </c>
      <c r="D17" s="1710">
        <f t="shared" si="2"/>
        <v>98431</v>
      </c>
      <c r="E17" s="1710">
        <f t="shared" si="2"/>
        <v>223179</v>
      </c>
      <c r="F17" s="1710">
        <f t="shared" si="2"/>
        <v>319349</v>
      </c>
      <c r="G17" s="1710">
        <f t="shared" si="2"/>
        <v>75998</v>
      </c>
      <c r="H17" s="1710">
        <f t="shared" si="2"/>
        <v>54180</v>
      </c>
      <c r="I17" s="468"/>
      <c r="J17" s="1710">
        <f>SUM(J12:J16)</f>
        <v>84800</v>
      </c>
      <c r="K17" s="1710">
        <f>SUM(K12:K16)</f>
        <v>0</v>
      </c>
      <c r="L17" s="347"/>
    </row>
    <row r="18" spans="1:12" ht="15" customHeight="1" thickTop="1" x14ac:dyDescent="0.2">
      <c r="A18" s="1766" t="s">
        <v>1753</v>
      </c>
      <c r="B18" s="1767">
        <v>4180</v>
      </c>
      <c r="C18" s="1764">
        <f t="shared" ref="C18:H18" si="3">C9</f>
        <v>1343681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4270078</v>
      </c>
      <c r="D19" s="1710">
        <f t="shared" si="4"/>
        <v>98431</v>
      </c>
      <c r="E19" s="1710">
        <f t="shared" si="4"/>
        <v>223179</v>
      </c>
      <c r="F19" s="1710">
        <f t="shared" si="4"/>
        <v>319349</v>
      </c>
      <c r="G19" s="1710">
        <f t="shared" si="4"/>
        <v>75998</v>
      </c>
      <c r="H19" s="1710">
        <f t="shared" si="4"/>
        <v>54180</v>
      </c>
      <c r="I19" s="468"/>
      <c r="J19" s="1710">
        <f>SUM(J17:J18)</f>
        <v>84800</v>
      </c>
      <c r="K19" s="1710">
        <f>SUM(K17:K18)</f>
        <v>0</v>
      </c>
      <c r="L19" s="347"/>
    </row>
    <row r="20" spans="1:12" ht="16.5" thickTop="1" thickBot="1" x14ac:dyDescent="0.25">
      <c r="A20" s="2146" t="s">
        <v>1754</v>
      </c>
      <c r="B20" s="2147"/>
      <c r="C20" s="1768">
        <f>C8-C17</f>
        <v>-93083</v>
      </c>
      <c r="D20" s="1768">
        <f t="shared" ref="D20:K20" si="5">D8-D17</f>
        <v>17322</v>
      </c>
      <c r="E20" s="1768">
        <f t="shared" si="5"/>
        <v>-535</v>
      </c>
      <c r="F20" s="1768">
        <f t="shared" si="5"/>
        <v>-1</v>
      </c>
      <c r="G20" s="1768">
        <f t="shared" si="5"/>
        <v>3018</v>
      </c>
      <c r="H20" s="1768">
        <f t="shared" si="5"/>
        <v>-51355</v>
      </c>
      <c r="I20" s="1768">
        <f t="shared" si="5"/>
        <v>26348</v>
      </c>
      <c r="J20" s="1768">
        <f t="shared" si="5"/>
        <v>73179</v>
      </c>
      <c r="K20" s="1768">
        <f t="shared" si="5"/>
        <v>23280</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8" t="s">
        <v>1239</v>
      </c>
      <c r="B77" s="2139"/>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2" t="s">
        <v>618</v>
      </c>
      <c r="B78" s="2143"/>
      <c r="C78" s="1724">
        <f t="shared" ref="C78:K78" si="9">C20+C77</f>
        <v>-93083</v>
      </c>
      <c r="D78" s="1724">
        <f t="shared" si="9"/>
        <v>17322</v>
      </c>
      <c r="E78" s="1724">
        <f t="shared" si="9"/>
        <v>-535</v>
      </c>
      <c r="F78" s="1724">
        <f t="shared" si="9"/>
        <v>-1</v>
      </c>
      <c r="G78" s="1724">
        <f t="shared" si="9"/>
        <v>3018</v>
      </c>
      <c r="H78" s="1724">
        <f t="shared" si="9"/>
        <v>-51355</v>
      </c>
      <c r="I78" s="1724">
        <f t="shared" si="9"/>
        <v>26348</v>
      </c>
      <c r="J78" s="1724">
        <f t="shared" si="9"/>
        <v>73179</v>
      </c>
      <c r="K78" s="1724">
        <f t="shared" si="9"/>
        <v>23280</v>
      </c>
      <c r="L78" s="533"/>
    </row>
    <row r="79" spans="1:12" ht="13.5" thickTop="1" x14ac:dyDescent="0.2">
      <c r="A79" s="1516" t="s">
        <v>2073</v>
      </c>
      <c r="B79" s="534"/>
      <c r="C79" s="478">
        <v>854809</v>
      </c>
      <c r="D79" s="535">
        <v>49544</v>
      </c>
      <c r="E79" s="535">
        <v>1803</v>
      </c>
      <c r="F79" s="535">
        <v>1</v>
      </c>
      <c r="G79" s="535">
        <v>69606</v>
      </c>
      <c r="H79" s="535">
        <v>51355</v>
      </c>
      <c r="I79" s="535">
        <v>819508</v>
      </c>
      <c r="J79" s="535">
        <v>132561</v>
      </c>
      <c r="K79" s="535">
        <v>50118</v>
      </c>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2074</v>
      </c>
      <c r="B81" s="2141"/>
      <c r="C81" s="1710">
        <f>(SUM(C78:C80))</f>
        <v>761726</v>
      </c>
      <c r="D81" s="1710">
        <f>SUM(D78:D80)</f>
        <v>66866</v>
      </c>
      <c r="E81" s="1710">
        <f t="shared" ref="E81:K81" si="10">SUM(E78:E80)</f>
        <v>1268</v>
      </c>
      <c r="F81" s="1710">
        <f t="shared" si="10"/>
        <v>0</v>
      </c>
      <c r="G81" s="1710">
        <f t="shared" si="10"/>
        <v>72624</v>
      </c>
      <c r="H81" s="1710">
        <f t="shared" si="10"/>
        <v>0</v>
      </c>
      <c r="I81" s="1710">
        <f t="shared" si="10"/>
        <v>845856</v>
      </c>
      <c r="J81" s="1710">
        <f t="shared" si="10"/>
        <v>205740</v>
      </c>
      <c r="K81" s="1710">
        <f t="shared" si="10"/>
        <v>73398</v>
      </c>
      <c r="L81" s="347"/>
    </row>
    <row r="82" spans="1:12" ht="0.75" customHeight="1" thickTop="1" thickBot="1" x14ac:dyDescent="0.25">
      <c r="A82" s="536" t="s">
        <v>361</v>
      </c>
      <c r="B82" s="537"/>
      <c r="C82" s="538">
        <f>(C81-C79)</f>
        <v>-93083</v>
      </c>
      <c r="D82" s="538">
        <f t="shared" ref="D82:K82" si="11">(D81-D79)</f>
        <v>17322</v>
      </c>
      <c r="E82" s="538">
        <f t="shared" si="11"/>
        <v>-535</v>
      </c>
      <c r="F82" s="538">
        <f t="shared" si="11"/>
        <v>-1</v>
      </c>
      <c r="G82" s="538">
        <f t="shared" si="11"/>
        <v>3018</v>
      </c>
      <c r="H82" s="538">
        <f t="shared" si="11"/>
        <v>-51355</v>
      </c>
      <c r="I82" s="538">
        <f t="shared" si="11"/>
        <v>26348</v>
      </c>
      <c r="J82" s="538">
        <f t="shared" si="11"/>
        <v>73179</v>
      </c>
      <c r="K82" s="538">
        <f t="shared" si="11"/>
        <v>23280</v>
      </c>
    </row>
    <row r="83" spans="1:12" ht="14.25" hidden="1" thickTop="1" thickBot="1" x14ac:dyDescent="0.25">
      <c r="A83" s="539" t="s">
        <v>362</v>
      </c>
      <c r="B83" s="464"/>
      <c r="C83" s="540">
        <f>C82/C81</f>
        <v>-0.12220010870050385</v>
      </c>
      <c r="D83" s="540">
        <f t="shared" ref="D83:K83" si="12">D82/D81</f>
        <v>0.25905542428139861</v>
      </c>
      <c r="E83" s="540">
        <f t="shared" si="12"/>
        <v>-0.42192429022082018</v>
      </c>
      <c r="F83" s="540" t="e">
        <f t="shared" si="12"/>
        <v>#DIV/0!</v>
      </c>
      <c r="G83" s="540">
        <f t="shared" si="12"/>
        <v>4.1556510244547255E-2</v>
      </c>
      <c r="H83" s="540" t="e">
        <f t="shared" si="12"/>
        <v>#DIV/0!</v>
      </c>
      <c r="I83" s="540">
        <f t="shared" si="12"/>
        <v>3.114951008209435E-2</v>
      </c>
      <c r="J83" s="540">
        <f t="shared" si="12"/>
        <v>0.3556867891513561</v>
      </c>
      <c r="K83" s="540">
        <f t="shared" si="12"/>
        <v>0.31717485490067848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915664</v>
      </c>
      <c r="D5" s="481">
        <v>115033</v>
      </c>
      <c r="E5" s="466">
        <v>222219</v>
      </c>
      <c r="F5" s="548">
        <v>55215</v>
      </c>
      <c r="G5" s="466">
        <v>31882</v>
      </c>
      <c r="H5" s="466"/>
      <c r="I5" s="466">
        <v>23007</v>
      </c>
      <c r="J5" s="467">
        <v>154368</v>
      </c>
      <c r="K5" s="466">
        <v>23007</v>
      </c>
    </row>
    <row r="6" spans="1:12" ht="15" x14ac:dyDescent="0.2">
      <c r="A6" s="463" t="s">
        <v>1761</v>
      </c>
      <c r="B6" s="470">
        <v>1130</v>
      </c>
      <c r="C6" s="466">
        <v>23007</v>
      </c>
      <c r="D6" s="466"/>
      <c r="E6" s="475"/>
      <c r="F6" s="475"/>
      <c r="G6" s="468"/>
      <c r="H6" s="468"/>
      <c r="I6" s="468"/>
      <c r="J6" s="468"/>
      <c r="K6" s="468"/>
    </row>
    <row r="7" spans="1:12" x14ac:dyDescent="0.2">
      <c r="A7" s="463" t="s">
        <v>112</v>
      </c>
      <c r="B7" s="549">
        <v>1140</v>
      </c>
      <c r="C7" s="466">
        <v>9203</v>
      </c>
      <c r="D7" s="466"/>
      <c r="E7" s="468"/>
      <c r="F7" s="467"/>
      <c r="G7" s="467"/>
      <c r="H7" s="467"/>
      <c r="I7" s="468"/>
      <c r="J7" s="468"/>
      <c r="K7" s="468"/>
    </row>
    <row r="8" spans="1:12" x14ac:dyDescent="0.2">
      <c r="A8" s="463" t="s">
        <v>433</v>
      </c>
      <c r="B8" s="470">
        <v>1150</v>
      </c>
      <c r="C8" s="475"/>
      <c r="D8" s="475"/>
      <c r="E8" s="477"/>
      <c r="F8" s="477"/>
      <c r="G8" s="481">
        <v>41826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947874</v>
      </c>
      <c r="D12" s="1729">
        <f t="shared" si="0"/>
        <v>115033</v>
      </c>
      <c r="E12" s="1729">
        <f t="shared" si="0"/>
        <v>222219</v>
      </c>
      <c r="F12" s="1729">
        <f t="shared" si="0"/>
        <v>55215</v>
      </c>
      <c r="G12" s="1729">
        <f t="shared" si="0"/>
        <v>73708</v>
      </c>
      <c r="H12" s="1729">
        <f t="shared" si="0"/>
        <v>0</v>
      </c>
      <c r="I12" s="1729">
        <f t="shared" si="0"/>
        <v>23007</v>
      </c>
      <c r="J12" s="1729">
        <f t="shared" si="0"/>
        <v>154368</v>
      </c>
      <c r="K12" s="1710">
        <f t="shared" si="0"/>
        <v>23007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93461</v>
      </c>
      <c r="D16" s="466"/>
      <c r="E16" s="466"/>
      <c r="F16" s="466"/>
      <c r="G16" s="466">
        <v>4919</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93461</v>
      </c>
      <c r="D18" s="1732">
        <f t="shared" ref="D18:K18" si="1">SUM(D14:D17)</f>
        <v>0</v>
      </c>
      <c r="E18" s="1732">
        <f t="shared" si="1"/>
        <v>0</v>
      </c>
      <c r="F18" s="1732">
        <f t="shared" si="1"/>
        <v>0</v>
      </c>
      <c r="G18" s="1732">
        <f t="shared" si="1"/>
        <v>4919</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3991</v>
      </c>
      <c r="D65" s="466">
        <v>720</v>
      </c>
      <c r="E65" s="466">
        <v>425</v>
      </c>
      <c r="F65" s="467">
        <v>89</v>
      </c>
      <c r="G65" s="466">
        <v>389</v>
      </c>
      <c r="H65" s="466">
        <v>205</v>
      </c>
      <c r="I65" s="466">
        <v>3341</v>
      </c>
      <c r="J65" s="467">
        <v>899</v>
      </c>
      <c r="K65" s="466">
        <v>273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3991</v>
      </c>
      <c r="D67" s="1710">
        <f t="shared" ref="D67:K67" si="2">SUM(D65:D66)</f>
        <v>720</v>
      </c>
      <c r="E67" s="1710">
        <f t="shared" si="2"/>
        <v>425</v>
      </c>
      <c r="F67" s="1710">
        <f t="shared" si="2"/>
        <v>89</v>
      </c>
      <c r="G67" s="1710">
        <f t="shared" si="2"/>
        <v>389</v>
      </c>
      <c r="H67" s="1710">
        <f t="shared" si="2"/>
        <v>205</v>
      </c>
      <c r="I67" s="1710">
        <f t="shared" si="2"/>
        <v>3341</v>
      </c>
      <c r="J67" s="1710">
        <f t="shared" si="2"/>
        <v>899</v>
      </c>
      <c r="K67" s="1710">
        <f t="shared" si="2"/>
        <v>273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31958</v>
      </c>
      <c r="D69" s="468"/>
      <c r="E69" s="468"/>
      <c r="F69" s="468"/>
      <c r="G69" s="468"/>
      <c r="H69" s="468"/>
      <c r="I69" s="468"/>
      <c r="J69" s="468"/>
      <c r="K69" s="468"/>
    </row>
    <row r="70" spans="1:11" ht="12.75" customHeight="1" x14ac:dyDescent="0.2">
      <c r="A70" s="463" t="s">
        <v>1054</v>
      </c>
      <c r="B70" s="470">
        <v>1612</v>
      </c>
      <c r="C70" s="551">
        <v>2231</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3139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37328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6679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2053</v>
      </c>
      <c r="D81" s="466"/>
      <c r="E81" s="468"/>
      <c r="F81" s="468"/>
      <c r="G81" s="468"/>
      <c r="H81" s="468"/>
      <c r="I81" s="468"/>
      <c r="J81" s="468"/>
      <c r="K81" s="468"/>
    </row>
    <row r="82" spans="1:11" ht="12.75" customHeight="1" thickBot="1" x14ac:dyDescent="0.25">
      <c r="A82" s="1730" t="s">
        <v>259</v>
      </c>
      <c r="B82" s="1731"/>
      <c r="C82" s="1729">
        <f>SUM(C77:C81)</f>
        <v>8732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14111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v>75</v>
      </c>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14186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12500</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1660</v>
      </c>
      <c r="D107" s="466"/>
      <c r="E107" s="466"/>
      <c r="F107" s="466"/>
      <c r="G107" s="466"/>
      <c r="H107" s="466"/>
      <c r="I107" s="466"/>
      <c r="J107" s="467">
        <v>2712</v>
      </c>
      <c r="K107" s="466"/>
    </row>
    <row r="108" spans="1:12" ht="12.75" customHeight="1" thickBot="1" x14ac:dyDescent="0.25">
      <c r="A108" s="1730" t="s">
        <v>508</v>
      </c>
      <c r="B108" s="1734"/>
      <c r="C108" s="1729">
        <f>SUM(C95:C107)</f>
        <v>14160</v>
      </c>
      <c r="D108" s="1729">
        <f t="shared" ref="D108:K108" si="3">SUM(D95:D107)</f>
        <v>0</v>
      </c>
      <c r="E108" s="1729">
        <f t="shared" si="3"/>
        <v>0</v>
      </c>
      <c r="F108" s="1729">
        <f t="shared" si="3"/>
        <v>0</v>
      </c>
      <c r="G108" s="1729">
        <f t="shared" si="3"/>
        <v>0</v>
      </c>
      <c r="H108" s="1729">
        <f t="shared" si="3"/>
        <v>0</v>
      </c>
      <c r="I108" s="1729">
        <f t="shared" si="3"/>
        <v>0</v>
      </c>
      <c r="J108" s="1729">
        <f t="shared" si="3"/>
        <v>2712</v>
      </c>
      <c r="K108" s="1710">
        <f t="shared" si="3"/>
        <v>0</v>
      </c>
    </row>
    <row r="109" spans="1:12" ht="14.25" thickTop="1" thickBot="1" x14ac:dyDescent="0.25">
      <c r="A109" s="1735" t="s">
        <v>266</v>
      </c>
      <c r="B109" s="1736" t="s">
        <v>591</v>
      </c>
      <c r="C109" s="1737">
        <f t="shared" ref="C109:K109" si="4">SUM(C12,C18,C40,C63,C67,C75,C82,C93,C108,)</f>
        <v>1119732</v>
      </c>
      <c r="D109" s="1737">
        <f t="shared" si="4"/>
        <v>115753</v>
      </c>
      <c r="E109" s="1737">
        <f t="shared" si="4"/>
        <v>222644</v>
      </c>
      <c r="F109" s="1737">
        <f t="shared" si="4"/>
        <v>55304</v>
      </c>
      <c r="G109" s="1737">
        <f t="shared" si="4"/>
        <v>79016</v>
      </c>
      <c r="H109" s="1737">
        <f t="shared" si="4"/>
        <v>205</v>
      </c>
      <c r="I109" s="1737">
        <f t="shared" si="4"/>
        <v>26348</v>
      </c>
      <c r="J109" s="1737">
        <f t="shared" si="4"/>
        <v>157979</v>
      </c>
      <c r="K109" s="1724">
        <f t="shared" si="4"/>
        <v>23280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1159195</v>
      </c>
      <c r="D117" s="481"/>
      <c r="E117" s="466"/>
      <c r="F117" s="481">
        <v>50893</v>
      </c>
      <c r="G117" s="481"/>
      <c r="H117" s="466">
        <v>2620</v>
      </c>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1159195</v>
      </c>
      <c r="D121" s="1729">
        <f t="shared" si="5"/>
        <v>0</v>
      </c>
      <c r="E121" s="1729">
        <f t="shared" si="5"/>
        <v>0</v>
      </c>
      <c r="F121" s="1729">
        <f t="shared" si="5"/>
        <v>50893</v>
      </c>
      <c r="G121" s="1729">
        <f t="shared" si="5"/>
        <v>0</v>
      </c>
      <c r="H121" s="1729">
        <f t="shared" si="5"/>
        <v>2620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24731</v>
      </c>
      <c r="D124" s="561"/>
      <c r="E124" s="468"/>
      <c r="F124" s="548"/>
      <c r="G124" s="468"/>
      <c r="H124" s="468"/>
      <c r="I124" s="468"/>
      <c r="J124" s="468"/>
      <c r="K124" s="468"/>
    </row>
    <row r="125" spans="1:11" ht="12.75" customHeight="1" x14ac:dyDescent="0.2">
      <c r="A125" s="463" t="s">
        <v>1521</v>
      </c>
      <c r="B125" s="562">
        <v>3105</v>
      </c>
      <c r="C125" s="466">
        <v>22332</v>
      </c>
      <c r="D125" s="561"/>
      <c r="E125" s="468"/>
      <c r="F125" s="466"/>
      <c r="G125" s="468"/>
      <c r="H125" s="468"/>
      <c r="I125" s="468"/>
      <c r="J125" s="468"/>
      <c r="K125" s="468"/>
    </row>
    <row r="126" spans="1:11" ht="12.75" customHeight="1" x14ac:dyDescent="0.2">
      <c r="A126" s="463" t="s">
        <v>922</v>
      </c>
      <c r="B126" s="562">
        <v>3110</v>
      </c>
      <c r="C126" s="551">
        <v>34113</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337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81513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1670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62640</v>
      </c>
      <c r="G151" s="467"/>
      <c r="H151" s="468"/>
      <c r="I151" s="468"/>
      <c r="J151" s="468"/>
      <c r="K151" s="468"/>
    </row>
    <row r="152" spans="1:11" ht="12.75" customHeight="1" x14ac:dyDescent="0.2">
      <c r="A152" s="463" t="s">
        <v>1117</v>
      </c>
      <c r="B152" s="562">
        <v>3510</v>
      </c>
      <c r="C152" s="551"/>
      <c r="D152" s="466"/>
      <c r="E152" s="561"/>
      <c r="F152" s="466">
        <v>150511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213151</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146555</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4999</v>
      </c>
      <c r="D171" s="580"/>
      <c r="E171" s="580"/>
      <c r="F171" s="580"/>
      <c r="G171" s="581"/>
      <c r="H171" s="582"/>
      <c r="I171" s="581"/>
      <c r="J171" s="581"/>
      <c r="K171" s="582"/>
    </row>
    <row r="172" spans="1:11" ht="12.75" customHeight="1" thickTop="1" thickBot="1" x14ac:dyDescent="0.25">
      <c r="A172" s="2164" t="s">
        <v>418</v>
      </c>
      <c r="B172" s="2165"/>
      <c r="C172" s="1744">
        <f t="shared" ref="C172:K172" si="6">SUM(C131,C140,C144,C145:C149,C154,C155:C170,C171)</f>
        <v>234737</v>
      </c>
      <c r="D172" s="1744">
        <f t="shared" si="6"/>
        <v>0</v>
      </c>
      <c r="E172" s="1744">
        <f t="shared" si="6"/>
        <v>0</v>
      </c>
      <c r="F172" s="1744">
        <f t="shared" si="6"/>
        <v>213151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1393932</v>
      </c>
      <c r="D173" s="1737">
        <f>SUM(D121,D172)</f>
        <v>0</v>
      </c>
      <c r="E173" s="1737">
        <f>SUM(E121,E172)</f>
        <v>0</v>
      </c>
      <c r="F173" s="1737">
        <f t="shared" ref="F173:K173" si="7">SUM(F121,F172)</f>
        <v>264044</v>
      </c>
      <c r="G173" s="1737">
        <f t="shared" si="7"/>
        <v>0</v>
      </c>
      <c r="H173" s="1737">
        <f t="shared" si="7"/>
        <v>2620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v>8353</v>
      </c>
      <c r="D177" s="466"/>
      <c r="E177" s="467"/>
      <c r="F177" s="466"/>
      <c r="G177" s="466"/>
      <c r="H177" s="467"/>
      <c r="I177" s="467"/>
      <c r="J177" s="467"/>
      <c r="K177" s="467"/>
    </row>
    <row r="178" spans="1:11" ht="13.5" thickBot="1" x14ac:dyDescent="0.25">
      <c r="A178" s="2170" t="s">
        <v>1764</v>
      </c>
      <c r="B178" s="2171"/>
      <c r="C178" s="1729">
        <f>SUM(C176:C177)</f>
        <v>8353</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2" t="s">
        <v>818</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91056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21870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112926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87136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87136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3903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75598</v>
      </c>
      <c r="D220" s="466"/>
      <c r="E220" s="468"/>
      <c r="F220" s="466"/>
      <c r="G220" s="466"/>
      <c r="H220" s="468"/>
      <c r="I220" s="468"/>
      <c r="J220" s="468"/>
      <c r="K220" s="468"/>
    </row>
    <row r="221" spans="1:11" ht="12.75" customHeight="1" x14ac:dyDescent="0.2">
      <c r="A221" s="463" t="s">
        <v>1114</v>
      </c>
      <c r="B221" s="470">
        <v>4625</v>
      </c>
      <c r="C221" s="551">
        <v>1312</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80813</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17736</v>
      </c>
      <c r="D270" s="576"/>
      <c r="E270" s="468"/>
      <c r="F270" s="576"/>
      <c r="G270" s="576"/>
      <c r="H270" s="468"/>
      <c r="I270" s="468"/>
      <c r="J270" s="468"/>
      <c r="K270" s="468"/>
    </row>
    <row r="271" spans="1:11" ht="12.75" customHeight="1" thickTop="1" thickBot="1" x14ac:dyDescent="0.25">
      <c r="A271" s="463" t="s">
        <v>395</v>
      </c>
      <c r="B271" s="470">
        <v>4992</v>
      </c>
      <c r="C271" s="575">
        <v>12686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311297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319650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2833314</v>
      </c>
      <c r="D275" s="1737">
        <f t="shared" si="12"/>
        <v>115753</v>
      </c>
      <c r="E275" s="1737">
        <f t="shared" si="12"/>
        <v>222644</v>
      </c>
      <c r="F275" s="1737">
        <f t="shared" si="12"/>
        <v>319348</v>
      </c>
      <c r="G275" s="1737">
        <f t="shared" si="12"/>
        <v>79016</v>
      </c>
      <c r="H275" s="1737">
        <f t="shared" si="12"/>
        <v>2825</v>
      </c>
      <c r="I275" s="1737">
        <f t="shared" si="12"/>
        <v>26348</v>
      </c>
      <c r="J275" s="1737">
        <f t="shared" si="12"/>
        <v>157979</v>
      </c>
      <c r="K275" s="1724">
        <f t="shared" si="12"/>
        <v>23280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7" activePane="bottomLeft" state="frozen"/>
      <selection activeCell="A47" sqref="A47"/>
      <selection pane="bottomLeft" activeCell="I193" sqref="I19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1114172</v>
      </c>
      <c r="D5" s="466">
        <v>235481</v>
      </c>
      <c r="E5" s="466">
        <v>67613</v>
      </c>
      <c r="F5" s="466">
        <v>22921</v>
      </c>
      <c r="G5" s="466"/>
      <c r="H5" s="466">
        <v>5673</v>
      </c>
      <c r="I5" s="467"/>
      <c r="J5" s="467"/>
      <c r="K5" s="1693">
        <f>SUM(C5:J5)</f>
        <v>1445860</v>
      </c>
      <c r="L5" s="466">
        <v>1420023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79532</v>
      </c>
      <c r="D7" s="467">
        <v>21865</v>
      </c>
      <c r="E7" s="467">
        <v>7463</v>
      </c>
      <c r="F7" s="467">
        <v>6578</v>
      </c>
      <c r="G7" s="467" t="s">
        <v>1231</v>
      </c>
      <c r="H7" s="467"/>
      <c r="I7" s="467">
        <v>3550</v>
      </c>
      <c r="J7" s="467"/>
      <c r="K7" s="1693">
        <f t="shared" ref="K7:K32" si="0">SUM(C7:J7)</f>
        <v>118988</v>
      </c>
      <c r="L7" s="466">
        <v>123601</v>
      </c>
    </row>
    <row r="8" spans="1:14" x14ac:dyDescent="0.2">
      <c r="A8" s="1526" t="s">
        <v>166</v>
      </c>
      <c r="B8" s="615">
        <v>1200</v>
      </c>
      <c r="C8" s="466">
        <v>182332</v>
      </c>
      <c r="D8" s="466">
        <v>49096</v>
      </c>
      <c r="E8" s="466">
        <v>245</v>
      </c>
      <c r="F8" s="466">
        <v>20389</v>
      </c>
      <c r="G8" s="466"/>
      <c r="H8" s="466"/>
      <c r="I8" s="467"/>
      <c r="J8" s="467"/>
      <c r="K8" s="1693">
        <f t="shared" si="0"/>
        <v>252062</v>
      </c>
      <c r="L8" s="466">
        <v>246845</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30210</v>
      </c>
      <c r="D10" s="466">
        <v>9501</v>
      </c>
      <c r="E10" s="466">
        <v>12652</v>
      </c>
      <c r="F10" s="466">
        <v>32533</v>
      </c>
      <c r="G10" s="466"/>
      <c r="H10" s="466"/>
      <c r="I10" s="467"/>
      <c r="J10" s="467"/>
      <c r="K10" s="1693">
        <f t="shared" si="0"/>
        <v>84896</v>
      </c>
      <c r="L10" s="466">
        <v>87165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40566</v>
      </c>
      <c r="D14" s="466">
        <v>3342</v>
      </c>
      <c r="E14" s="466">
        <v>6587</v>
      </c>
      <c r="F14" s="466">
        <v>2668</v>
      </c>
      <c r="G14" s="466" t="s">
        <v>1231</v>
      </c>
      <c r="H14" s="466">
        <v>1925</v>
      </c>
      <c r="I14" s="467">
        <v>3200</v>
      </c>
      <c r="J14" s="467"/>
      <c r="K14" s="1693">
        <f t="shared" si="0"/>
        <v>58288</v>
      </c>
      <c r="L14" s="466">
        <v>59365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1446812</v>
      </c>
      <c r="D33" s="1692">
        <f t="shared" ref="D33:L33" si="1">SUM(D5:D32)</f>
        <v>319285</v>
      </c>
      <c r="E33" s="1692">
        <f t="shared" si="1"/>
        <v>94560</v>
      </c>
      <c r="F33" s="1692">
        <f t="shared" si="1"/>
        <v>85089</v>
      </c>
      <c r="G33" s="1692">
        <f t="shared" si="1"/>
        <v>0</v>
      </c>
      <c r="H33" s="1692">
        <f t="shared" si="1"/>
        <v>7598</v>
      </c>
      <c r="I33" s="1692">
        <f t="shared" si="1"/>
        <v>6750</v>
      </c>
      <c r="J33" s="1692">
        <f t="shared" si="1"/>
        <v>0</v>
      </c>
      <c r="K33" s="1692">
        <f t="shared" si="1"/>
        <v>1960094</v>
      </c>
      <c r="L33" s="1692">
        <f t="shared" si="1"/>
        <v>1936999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43429</v>
      </c>
      <c r="D36" s="481">
        <v>5858</v>
      </c>
      <c r="E36" s="481"/>
      <c r="F36" s="481">
        <v>170</v>
      </c>
      <c r="G36" s="481"/>
      <c r="H36" s="481"/>
      <c r="I36" s="467"/>
      <c r="J36" s="467"/>
      <c r="K36" s="1693">
        <f t="shared" ref="K36:K41" si="2">SUM(C36:J36)</f>
        <v>49457</v>
      </c>
      <c r="L36" s="466">
        <v>46432</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2188</v>
      </c>
      <c r="D38" s="466">
        <v>380</v>
      </c>
      <c r="E38" s="466"/>
      <c r="F38" s="466"/>
      <c r="G38" s="466"/>
      <c r="H38" s="466"/>
      <c r="I38" s="467"/>
      <c r="J38" s="467"/>
      <c r="K38" s="1693">
        <f t="shared" si="2"/>
        <v>2568</v>
      </c>
      <c r="L38" s="466">
        <v>2388</v>
      </c>
    </row>
    <row r="39" spans="1:14" x14ac:dyDescent="0.2">
      <c r="A39" s="1526" t="s">
        <v>208</v>
      </c>
      <c r="B39" s="615">
        <v>2140</v>
      </c>
      <c r="C39" s="466">
        <v>32204</v>
      </c>
      <c r="D39" s="466">
        <v>7794</v>
      </c>
      <c r="E39" s="466"/>
      <c r="F39" s="466">
        <v>574</v>
      </c>
      <c r="G39" s="466"/>
      <c r="H39" s="466"/>
      <c r="I39" s="467"/>
      <c r="J39" s="467"/>
      <c r="K39" s="1693">
        <f t="shared" si="2"/>
        <v>40572</v>
      </c>
      <c r="L39" s="466">
        <v>31741</v>
      </c>
    </row>
    <row r="40" spans="1:14" x14ac:dyDescent="0.2">
      <c r="A40" s="1526" t="s">
        <v>209</v>
      </c>
      <c r="B40" s="615">
        <v>2150</v>
      </c>
      <c r="C40" s="466">
        <v>68020</v>
      </c>
      <c r="D40" s="466">
        <v>9323</v>
      </c>
      <c r="E40" s="466"/>
      <c r="F40" s="466">
        <v>981</v>
      </c>
      <c r="G40" s="466"/>
      <c r="H40" s="466"/>
      <c r="I40" s="467"/>
      <c r="J40" s="467"/>
      <c r="K40" s="1693">
        <f t="shared" si="2"/>
        <v>78324</v>
      </c>
      <c r="L40" s="466">
        <v>78380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145841</v>
      </c>
      <c r="D42" s="1692">
        <f t="shared" ref="D42:L42" si="3">SUM(D36:D41)</f>
        <v>23355</v>
      </c>
      <c r="E42" s="1692">
        <f t="shared" si="3"/>
        <v>0</v>
      </c>
      <c r="F42" s="1692">
        <f t="shared" si="3"/>
        <v>1725</v>
      </c>
      <c r="G42" s="1692">
        <f t="shared" si="3"/>
        <v>0</v>
      </c>
      <c r="H42" s="1692">
        <f t="shared" si="3"/>
        <v>0</v>
      </c>
      <c r="I42" s="1692">
        <f t="shared" si="3"/>
        <v>0</v>
      </c>
      <c r="J42" s="1692">
        <f t="shared" si="3"/>
        <v>0</v>
      </c>
      <c r="K42" s="1692">
        <f t="shared" si="3"/>
        <v>170921</v>
      </c>
      <c r="L42" s="1692">
        <f t="shared" si="3"/>
        <v>158941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495</v>
      </c>
      <c r="D44" s="481">
        <v>18</v>
      </c>
      <c r="E44" s="481">
        <v>3137</v>
      </c>
      <c r="F44" s="481"/>
      <c r="G44" s="481"/>
      <c r="H44" s="481"/>
      <c r="I44" s="467"/>
      <c r="J44" s="467"/>
      <c r="K44" s="1694">
        <f>SUM(C44:J44)</f>
        <v>3650</v>
      </c>
      <c r="L44" s="481">
        <v>4302</v>
      </c>
    </row>
    <row r="45" spans="1:14" x14ac:dyDescent="0.2">
      <c r="A45" s="1526" t="s">
        <v>869</v>
      </c>
      <c r="B45" s="615">
        <v>2220</v>
      </c>
      <c r="C45" s="466">
        <v>12138</v>
      </c>
      <c r="D45" s="466">
        <v>298</v>
      </c>
      <c r="E45" s="466"/>
      <c r="F45" s="466">
        <v>137</v>
      </c>
      <c r="G45" s="466"/>
      <c r="H45" s="466"/>
      <c r="I45" s="467"/>
      <c r="J45" s="467"/>
      <c r="K45" s="1694">
        <f>SUM(C45:J45)</f>
        <v>12573</v>
      </c>
      <c r="L45" s="466">
        <v>12382</v>
      </c>
    </row>
    <row r="46" spans="1:14" x14ac:dyDescent="0.2">
      <c r="A46" s="1526" t="s">
        <v>870</v>
      </c>
      <c r="B46" s="615">
        <v>2230</v>
      </c>
      <c r="C46" s="466"/>
      <c r="D46" s="466"/>
      <c r="E46" s="466">
        <v>306</v>
      </c>
      <c r="F46" s="466"/>
      <c r="G46" s="466"/>
      <c r="H46" s="466"/>
      <c r="I46" s="467"/>
      <c r="J46" s="467"/>
      <c r="K46" s="1694">
        <f>SUM(C46:J46)</f>
        <v>306</v>
      </c>
      <c r="L46" s="466">
        <v>806</v>
      </c>
    </row>
    <row r="47" spans="1:14" ht="12.75" customHeight="1" thickBot="1" x14ac:dyDescent="0.25">
      <c r="A47" s="1690" t="s">
        <v>582</v>
      </c>
      <c r="B47" s="1691" t="s">
        <v>32</v>
      </c>
      <c r="C47" s="1692">
        <f>SUM(C44:C46)</f>
        <v>12633</v>
      </c>
      <c r="D47" s="1692">
        <f t="shared" ref="D47:K47" si="4">SUM(D44:D46)</f>
        <v>316</v>
      </c>
      <c r="E47" s="1692">
        <f t="shared" si="4"/>
        <v>3443</v>
      </c>
      <c r="F47" s="1692">
        <f t="shared" si="4"/>
        <v>137</v>
      </c>
      <c r="G47" s="1692">
        <f t="shared" si="4"/>
        <v>0</v>
      </c>
      <c r="H47" s="1692">
        <f t="shared" si="4"/>
        <v>0</v>
      </c>
      <c r="I47" s="1692">
        <f t="shared" si="4"/>
        <v>0</v>
      </c>
      <c r="J47" s="1692">
        <f t="shared" si="4"/>
        <v>0</v>
      </c>
      <c r="K47" s="1692">
        <f t="shared" si="4"/>
        <v>16529</v>
      </c>
      <c r="L47" s="1692">
        <f>SUM(L44:L46)</f>
        <v>17490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2600</v>
      </c>
      <c r="D49" s="481">
        <v>13</v>
      </c>
      <c r="E49" s="481">
        <v>6755</v>
      </c>
      <c r="F49" s="481">
        <v>1254</v>
      </c>
      <c r="G49" s="481"/>
      <c r="H49" s="481">
        <v>5909</v>
      </c>
      <c r="I49" s="467"/>
      <c r="J49" s="467"/>
      <c r="K49" s="1694">
        <f>SUM(C49:J49)</f>
        <v>16531</v>
      </c>
      <c r="L49" s="481">
        <v>15350</v>
      </c>
    </row>
    <row r="50" spans="1:14" x14ac:dyDescent="0.2">
      <c r="A50" s="1526" t="s">
        <v>872</v>
      </c>
      <c r="B50" s="615">
        <v>2320</v>
      </c>
      <c r="C50" s="466">
        <v>65396</v>
      </c>
      <c r="D50" s="466">
        <v>21366</v>
      </c>
      <c r="E50" s="466">
        <v>1559</v>
      </c>
      <c r="F50" s="466">
        <v>181</v>
      </c>
      <c r="G50" s="466"/>
      <c r="H50" s="466">
        <v>1137</v>
      </c>
      <c r="I50" s="467"/>
      <c r="J50" s="467"/>
      <c r="K50" s="1694">
        <f>SUM(C50:J50)</f>
        <v>89639</v>
      </c>
      <c r="L50" s="466">
        <v>84700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67996</v>
      </c>
      <c r="D53" s="1692">
        <f t="shared" ref="D53:L53" si="5">SUM(D49:D52)</f>
        <v>21379</v>
      </c>
      <c r="E53" s="1692">
        <f t="shared" si="5"/>
        <v>8314</v>
      </c>
      <c r="F53" s="1692">
        <f t="shared" si="5"/>
        <v>1435</v>
      </c>
      <c r="G53" s="1692">
        <f t="shared" si="5"/>
        <v>0</v>
      </c>
      <c r="H53" s="1692">
        <f t="shared" si="5"/>
        <v>7046</v>
      </c>
      <c r="I53" s="1692">
        <f t="shared" si="5"/>
        <v>0</v>
      </c>
      <c r="J53" s="1692">
        <f t="shared" si="5"/>
        <v>0</v>
      </c>
      <c r="K53" s="1692">
        <f t="shared" si="5"/>
        <v>106170</v>
      </c>
      <c r="L53" s="1692">
        <f t="shared" si="5"/>
        <v>100050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126241</v>
      </c>
      <c r="D55" s="481">
        <v>45964</v>
      </c>
      <c r="E55" s="481">
        <v>2419</v>
      </c>
      <c r="F55" s="481">
        <v>657</v>
      </c>
      <c r="G55" s="481"/>
      <c r="H55" s="481"/>
      <c r="I55" s="467"/>
      <c r="J55" s="467"/>
      <c r="K55" s="1694">
        <f>SUM(C55:J55)</f>
        <v>175281</v>
      </c>
      <c r="L55" s="481">
        <v>166987</v>
      </c>
    </row>
    <row r="56" spans="1:14" ht="12.75" customHeight="1" x14ac:dyDescent="0.2">
      <c r="A56" s="1530" t="s">
        <v>394</v>
      </c>
      <c r="B56" s="629">
        <v>2490</v>
      </c>
      <c r="C56" s="466">
        <v>36446</v>
      </c>
      <c r="D56" s="466">
        <v>4666</v>
      </c>
      <c r="E56" s="466">
        <v>12256</v>
      </c>
      <c r="F56" s="466">
        <v>1018</v>
      </c>
      <c r="G56" s="466"/>
      <c r="H56" s="466"/>
      <c r="I56" s="467"/>
      <c r="J56" s="467"/>
      <c r="K56" s="1694">
        <f>SUM(C56:J56)</f>
        <v>54386</v>
      </c>
      <c r="L56" s="466">
        <v>54388</v>
      </c>
    </row>
    <row r="57" spans="1:14" s="343" customFormat="1" ht="12.75" customHeight="1" thickBot="1" x14ac:dyDescent="0.25">
      <c r="A57" s="1690" t="s">
        <v>281</v>
      </c>
      <c r="B57" s="1695" t="s">
        <v>34</v>
      </c>
      <c r="C57" s="1696">
        <f>SUM(C55:C56)</f>
        <v>162687</v>
      </c>
      <c r="D57" s="1696">
        <f t="shared" ref="D57:K57" si="6">SUM(D55:D56)</f>
        <v>50630</v>
      </c>
      <c r="E57" s="1696">
        <f t="shared" si="6"/>
        <v>14675</v>
      </c>
      <c r="F57" s="1696">
        <f t="shared" si="6"/>
        <v>1675</v>
      </c>
      <c r="G57" s="1696">
        <f t="shared" si="6"/>
        <v>0</v>
      </c>
      <c r="H57" s="1696">
        <f t="shared" si="6"/>
        <v>0</v>
      </c>
      <c r="I57" s="1696">
        <f t="shared" si="6"/>
        <v>0</v>
      </c>
      <c r="J57" s="1696">
        <f t="shared" si="6"/>
        <v>0</v>
      </c>
      <c r="K57" s="1696">
        <f t="shared" si="6"/>
        <v>229667</v>
      </c>
      <c r="L57" s="1692">
        <f>SUM(L55:L56)</f>
        <v>221375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45833</v>
      </c>
      <c r="D60" s="466">
        <v>7046</v>
      </c>
      <c r="E60" s="466">
        <v>13839</v>
      </c>
      <c r="F60" s="466">
        <v>778</v>
      </c>
      <c r="G60" s="466"/>
      <c r="H60" s="466">
        <v>112</v>
      </c>
      <c r="I60" s="467"/>
      <c r="J60" s="467"/>
      <c r="K60" s="1694">
        <f t="shared" si="7"/>
        <v>67608</v>
      </c>
      <c r="L60" s="466">
        <v>63455</v>
      </c>
      <c r="M60" s="610"/>
      <c r="N60" s="610"/>
    </row>
    <row r="61" spans="1:14" s="343" customFormat="1" x14ac:dyDescent="0.2">
      <c r="A61" s="1526" t="s">
        <v>206</v>
      </c>
      <c r="B61" s="615">
        <v>2540</v>
      </c>
      <c r="C61" s="466"/>
      <c r="D61" s="466"/>
      <c r="E61" s="466"/>
      <c r="F61" s="466">
        <v>41464</v>
      </c>
      <c r="G61" s="466"/>
      <c r="H61" s="466"/>
      <c r="I61" s="467"/>
      <c r="J61" s="467"/>
      <c r="K61" s="1694">
        <f t="shared" si="7"/>
        <v>41464</v>
      </c>
      <c r="L61" s="466">
        <v>56000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58114</v>
      </c>
      <c r="D63" s="466">
        <v>1893</v>
      </c>
      <c r="E63" s="466">
        <v>2596</v>
      </c>
      <c r="F63" s="466">
        <v>80674</v>
      </c>
      <c r="G63" s="466"/>
      <c r="H63" s="466"/>
      <c r="I63" s="467"/>
      <c r="J63" s="467"/>
      <c r="K63" s="1694">
        <f t="shared" si="7"/>
        <v>143277</v>
      </c>
      <c r="L63" s="466">
        <v>139252</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103947</v>
      </c>
      <c r="D65" s="1692">
        <f t="shared" ref="D65:L65" si="8">SUM(D59:D64)</f>
        <v>8939</v>
      </c>
      <c r="E65" s="1692">
        <f t="shared" si="8"/>
        <v>16435</v>
      </c>
      <c r="F65" s="1692">
        <f t="shared" si="8"/>
        <v>122916</v>
      </c>
      <c r="G65" s="1692">
        <f t="shared" si="8"/>
        <v>0</v>
      </c>
      <c r="H65" s="1692">
        <f t="shared" si="8"/>
        <v>112</v>
      </c>
      <c r="I65" s="1692">
        <f t="shared" si="8"/>
        <v>0</v>
      </c>
      <c r="J65" s="1692">
        <f t="shared" si="8"/>
        <v>0</v>
      </c>
      <c r="K65" s="1692">
        <f t="shared" si="8"/>
        <v>252349</v>
      </c>
      <c r="L65" s="1692">
        <f t="shared" si="8"/>
        <v>258707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29527</v>
      </c>
      <c r="D71" s="466">
        <v>3574</v>
      </c>
      <c r="E71" s="466">
        <v>6019</v>
      </c>
      <c r="F71" s="466"/>
      <c r="G71" s="466"/>
      <c r="H71" s="466"/>
      <c r="I71" s="467"/>
      <c r="J71" s="467"/>
      <c r="K71" s="1694">
        <f>SUM(C71:J71)</f>
        <v>39120</v>
      </c>
      <c r="L71" s="466">
        <v>46255</v>
      </c>
      <c r="M71" s="610"/>
      <c r="N71" s="610"/>
    </row>
    <row r="72" spans="1:14" s="343" customFormat="1" ht="12.75" customHeight="1" thickBot="1" x14ac:dyDescent="0.25">
      <c r="A72" s="1690" t="s">
        <v>37</v>
      </c>
      <c r="B72" s="1697" t="s">
        <v>36</v>
      </c>
      <c r="C72" s="1692">
        <f>SUM(C67:C71)</f>
        <v>29527</v>
      </c>
      <c r="D72" s="1692">
        <f t="shared" ref="D72:K72" si="9">SUM(D67:D71)</f>
        <v>3574</v>
      </c>
      <c r="E72" s="1692">
        <f t="shared" si="9"/>
        <v>6019</v>
      </c>
      <c r="F72" s="1692">
        <f t="shared" si="9"/>
        <v>0</v>
      </c>
      <c r="G72" s="1692">
        <f t="shared" si="9"/>
        <v>0</v>
      </c>
      <c r="H72" s="1692">
        <f t="shared" si="9"/>
        <v>0</v>
      </c>
      <c r="I72" s="1692">
        <f t="shared" si="9"/>
        <v>0</v>
      </c>
      <c r="J72" s="1692">
        <f t="shared" si="9"/>
        <v>0</v>
      </c>
      <c r="K72" s="1692">
        <f t="shared" si="9"/>
        <v>39120</v>
      </c>
      <c r="L72" s="1692">
        <f>SUM(L67:L71)</f>
        <v>46255</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522631</v>
      </c>
      <c r="D74" s="1699">
        <f t="shared" ref="D74:K74" si="10">SUM(D42,D47,D53,D57,D65,D72,D73)</f>
        <v>108193</v>
      </c>
      <c r="E74" s="1699">
        <f t="shared" si="10"/>
        <v>48886</v>
      </c>
      <c r="F74" s="1699">
        <f t="shared" si="10"/>
        <v>127888</v>
      </c>
      <c r="G74" s="1699">
        <f t="shared" si="10"/>
        <v>0</v>
      </c>
      <c r="H74" s="1699">
        <f t="shared" si="10"/>
        <v>7158</v>
      </c>
      <c r="I74" s="1699">
        <f t="shared" si="10"/>
        <v>0</v>
      </c>
      <c r="J74" s="1699">
        <f t="shared" si="10"/>
        <v>0</v>
      </c>
      <c r="K74" s="1699">
        <f t="shared" si="10"/>
        <v>814756</v>
      </c>
      <c r="L74" s="1699">
        <f>SUM(L42,L47,L53,L57,L65,L72,L73)</f>
        <v>802818</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13200</v>
      </c>
      <c r="F79" s="617"/>
      <c r="G79" s="617"/>
      <c r="H79" s="466">
        <v>138347</v>
      </c>
      <c r="I79" s="477"/>
      <c r="J79" s="477"/>
      <c r="K79" s="1693">
        <f t="shared" si="11"/>
        <v>151547</v>
      </c>
      <c r="L79" s="466">
        <v>167866</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13200</v>
      </c>
      <c r="F84" s="617"/>
      <c r="G84" s="617"/>
      <c r="H84" s="1692">
        <f>SUM(H78:H83)</f>
        <v>138347</v>
      </c>
      <c r="I84" s="477"/>
      <c r="J84" s="477"/>
      <c r="K84" s="1692">
        <f>SUM(K78:K83)</f>
        <v>151547</v>
      </c>
      <c r="L84" s="1692">
        <f>SUM(L78:L83)</f>
        <v>167866</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13200</v>
      </c>
      <c r="F102" s="617"/>
      <c r="G102" s="617"/>
      <c r="H102" s="1699">
        <f>SUM(H84,H92,H100,H101)</f>
        <v>138347</v>
      </c>
      <c r="I102" s="477"/>
      <c r="J102" s="477"/>
      <c r="K102" s="1699">
        <f>SUM(K84,K92,K100,K101)</f>
        <v>151547</v>
      </c>
      <c r="L102" s="1699">
        <f>SUM(L84,L92,L100,L101)</f>
        <v>167866</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1969443</v>
      </c>
      <c r="D114" s="1692">
        <f t="shared" ref="D114:K114" si="13">SUM(D33,D74,D75,D102,D112,D113)</f>
        <v>427478</v>
      </c>
      <c r="E114" s="1692">
        <f t="shared" si="13"/>
        <v>156646</v>
      </c>
      <c r="F114" s="1692">
        <f t="shared" si="13"/>
        <v>212977</v>
      </c>
      <c r="G114" s="1692">
        <f t="shared" si="13"/>
        <v>0</v>
      </c>
      <c r="H114" s="1692">
        <f>SUM(H33,H74,H75,H102,H112,H113)</f>
        <v>153103</v>
      </c>
      <c r="I114" s="1692">
        <f t="shared" si="13"/>
        <v>6750</v>
      </c>
      <c r="J114" s="1692">
        <f t="shared" si="13"/>
        <v>0</v>
      </c>
      <c r="K114" s="1692">
        <f t="shared" si="13"/>
        <v>2926397</v>
      </c>
      <c r="L114" s="1692">
        <f>SUM(L33,L74,L75,L102,L112,L113)</f>
        <v>2907683</v>
      </c>
    </row>
    <row r="115" spans="1:14" ht="13.5" thickTop="1" x14ac:dyDescent="0.2">
      <c r="A115" s="2201" t="s">
        <v>1053</v>
      </c>
      <c r="B115" s="2202"/>
      <c r="C115" s="619"/>
      <c r="D115" s="619"/>
      <c r="E115" s="619"/>
      <c r="F115" s="619"/>
      <c r="G115" s="619"/>
      <c r="H115" s="619"/>
      <c r="I115" s="619"/>
      <c r="J115" s="619"/>
      <c r="K115" s="1706">
        <f>'Revenues 9-14'!C275-'Expenditures 15-22'!K114</f>
        <v>-93083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57696</v>
      </c>
      <c r="D124" s="466">
        <v>7608</v>
      </c>
      <c r="E124" s="466">
        <v>33127</v>
      </c>
      <c r="F124" s="466"/>
      <c r="G124" s="466"/>
      <c r="H124" s="466"/>
      <c r="I124" s="467"/>
      <c r="J124" s="467"/>
      <c r="K124" s="1692">
        <f>SUM(C124:J124)</f>
        <v>98431</v>
      </c>
      <c r="L124" s="466">
        <v>107375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57696</v>
      </c>
      <c r="D127" s="1692">
        <f t="shared" ref="D127:L127" si="14">SUM(D122:D126)</f>
        <v>7608</v>
      </c>
      <c r="E127" s="1692">
        <f t="shared" si="14"/>
        <v>33127</v>
      </c>
      <c r="F127" s="1692">
        <f t="shared" si="14"/>
        <v>0</v>
      </c>
      <c r="G127" s="1692">
        <f t="shared" si="14"/>
        <v>0</v>
      </c>
      <c r="H127" s="1692">
        <f t="shared" si="14"/>
        <v>0</v>
      </c>
      <c r="I127" s="1692">
        <f t="shared" si="14"/>
        <v>0</v>
      </c>
      <c r="J127" s="1692">
        <f t="shared" si="14"/>
        <v>0</v>
      </c>
      <c r="K127" s="1692">
        <f t="shared" si="14"/>
        <v>98431</v>
      </c>
      <c r="L127" s="1692">
        <f t="shared" si="14"/>
        <v>107375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57696</v>
      </c>
      <c r="D129" s="1699">
        <f t="shared" ref="D129:L129" si="15">SUM(D120,D127,D128)</f>
        <v>7608</v>
      </c>
      <c r="E129" s="1699">
        <f t="shared" si="15"/>
        <v>33127</v>
      </c>
      <c r="F129" s="1699">
        <f t="shared" si="15"/>
        <v>0</v>
      </c>
      <c r="G129" s="1699">
        <f t="shared" si="15"/>
        <v>0</v>
      </c>
      <c r="H129" s="1699">
        <f t="shared" si="15"/>
        <v>0</v>
      </c>
      <c r="I129" s="1699">
        <f t="shared" si="15"/>
        <v>0</v>
      </c>
      <c r="J129" s="1699">
        <f t="shared" si="15"/>
        <v>0</v>
      </c>
      <c r="K129" s="1699">
        <f t="shared" si="15"/>
        <v>98431</v>
      </c>
      <c r="L129" s="1699">
        <f t="shared" si="15"/>
        <v>107375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3"/>
      <c r="C151" s="1692">
        <f>SUM(C129,C130,C139,C149,C150)</f>
        <v>57696</v>
      </c>
      <c r="D151" s="1692">
        <f t="shared" ref="D151:K151" si="16">SUM(D129,D130,D139,D149,D150)</f>
        <v>7608</v>
      </c>
      <c r="E151" s="1692">
        <f t="shared" si="16"/>
        <v>33127</v>
      </c>
      <c r="F151" s="1692">
        <f t="shared" si="16"/>
        <v>0</v>
      </c>
      <c r="G151" s="1692">
        <f t="shared" si="16"/>
        <v>0</v>
      </c>
      <c r="H151" s="1692">
        <f t="shared" si="16"/>
        <v>0</v>
      </c>
      <c r="I151" s="1692">
        <f t="shared" si="16"/>
        <v>0</v>
      </c>
      <c r="J151" s="1692">
        <f t="shared" si="16"/>
        <v>0</v>
      </c>
      <c r="K151" s="1692">
        <f t="shared" si="16"/>
        <v>98431</v>
      </c>
      <c r="L151" s="1692">
        <f>SUM(L129,L130,L139,L149,L150)</f>
        <v>107375</v>
      </c>
    </row>
    <row r="152" spans="1:14" ht="12.75" customHeight="1" thickTop="1" x14ac:dyDescent="0.2">
      <c r="A152" s="2194" t="s">
        <v>1240</v>
      </c>
      <c r="B152" s="2195"/>
      <c r="C152" s="619"/>
      <c r="D152" s="619"/>
      <c r="E152" s="619"/>
      <c r="F152" s="619"/>
      <c r="G152" s="619"/>
      <c r="H152" s="619"/>
      <c r="I152" s="619"/>
      <c r="J152" s="617"/>
      <c r="K152" s="1706">
        <f>'Revenues 9-14'!D275-'Expenditures 15-22'!K151</f>
        <v>17322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t="s">
        <v>1231</v>
      </c>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26579</v>
      </c>
      <c r="I169" s="617"/>
      <c r="J169" s="617"/>
      <c r="K169" s="1693">
        <f>SUM(C169:H169)</f>
        <v>26579</v>
      </c>
      <c r="L169" s="657">
        <v>26579</v>
      </c>
    </row>
    <row r="170" spans="1:14" ht="33.75" customHeight="1" x14ac:dyDescent="0.2">
      <c r="A170" s="670" t="s">
        <v>1769</v>
      </c>
      <c r="B170" s="672" t="s">
        <v>31</v>
      </c>
      <c r="C170" s="617"/>
      <c r="D170" s="617"/>
      <c r="E170" s="617"/>
      <c r="F170" s="617"/>
      <c r="G170" s="617"/>
      <c r="H170" s="569">
        <v>196100</v>
      </c>
      <c r="I170" s="617"/>
      <c r="J170" s="617"/>
      <c r="K170" s="1693">
        <f>SUM(C170:J170)</f>
        <v>196100</v>
      </c>
      <c r="L170" s="569">
        <v>196100</v>
      </c>
    </row>
    <row r="171" spans="1:14" ht="15.75" customHeight="1" x14ac:dyDescent="0.2">
      <c r="A171" s="622" t="s">
        <v>790</v>
      </c>
      <c r="B171" s="673" t="s">
        <v>86</v>
      </c>
      <c r="C171" s="617"/>
      <c r="D171" s="617"/>
      <c r="E171" s="466"/>
      <c r="F171" s="617"/>
      <c r="G171" s="617"/>
      <c r="H171" s="569">
        <v>500</v>
      </c>
      <c r="I171" s="477"/>
      <c r="J171" s="617"/>
      <c r="K171" s="1693">
        <f>SUM(C171:J171)</f>
        <v>500</v>
      </c>
      <c r="L171" s="569">
        <v>1166</v>
      </c>
    </row>
    <row r="172" spans="1:14" ht="12.75" customHeight="1" thickBot="1" x14ac:dyDescent="0.25">
      <c r="A172" s="1690" t="s">
        <v>659</v>
      </c>
      <c r="B172" s="1691" t="s">
        <v>513</v>
      </c>
      <c r="C172" s="617"/>
      <c r="D172" s="617"/>
      <c r="E172" s="1699">
        <f>SUM(E168,E169,E170,E171)</f>
        <v>0</v>
      </c>
      <c r="F172" s="617"/>
      <c r="G172" s="617"/>
      <c r="H172" s="1699">
        <f>SUM(H168,H169,H170,H171)</f>
        <v>223179</v>
      </c>
      <c r="I172" s="639"/>
      <c r="J172" s="617"/>
      <c r="K172" s="1699">
        <f>SUM(K168,K169,K170,K171)</f>
        <v>223179</v>
      </c>
      <c r="L172" s="1699">
        <f>SUM(L168,L169,L170,L171)</f>
        <v>223845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223179</v>
      </c>
      <c r="I174" s="639"/>
      <c r="J174" s="617"/>
      <c r="K174" s="1699">
        <f>SUM(K160,K172,K173)</f>
        <v>223179</v>
      </c>
      <c r="L174" s="1699">
        <f>SUM(L160,L172,L173)</f>
        <v>223845</v>
      </c>
    </row>
    <row r="175" spans="1:14" ht="13.5" thickTop="1" x14ac:dyDescent="0.2">
      <c r="A175" s="2201" t="s">
        <v>1053</v>
      </c>
      <c r="B175" s="2202"/>
      <c r="C175" s="617"/>
      <c r="D175" s="617"/>
      <c r="E175" s="617"/>
      <c r="F175" s="617"/>
      <c r="G175" s="617"/>
      <c r="H175" s="619"/>
      <c r="I175" s="617"/>
      <c r="J175" s="617"/>
      <c r="K175" s="1706">
        <f>'Revenues 9-14'!E275-'Expenditures 15-22'!K174</f>
        <v>-535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10263</v>
      </c>
      <c r="D182" s="466">
        <v>671</v>
      </c>
      <c r="E182" s="466">
        <v>212652</v>
      </c>
      <c r="F182" s="466"/>
      <c r="G182" s="466"/>
      <c r="H182" s="466"/>
      <c r="I182" s="467"/>
      <c r="J182" s="467"/>
      <c r="K182" s="1693">
        <f>SUM(C182:J182)</f>
        <v>223586</v>
      </c>
      <c r="L182" s="466">
        <v>228380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10263</v>
      </c>
      <c r="D184" s="1699">
        <f t="shared" ref="D184:J184" si="17">SUM(D180,D182,D183)</f>
        <v>671</v>
      </c>
      <c r="E184" s="1699">
        <f t="shared" si="17"/>
        <v>212652</v>
      </c>
      <c r="F184" s="1699">
        <f t="shared" si="17"/>
        <v>0</v>
      </c>
      <c r="G184" s="1699">
        <f t="shared" si="17"/>
        <v>0</v>
      </c>
      <c r="H184" s="1699">
        <f t="shared" si="17"/>
        <v>0</v>
      </c>
      <c r="I184" s="1699">
        <f t="shared" si="17"/>
        <v>0</v>
      </c>
      <c r="J184" s="1699">
        <f t="shared" si="17"/>
        <v>0</v>
      </c>
      <c r="K184" s="1699">
        <f>SUM(K180,K182,K183)</f>
        <v>223586</v>
      </c>
      <c r="L184" s="1699">
        <f>SUM(L180, L182:L183)</f>
        <v>228380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v>95763</v>
      </c>
      <c r="F189" s="617"/>
      <c r="G189" s="617"/>
      <c r="H189" s="466"/>
      <c r="I189" s="477"/>
      <c r="J189" s="617"/>
      <c r="K189" s="1693">
        <f t="shared" si="18"/>
        <v>95763</v>
      </c>
      <c r="L189" s="466">
        <v>54210</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95763</v>
      </c>
      <c r="F194" s="617"/>
      <c r="G194" s="617"/>
      <c r="H194" s="1692">
        <f>SUM(H188:H193)</f>
        <v>0</v>
      </c>
      <c r="I194" s="477"/>
      <c r="J194" s="617"/>
      <c r="K194" s="1692">
        <f>SUM(K188:K193)</f>
        <v>95763</v>
      </c>
      <c r="L194" s="1692">
        <f>SUM(L188:L193)</f>
        <v>54210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95763</v>
      </c>
      <c r="F196" s="617"/>
      <c r="G196" s="617"/>
      <c r="H196" s="1699">
        <f>SUM(H194,H195)</f>
        <v>0</v>
      </c>
      <c r="I196" s="477"/>
      <c r="J196" s="617"/>
      <c r="K196" s="1699">
        <f>SUM(K194,K195)</f>
        <v>95763</v>
      </c>
      <c r="L196" s="1699">
        <f>SUM(L194,L195)</f>
        <v>54210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10263</v>
      </c>
      <c r="D210" s="1692">
        <f>SUM(D184,D185)</f>
        <v>671</v>
      </c>
      <c r="E210" s="1692">
        <f>SUM(E184,E185,E196)</f>
        <v>308415</v>
      </c>
      <c r="F210" s="1692">
        <f>SUM(F184,F185)</f>
        <v>0</v>
      </c>
      <c r="G210" s="1692">
        <f>SUM(G184,G185)</f>
        <v>0</v>
      </c>
      <c r="H210" s="1692">
        <f>SUM(H184,H185,H196,H208,H209)</f>
        <v>0</v>
      </c>
      <c r="I210" s="1692">
        <f>SUM(I184,I185)</f>
        <v>0</v>
      </c>
      <c r="J210" s="1692">
        <f>SUM(J184,J185)</f>
        <v>0</v>
      </c>
      <c r="K210" s="1693">
        <f>SUM(K184,K185,K196,K208,K209)</f>
        <v>319349</v>
      </c>
      <c r="L210" s="1692">
        <f>SUM(L184,L185,L196,L208,L209)</f>
        <v>282590</v>
      </c>
    </row>
    <row r="211" spans="1:14" ht="13.5" thickTop="1" x14ac:dyDescent="0.2">
      <c r="A211" s="2201" t="s">
        <v>1053</v>
      </c>
      <c r="B211" s="2202"/>
      <c r="C211" s="619"/>
      <c r="D211" s="619"/>
      <c r="E211" s="619"/>
      <c r="F211" s="619"/>
      <c r="G211" s="619"/>
      <c r="H211" s="619"/>
      <c r="I211" s="617"/>
      <c r="J211" s="617"/>
      <c r="K211" s="1706">
        <f>'Revenues 9-14'!F275-'Expenditures 15-22'!K210</f>
        <v>-1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21055</v>
      </c>
      <c r="E215" s="617"/>
      <c r="F215" s="617"/>
      <c r="G215" s="617"/>
      <c r="H215" s="617"/>
      <c r="I215" s="617"/>
      <c r="J215" s="617"/>
      <c r="K215" s="1693">
        <f>D215</f>
        <v>21055</v>
      </c>
      <c r="L215" s="466">
        <v>21721</v>
      </c>
    </row>
    <row r="216" spans="1:14" x14ac:dyDescent="0.2">
      <c r="A216" s="1526" t="s">
        <v>165</v>
      </c>
      <c r="B216" s="615" t="s">
        <v>1024</v>
      </c>
      <c r="C216" s="617"/>
      <c r="D216" s="467">
        <v>19</v>
      </c>
      <c r="E216" s="617"/>
      <c r="F216" s="617"/>
      <c r="G216" s="617"/>
      <c r="H216" s="617"/>
      <c r="I216" s="617"/>
      <c r="J216" s="617"/>
      <c r="K216" s="1693">
        <f t="shared" ref="K216:K228" si="19">D216</f>
        <v>19</v>
      </c>
      <c r="L216" s="466"/>
    </row>
    <row r="217" spans="1:14" x14ac:dyDescent="0.2">
      <c r="A217" s="1526" t="s">
        <v>166</v>
      </c>
      <c r="B217" s="615">
        <v>1200</v>
      </c>
      <c r="C217" s="617"/>
      <c r="D217" s="466">
        <v>3332</v>
      </c>
      <c r="E217" s="617"/>
      <c r="F217" s="617"/>
      <c r="G217" s="617"/>
      <c r="H217" s="617"/>
      <c r="I217" s="617"/>
      <c r="J217" s="617"/>
      <c r="K217" s="1693">
        <f t="shared" si="19"/>
        <v>3332</v>
      </c>
      <c r="L217" s="466">
        <v>4373</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1678</v>
      </c>
      <c r="E223" s="617"/>
      <c r="F223" s="617"/>
      <c r="G223" s="617"/>
      <c r="H223" s="617"/>
      <c r="I223" s="617"/>
      <c r="J223" s="617"/>
      <c r="K223" s="1693">
        <f t="shared" si="19"/>
        <v>1678</v>
      </c>
      <c r="L223" s="466">
        <v>1400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26084</v>
      </c>
      <c r="E229" s="617"/>
      <c r="F229" s="617"/>
      <c r="G229" s="617"/>
      <c r="H229" s="617"/>
      <c r="I229" s="617"/>
      <c r="J229" s="617"/>
      <c r="K229" s="1692">
        <f>SUM(K215:K228)</f>
        <v>26084</v>
      </c>
      <c r="L229" s="1692">
        <f>SUM(L215:L228)</f>
        <v>27494</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574</v>
      </c>
      <c r="E232" s="617"/>
      <c r="F232" s="617"/>
      <c r="G232" s="617"/>
      <c r="H232" s="617"/>
      <c r="I232" s="617"/>
      <c r="J232" s="617"/>
      <c r="K232" s="1693">
        <f t="shared" ref="K232:K237" si="20">D232</f>
        <v>574</v>
      </c>
      <c r="L232" s="466">
        <v>563</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v>458</v>
      </c>
      <c r="E235" s="617"/>
      <c r="F235" s="617"/>
      <c r="G235" s="617"/>
      <c r="H235" s="617"/>
      <c r="I235" s="617"/>
      <c r="J235" s="617"/>
      <c r="K235" s="1693">
        <f t="shared" si="20"/>
        <v>458</v>
      </c>
      <c r="L235" s="466">
        <v>300</v>
      </c>
    </row>
    <row r="236" spans="1:12" x14ac:dyDescent="0.2">
      <c r="A236" s="1526" t="s">
        <v>209</v>
      </c>
      <c r="B236" s="615">
        <v>2150</v>
      </c>
      <c r="C236" s="617"/>
      <c r="D236" s="466">
        <v>969</v>
      </c>
      <c r="E236" s="617"/>
      <c r="F236" s="617"/>
      <c r="G236" s="617"/>
      <c r="H236" s="617"/>
      <c r="I236" s="617"/>
      <c r="J236" s="617"/>
      <c r="K236" s="1693">
        <f t="shared" si="20"/>
        <v>969</v>
      </c>
      <c r="L236" s="466">
        <v>1005</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2001</v>
      </c>
      <c r="E238" s="617"/>
      <c r="F238" s="617"/>
      <c r="G238" s="617"/>
      <c r="H238" s="617"/>
      <c r="I238" s="617"/>
      <c r="J238" s="617"/>
      <c r="K238" s="1692">
        <f>SUM(K232:K237)</f>
        <v>2001</v>
      </c>
      <c r="L238" s="1692">
        <f>SUM(L232:L237)</f>
        <v>1868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7</v>
      </c>
      <c r="E240" s="617"/>
      <c r="F240" s="617"/>
      <c r="G240" s="617"/>
      <c r="H240" s="617"/>
      <c r="I240" s="617"/>
      <c r="J240" s="617"/>
      <c r="K240" s="1694">
        <f>D240</f>
        <v>7</v>
      </c>
      <c r="L240" s="481"/>
    </row>
    <row r="241" spans="1:12" x14ac:dyDescent="0.2">
      <c r="A241" s="1526" t="s">
        <v>869</v>
      </c>
      <c r="B241" s="615">
        <v>2220</v>
      </c>
      <c r="C241" s="617"/>
      <c r="D241" s="466">
        <v>2306</v>
      </c>
      <c r="E241" s="617"/>
      <c r="F241" s="617"/>
      <c r="G241" s="617"/>
      <c r="H241" s="617"/>
      <c r="I241" s="617"/>
      <c r="J241" s="617"/>
      <c r="K241" s="1694">
        <f>D241</f>
        <v>2306</v>
      </c>
      <c r="L241" s="466">
        <v>2509</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2313</v>
      </c>
      <c r="E243" s="617"/>
      <c r="F243" s="617"/>
      <c r="G243" s="617"/>
      <c r="H243" s="617"/>
      <c r="I243" s="617"/>
      <c r="J243" s="617"/>
      <c r="K243" s="1692">
        <f>SUM(K240:K242)</f>
        <v>2313</v>
      </c>
      <c r="L243" s="1692">
        <f>SUM(L240:L242)</f>
        <v>2509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199</v>
      </c>
      <c r="E245" s="617"/>
      <c r="F245" s="617"/>
      <c r="G245" s="617"/>
      <c r="H245" s="617"/>
      <c r="I245" s="617"/>
      <c r="J245" s="617"/>
      <c r="K245" s="1694">
        <f>D245</f>
        <v>199</v>
      </c>
      <c r="L245" s="481">
        <v>199</v>
      </c>
    </row>
    <row r="246" spans="1:12" x14ac:dyDescent="0.2">
      <c r="A246" s="1526" t="s">
        <v>872</v>
      </c>
      <c r="B246" s="615">
        <v>2320</v>
      </c>
      <c r="C246" s="617"/>
      <c r="D246" s="466">
        <v>948</v>
      </c>
      <c r="E246" s="617"/>
      <c r="F246" s="617"/>
      <c r="G246" s="617"/>
      <c r="H246" s="617"/>
      <c r="I246" s="617"/>
      <c r="J246" s="617"/>
      <c r="K246" s="1694">
        <f t="shared" ref="K246:K256" si="21">D246</f>
        <v>948</v>
      </c>
      <c r="L246" s="466">
        <v>1051</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v>2379</v>
      </c>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1147</v>
      </c>
      <c r="E257" s="617"/>
      <c r="F257" s="617"/>
      <c r="G257" s="617"/>
      <c r="H257" s="617"/>
      <c r="I257" s="617"/>
      <c r="J257" s="617"/>
      <c r="K257" s="1692">
        <f>SUM(K245:K256)</f>
        <v>1147</v>
      </c>
      <c r="L257" s="1692">
        <f>SUM(L245:L256)</f>
        <v>3629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9071</v>
      </c>
      <c r="E259" s="617"/>
      <c r="F259" s="617"/>
      <c r="G259" s="617"/>
      <c r="H259" s="617"/>
      <c r="I259" s="617"/>
      <c r="J259" s="617"/>
      <c r="K259" s="1694">
        <f>D259</f>
        <v>9071</v>
      </c>
      <c r="L259" s="481">
        <v>8399</v>
      </c>
    </row>
    <row r="260" spans="1:14" s="598" customFormat="1" x14ac:dyDescent="0.2">
      <c r="A260" s="1544" t="s">
        <v>1907</v>
      </c>
      <c r="B260" s="629">
        <v>2490</v>
      </c>
      <c r="C260" s="617"/>
      <c r="D260" s="466">
        <v>528</v>
      </c>
      <c r="E260" s="617"/>
      <c r="F260" s="617"/>
      <c r="G260" s="617"/>
      <c r="H260" s="617"/>
      <c r="I260" s="617"/>
      <c r="J260" s="617"/>
      <c r="K260" s="1694">
        <f>D260</f>
        <v>528</v>
      </c>
      <c r="L260" s="466">
        <v>321</v>
      </c>
      <c r="M260" s="210"/>
      <c r="N260" s="210"/>
    </row>
    <row r="261" spans="1:14" ht="12.75" customHeight="1" thickBot="1" x14ac:dyDescent="0.25">
      <c r="A261" s="1714" t="s">
        <v>281</v>
      </c>
      <c r="B261" s="1719" t="s">
        <v>34</v>
      </c>
      <c r="C261" s="617"/>
      <c r="D261" s="1692">
        <f>SUM(D259:D260)</f>
        <v>9599</v>
      </c>
      <c r="E261" s="617"/>
      <c r="F261" s="617"/>
      <c r="G261" s="617"/>
      <c r="H261" s="617"/>
      <c r="I261" s="617"/>
      <c r="J261" s="617"/>
      <c r="K261" s="1692">
        <f>SUM(K259:K260)</f>
        <v>9599</v>
      </c>
      <c r="L261" s="1692">
        <f>SUM(L259:L260)</f>
        <v>8720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8450</v>
      </c>
      <c r="E264" s="617"/>
      <c r="F264" s="617"/>
      <c r="G264" s="617"/>
      <c r="H264" s="617"/>
      <c r="I264" s="617"/>
      <c r="J264" s="617"/>
      <c r="K264" s="1694">
        <f t="shared" ref="K264:K269" si="22">D264</f>
        <v>8450</v>
      </c>
      <c r="L264" s="466">
        <v>8833</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9956</v>
      </c>
      <c r="E266" s="617"/>
      <c r="F266" s="617"/>
      <c r="G266" s="617"/>
      <c r="H266" s="617"/>
      <c r="I266" s="617"/>
      <c r="J266" s="617"/>
      <c r="K266" s="1694">
        <f t="shared" si="22"/>
        <v>9956</v>
      </c>
      <c r="L266" s="466">
        <v>12684</v>
      </c>
    </row>
    <row r="267" spans="1:14" x14ac:dyDescent="0.2">
      <c r="A267" s="1526" t="s">
        <v>1010</v>
      </c>
      <c r="B267" s="615">
        <v>2550</v>
      </c>
      <c r="C267" s="617"/>
      <c r="D267" s="466">
        <v>1041</v>
      </c>
      <c r="E267" s="617"/>
      <c r="F267" s="617"/>
      <c r="G267" s="617"/>
      <c r="H267" s="617"/>
      <c r="I267" s="617"/>
      <c r="J267" s="617"/>
      <c r="K267" s="1694">
        <f t="shared" si="22"/>
        <v>1041</v>
      </c>
      <c r="L267" s="466"/>
    </row>
    <row r="268" spans="1:14" x14ac:dyDescent="0.2">
      <c r="A268" s="1526" t="s">
        <v>102</v>
      </c>
      <c r="B268" s="615">
        <v>2560</v>
      </c>
      <c r="C268" s="617"/>
      <c r="D268" s="466">
        <v>9918</v>
      </c>
      <c r="E268" s="617"/>
      <c r="F268" s="617"/>
      <c r="G268" s="617"/>
      <c r="H268" s="617"/>
      <c r="I268" s="617"/>
      <c r="J268" s="617"/>
      <c r="K268" s="1694">
        <f t="shared" si="22"/>
        <v>9918</v>
      </c>
      <c r="L268" s="466">
        <v>9545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29365</v>
      </c>
      <c r="E270" s="617"/>
      <c r="F270" s="617"/>
      <c r="G270" s="617"/>
      <c r="H270" s="617"/>
      <c r="I270" s="617"/>
      <c r="J270" s="617"/>
      <c r="K270" s="1692">
        <f>SUM(K263:K269)</f>
        <v>29365</v>
      </c>
      <c r="L270" s="1692">
        <f>SUM(L263:L269)</f>
        <v>31062</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v>5489</v>
      </c>
      <c r="E276" s="617"/>
      <c r="F276" s="617"/>
      <c r="G276" s="617"/>
      <c r="H276" s="617"/>
      <c r="I276" s="617"/>
      <c r="J276" s="617"/>
      <c r="K276" s="1694">
        <f>D276</f>
        <v>5489</v>
      </c>
      <c r="L276" s="466">
        <v>5499</v>
      </c>
    </row>
    <row r="277" spans="1:12" ht="12.75" customHeight="1" thickBot="1" x14ac:dyDescent="0.25">
      <c r="A277" s="1713" t="s">
        <v>37</v>
      </c>
      <c r="B277" s="1691" t="s">
        <v>36</v>
      </c>
      <c r="C277" s="617"/>
      <c r="D277" s="1692">
        <f>SUM(D272:D276)</f>
        <v>5489</v>
      </c>
      <c r="E277" s="617"/>
      <c r="F277" s="617"/>
      <c r="G277" s="617"/>
      <c r="H277" s="617"/>
      <c r="I277" s="617"/>
      <c r="J277" s="617"/>
      <c r="K277" s="1692">
        <f>SUM(K272:K276)</f>
        <v>5489</v>
      </c>
      <c r="L277" s="1692">
        <f>SUM(L272:L276)</f>
        <v>5499</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49914</v>
      </c>
      <c r="E279" s="617"/>
      <c r="F279" s="617"/>
      <c r="G279" s="617"/>
      <c r="H279" s="617"/>
      <c r="I279" s="617"/>
      <c r="J279" s="617"/>
      <c r="K279" s="1699">
        <f>SUM(K238,K243,K257,K261,K270,K277,K278)</f>
        <v>49914</v>
      </c>
      <c r="L279" s="1699">
        <f>SUM(L238,L243,L257,L261,L270,L277,L278)</f>
        <v>53287</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75998</v>
      </c>
      <c r="E295" s="617"/>
      <c r="F295" s="617"/>
      <c r="G295" s="617"/>
      <c r="H295" s="1692">
        <f>H293</f>
        <v>0</v>
      </c>
      <c r="I295" s="617"/>
      <c r="J295" s="617"/>
      <c r="K295" s="1692">
        <f>SUM(K229,K279,K280,K285,K293,K294)</f>
        <v>75998</v>
      </c>
      <c r="L295" s="1692">
        <f>SUM(L229,L279,L280,L285,L293,L294)</f>
        <v>80781</v>
      </c>
    </row>
    <row r="296" spans="1:14" ht="13.5" thickTop="1" x14ac:dyDescent="0.2">
      <c r="A296" s="2201" t="s">
        <v>1053</v>
      </c>
      <c r="B296" s="2202"/>
      <c r="C296" s="617"/>
      <c r="D296" s="619"/>
      <c r="E296" s="617"/>
      <c r="F296" s="617"/>
      <c r="G296" s="617"/>
      <c r="H296" s="688"/>
      <c r="I296" s="617"/>
      <c r="J296" s="617"/>
      <c r="K296" s="1706">
        <f>'Revenues 9-14'!G275-'Expenditures 15-22'!K295</f>
        <v>3018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v>54180</v>
      </c>
      <c r="G301" s="466"/>
      <c r="H301" s="466"/>
      <c r="I301" s="467"/>
      <c r="J301" s="467"/>
      <c r="K301" s="1693">
        <f>SUM(C301:J301)</f>
        <v>54180</v>
      </c>
      <c r="L301" s="467">
        <v>54180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54180</v>
      </c>
      <c r="G303" s="1699">
        <f t="shared" si="23"/>
        <v>0</v>
      </c>
      <c r="H303" s="1699">
        <f t="shared" si="23"/>
        <v>0</v>
      </c>
      <c r="I303" s="1699">
        <f t="shared" si="23"/>
        <v>0</v>
      </c>
      <c r="J303" s="1699">
        <f t="shared" si="23"/>
        <v>0</v>
      </c>
      <c r="K303" s="1699">
        <f t="shared" si="23"/>
        <v>54180</v>
      </c>
      <c r="L303" s="1699">
        <f t="shared" si="23"/>
        <v>54180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54180</v>
      </c>
      <c r="G312" s="1692">
        <f>SUM(G303)</f>
        <v>0</v>
      </c>
      <c r="H312" s="1692">
        <f>SUM(H303,H310)</f>
        <v>0</v>
      </c>
      <c r="I312" s="1692">
        <f>SUM(I303)</f>
        <v>0</v>
      </c>
      <c r="J312" s="1692">
        <f>SUM(J303)</f>
        <v>0</v>
      </c>
      <c r="K312" s="1692">
        <f>SUM(K303,K310,K311)</f>
        <v>54180</v>
      </c>
      <c r="L312" s="1692">
        <f>SUM(L303,L310,L311)</f>
        <v>54180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-51355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11194</v>
      </c>
      <c r="F320" s="467"/>
      <c r="G320" s="467"/>
      <c r="H320" s="467"/>
      <c r="I320" s="467"/>
      <c r="J320" s="467"/>
      <c r="K320" s="1693">
        <f t="shared" ref="K320:K327" si="24">SUM(C320:J320)</f>
        <v>11194</v>
      </c>
      <c r="L320" s="467">
        <v>12000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500</v>
      </c>
      <c r="M321" s="666"/>
      <c r="N321" s="666"/>
    </row>
    <row r="322" spans="1:14" s="675" customFormat="1" x14ac:dyDescent="0.2">
      <c r="A322" s="1541" t="s">
        <v>256</v>
      </c>
      <c r="B322" s="698" t="s">
        <v>302</v>
      </c>
      <c r="C322" s="467"/>
      <c r="D322" s="467"/>
      <c r="E322" s="467">
        <v>29526</v>
      </c>
      <c r="F322" s="467"/>
      <c r="G322" s="467"/>
      <c r="H322" s="467"/>
      <c r="I322" s="467"/>
      <c r="J322" s="467"/>
      <c r="K322" s="1693">
        <f t="shared" si="24"/>
        <v>29526</v>
      </c>
      <c r="L322" s="467">
        <v>29534</v>
      </c>
      <c r="M322" s="666"/>
      <c r="N322" s="666"/>
    </row>
    <row r="323" spans="1:14" s="675" customFormat="1" x14ac:dyDescent="0.2">
      <c r="A323" s="1541" t="s">
        <v>726</v>
      </c>
      <c r="B323" s="698" t="s">
        <v>303</v>
      </c>
      <c r="C323" s="467">
        <v>17164</v>
      </c>
      <c r="D323" s="467">
        <v>5439</v>
      </c>
      <c r="E323" s="467">
        <v>3450</v>
      </c>
      <c r="F323" s="467"/>
      <c r="G323" s="467" t="s">
        <v>1231</v>
      </c>
      <c r="H323" s="467"/>
      <c r="I323" s="467"/>
      <c r="J323" s="467"/>
      <c r="K323" s="1693">
        <f t="shared" si="24"/>
        <v>26053</v>
      </c>
      <c r="L323" s="467">
        <v>38718</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9991</v>
      </c>
      <c r="F325" s="467"/>
      <c r="G325" s="467"/>
      <c r="H325" s="467"/>
      <c r="I325" s="467"/>
      <c r="J325" s="467"/>
      <c r="K325" s="1693">
        <f t="shared" si="24"/>
        <v>9991</v>
      </c>
      <c r="L325" s="467">
        <v>8825</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8036</v>
      </c>
      <c r="F327" s="467"/>
      <c r="G327" s="467"/>
      <c r="H327" s="467"/>
      <c r="I327" s="467"/>
      <c r="J327" s="467"/>
      <c r="K327" s="1693">
        <f t="shared" si="24"/>
        <v>8036</v>
      </c>
      <c r="L327" s="467">
        <v>8300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17164</v>
      </c>
      <c r="D330" s="1692">
        <f t="shared" ref="D330:J330" si="25">SUM(D319:D329)</f>
        <v>5439</v>
      </c>
      <c r="E330" s="1692">
        <f t="shared" si="25"/>
        <v>62197</v>
      </c>
      <c r="F330" s="1692">
        <f t="shared" si="25"/>
        <v>0</v>
      </c>
      <c r="G330" s="1692">
        <f t="shared" si="25"/>
        <v>0</v>
      </c>
      <c r="H330" s="1692">
        <f t="shared" si="25"/>
        <v>0</v>
      </c>
      <c r="I330" s="1692">
        <f t="shared" si="25"/>
        <v>0</v>
      </c>
      <c r="J330" s="1692">
        <f t="shared" si="25"/>
        <v>0</v>
      </c>
      <c r="K330" s="1692">
        <f>SUM(K319:K329)</f>
        <v>84800</v>
      </c>
      <c r="L330" s="1692">
        <f>SUM(L319:L329)</f>
        <v>97877</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17164</v>
      </c>
      <c r="D342" s="1692">
        <f>SUM(D330)</f>
        <v>5439</v>
      </c>
      <c r="E342" s="1692">
        <f>SUM(E330)</f>
        <v>62197</v>
      </c>
      <c r="F342" s="1692">
        <f>SUM(F330)</f>
        <v>0</v>
      </c>
      <c r="G342" s="1692">
        <f>SUM(G330)</f>
        <v>0</v>
      </c>
      <c r="H342" s="1692">
        <f>SUM(H330,H334,H340)</f>
        <v>0</v>
      </c>
      <c r="I342" s="1692">
        <f>SUM(I330)</f>
        <v>0</v>
      </c>
      <c r="J342" s="1692">
        <f>SUM(J330)</f>
        <v>0</v>
      </c>
      <c r="K342" s="1692">
        <f>SUM(K330,K334,K340)</f>
        <v>84800</v>
      </c>
      <c r="L342" s="1699">
        <f>SUM(L330,L340,L341)</f>
        <v>97877</v>
      </c>
    </row>
    <row r="343" spans="1:14" ht="12.75" customHeight="1" thickTop="1" x14ac:dyDescent="0.2">
      <c r="A343" s="2187" t="s">
        <v>1053</v>
      </c>
      <c r="B343" s="2188"/>
      <c r="C343" s="617"/>
      <c r="D343" s="617"/>
      <c r="E343" s="617"/>
      <c r="F343" s="617"/>
      <c r="G343" s="617"/>
      <c r="H343" s="617"/>
      <c r="I343" s="617"/>
      <c r="J343" s="617"/>
      <c r="K343" s="1706">
        <f>'Revenues 9-14'!J275-'Expenditures 15-22'!K342</f>
        <v>73179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1" t="s">
        <v>1053</v>
      </c>
      <c r="B368" s="2202"/>
      <c r="C368" s="655"/>
      <c r="D368" s="655"/>
      <c r="E368" s="627"/>
      <c r="F368" s="627"/>
      <c r="G368" s="627"/>
      <c r="H368" s="627"/>
      <c r="I368" s="627"/>
      <c r="J368" s="624"/>
      <c r="K368" s="1693">
        <f>'Revenues 9-14'!K275-'Expenditures 15-22'!K367</f>
        <v>23280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25" right="0.25" top="0.75" bottom="0.5" header="0.3" footer="0.3"/>
  <pageSetup scale="70" firstPageNumber="15"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election activeCell="C2" sqref="C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1905</v>
      </c>
      <c r="B2" s="1550" t="s">
        <v>2037</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71">
        <f>'Revenues 9-14'!C5</f>
        <v>915664</v>
      </c>
      <c r="C4" s="1546"/>
      <c r="D4" s="1774">
        <f>B4-C4</f>
        <v>915664</v>
      </c>
      <c r="E4" s="1546">
        <v>951928</v>
      </c>
      <c r="F4" s="1774">
        <f>E4-C4</f>
        <v>951928</v>
      </c>
    </row>
    <row r="5" spans="1:6" ht="13.7" customHeight="1" x14ac:dyDescent="0.2">
      <c r="A5" s="716" t="s">
        <v>925</v>
      </c>
      <c r="B5" s="1772">
        <f>'Revenues 9-14'!D5</f>
        <v>115033</v>
      </c>
      <c r="C5" s="585"/>
      <c r="D5" s="1775">
        <f t="shared" ref="D5:D18" si="0">B5-C5</f>
        <v>115033</v>
      </c>
      <c r="E5" s="585">
        <v>119589</v>
      </c>
      <c r="F5" s="1775">
        <f>E5-C5</f>
        <v>119589</v>
      </c>
    </row>
    <row r="6" spans="1:6" ht="13.7" customHeight="1" x14ac:dyDescent="0.2">
      <c r="A6" s="716" t="s">
        <v>431</v>
      </c>
      <c r="B6" s="1772">
        <f>'Revenues 9-14'!E5</f>
        <v>222219</v>
      </c>
      <c r="C6" s="585"/>
      <c r="D6" s="1775">
        <f t="shared" si="0"/>
        <v>222219</v>
      </c>
      <c r="E6" s="585">
        <v>221335</v>
      </c>
      <c r="F6" s="1775">
        <f t="shared" ref="F6:F18" si="1">E6-C6</f>
        <v>221335</v>
      </c>
    </row>
    <row r="7" spans="1:6" ht="13.7" customHeight="1" x14ac:dyDescent="0.2">
      <c r="A7" s="716" t="s">
        <v>157</v>
      </c>
      <c r="B7" s="1772">
        <f>'Revenues 9-14'!F5</f>
        <v>55215</v>
      </c>
      <c r="C7" s="585"/>
      <c r="D7" s="1775">
        <f t="shared" si="0"/>
        <v>55215</v>
      </c>
      <c r="E7" s="585">
        <v>57403</v>
      </c>
      <c r="F7" s="1775">
        <f t="shared" si="1"/>
        <v>57403</v>
      </c>
    </row>
    <row r="8" spans="1:6" ht="13.7" customHeight="1" x14ac:dyDescent="0.2">
      <c r="A8" s="716" t="s">
        <v>1241</v>
      </c>
      <c r="B8" s="1772">
        <f>'Revenues 9-14'!G5</f>
        <v>31882</v>
      </c>
      <c r="C8" s="585"/>
      <c r="D8" s="1775">
        <f t="shared" si="0"/>
        <v>31882</v>
      </c>
      <c r="E8" s="585">
        <v>35015</v>
      </c>
      <c r="F8" s="1775">
        <f t="shared" si="1"/>
        <v>35015</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23007</v>
      </c>
      <c r="C10" s="585"/>
      <c r="D10" s="1775">
        <f t="shared" si="0"/>
        <v>23007</v>
      </c>
      <c r="E10" s="585">
        <v>23918</v>
      </c>
      <c r="F10" s="1775">
        <f t="shared" si="1"/>
        <v>23918</v>
      </c>
    </row>
    <row r="11" spans="1:6" x14ac:dyDescent="0.2">
      <c r="A11" s="716" t="s">
        <v>429</v>
      </c>
      <c r="B11" s="1772">
        <f>'Revenues 9-14'!J5</f>
        <v>154368</v>
      </c>
      <c r="C11" s="585"/>
      <c r="D11" s="1775">
        <f t="shared" si="0"/>
        <v>154368</v>
      </c>
      <c r="E11" s="585">
        <v>160010</v>
      </c>
      <c r="F11" s="1775">
        <f t="shared" si="1"/>
        <v>160010</v>
      </c>
    </row>
    <row r="12" spans="1:6" ht="13.7" customHeight="1" x14ac:dyDescent="0.2">
      <c r="A12" s="716" t="s">
        <v>159</v>
      </c>
      <c r="B12" s="1772">
        <f>'Revenues 9-14'!K5</f>
        <v>23007</v>
      </c>
      <c r="C12" s="585"/>
      <c r="D12" s="1775">
        <f t="shared" si="0"/>
        <v>23007</v>
      </c>
      <c r="E12" s="585">
        <v>23918</v>
      </c>
      <c r="F12" s="1775">
        <f t="shared" si="1"/>
        <v>23918</v>
      </c>
    </row>
    <row r="13" spans="1:6" ht="13.7" customHeight="1" x14ac:dyDescent="0.2">
      <c r="A13" s="716" t="s">
        <v>993</v>
      </c>
      <c r="B13" s="1772">
        <f>SUM('Revenues 9-14'!C6:D6)</f>
        <v>23007</v>
      </c>
      <c r="C13" s="585"/>
      <c r="D13" s="1775">
        <f t="shared" si="0"/>
        <v>23007</v>
      </c>
      <c r="E13" s="585">
        <v>23918</v>
      </c>
      <c r="F13" s="1775">
        <f t="shared" si="1"/>
        <v>23918</v>
      </c>
    </row>
    <row r="14" spans="1:6" ht="13.7" customHeight="1" x14ac:dyDescent="0.2">
      <c r="A14" s="716" t="s">
        <v>430</v>
      </c>
      <c r="B14" s="1772">
        <f>SUM('Revenues 9-14'!C7:D7,'Revenues 9-14'!F7:H7)</f>
        <v>9203</v>
      </c>
      <c r="C14" s="585"/>
      <c r="D14" s="1775">
        <f t="shared" si="0"/>
        <v>9203</v>
      </c>
      <c r="E14" s="585">
        <v>9567</v>
      </c>
      <c r="F14" s="1775">
        <f t="shared" si="1"/>
        <v>9567</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41826</v>
      </c>
      <c r="C16" s="585"/>
      <c r="D16" s="1775">
        <f t="shared" si="0"/>
        <v>41826</v>
      </c>
      <c r="E16" s="585">
        <v>45013</v>
      </c>
      <c r="F16" s="1775">
        <f t="shared" si="1"/>
        <v>45013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1614431</v>
      </c>
      <c r="C19" s="1773">
        <f>SUM(C4:C18)</f>
        <v>0</v>
      </c>
      <c r="D19" s="1773">
        <f>SUM(D4:D18)</f>
        <v>1614431</v>
      </c>
      <c r="E19" s="1773">
        <f>SUM(E4:E18)</f>
        <v>1671614</v>
      </c>
      <c r="F19" s="1773">
        <f>SUM(F4:F18)</f>
        <v>1671614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C26" sqref="C2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22"/>
    </row>
    <row r="2" spans="1:7" ht="33.75" x14ac:dyDescent="0.2">
      <c r="A2" s="2218" t="s">
        <v>1905</v>
      </c>
      <c r="B2" s="2219"/>
      <c r="C2" s="1909" t="s">
        <v>2038</v>
      </c>
      <c r="D2" s="724" t="s">
        <v>2045</v>
      </c>
      <c r="E2" s="724" t="s">
        <v>2046</v>
      </c>
      <c r="F2" s="1909" t="s">
        <v>2039</v>
      </c>
    </row>
    <row r="3" spans="1:7" ht="15.75" customHeight="1" x14ac:dyDescent="0.2">
      <c r="A3" s="2222" t="s">
        <v>1176</v>
      </c>
      <c r="B3" s="2223"/>
      <c r="C3" s="2211"/>
      <c r="D3" s="2212"/>
      <c r="E3" s="2212"/>
      <c r="F3" s="2213"/>
    </row>
    <row r="4" spans="1:7" ht="12.75" customHeight="1" thickBot="1" x14ac:dyDescent="0.25">
      <c r="A4" s="2220" t="s">
        <v>651</v>
      </c>
      <c r="B4" s="2221"/>
      <c r="C4" s="581"/>
      <c r="D4" s="581"/>
      <c r="E4" s="581"/>
      <c r="F4" s="1777">
        <f>SUM(C4+D4)-E4</f>
        <v>0</v>
      </c>
    </row>
    <row r="5" spans="1:7" ht="15.75" customHeight="1" thickTop="1" x14ac:dyDescent="0.2">
      <c r="A5" s="2205" t="s">
        <v>1172</v>
      </c>
      <c r="B5" s="2206"/>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7" t="s">
        <v>652</v>
      </c>
      <c r="B15" s="2208"/>
      <c r="C15" s="1777">
        <f>SUM(C6:C14)</f>
        <v>0</v>
      </c>
      <c r="D15" s="1777">
        <f>SUM(D6:D14)</f>
        <v>0</v>
      </c>
      <c r="E15" s="1777">
        <f>SUM(E6:E14)</f>
        <v>0</v>
      </c>
      <c r="F15" s="1777">
        <f>SUM(F6:F14)</f>
        <v>0</v>
      </c>
      <c r="G15" s="552"/>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27"/>
      <c r="D17" s="585"/>
      <c r="E17" s="727"/>
      <c r="F17" s="1777">
        <f>SUM(C17+D17)-E17</f>
        <v>0</v>
      </c>
    </row>
    <row r="18" spans="1:11" ht="12.75" customHeight="1" thickTop="1" thickBot="1" x14ac:dyDescent="0.25">
      <c r="A18" s="2230" t="s">
        <v>6</v>
      </c>
      <c r="B18" s="2231"/>
      <c r="C18" s="727"/>
      <c r="D18" s="585"/>
      <c r="E18" s="727"/>
      <c r="F18" s="1777">
        <f>SUM(C18+D18)-E18</f>
        <v>0</v>
      </c>
    </row>
    <row r="19" spans="1:11" ht="12.75" customHeight="1" thickTop="1" thickBot="1" x14ac:dyDescent="0.25">
      <c r="A19" s="2230" t="s">
        <v>406</v>
      </c>
      <c r="B19" s="2231"/>
      <c r="C19" s="727"/>
      <c r="D19" s="585"/>
      <c r="E19" s="727"/>
      <c r="F19" s="1777">
        <f>SUM(C19+D19)-E19</f>
        <v>0</v>
      </c>
    </row>
    <row r="20" spans="1:11" ht="12.75" customHeight="1" thickTop="1" thickBot="1" x14ac:dyDescent="0.25">
      <c r="A20" s="2230" t="s">
        <v>468</v>
      </c>
      <c r="B20" s="2231"/>
      <c r="C20" s="727"/>
      <c r="D20" s="585"/>
      <c r="E20" s="727"/>
      <c r="F20" s="1777">
        <f>SUM(C20+D20)-E20</f>
        <v>0</v>
      </c>
    </row>
    <row r="21" spans="1:11" ht="14.25" thickTop="1" thickBot="1" x14ac:dyDescent="0.25">
      <c r="A21" s="2207" t="s">
        <v>653</v>
      </c>
      <c r="B21" s="2208"/>
      <c r="C21" s="1777">
        <f>SUM(C17:C20)</f>
        <v>0</v>
      </c>
      <c r="D21" s="1777">
        <f>SUM(D17:D20)</f>
        <v>0</v>
      </c>
      <c r="E21" s="1777">
        <f>SUM(E17:E20)</f>
        <v>0</v>
      </c>
      <c r="F21" s="1777">
        <f>SUM(F17:F20)</f>
        <v>0</v>
      </c>
      <c r="G21" s="552"/>
    </row>
    <row r="22" spans="1:11" ht="15.75" customHeight="1" thickTop="1" x14ac:dyDescent="0.2">
      <c r="A22" s="2232" t="s">
        <v>1174</v>
      </c>
      <c r="B22" s="2206"/>
      <c r="C22" s="2214"/>
      <c r="D22" s="2215"/>
      <c r="E22" s="2215"/>
      <c r="F22" s="2216"/>
    </row>
    <row r="23" spans="1:11" ht="13.5" thickBot="1" x14ac:dyDescent="0.25">
      <c r="A23" s="2220" t="s">
        <v>654</v>
      </c>
      <c r="B23" s="2221"/>
      <c r="C23" s="581"/>
      <c r="D23" s="581"/>
      <c r="E23" s="581"/>
      <c r="F23" s="1777">
        <f>SUM(C23+D23)-E23</f>
        <v>0</v>
      </c>
      <c r="G23" s="552"/>
    </row>
    <row r="24" spans="1:11" ht="15.75" customHeight="1" thickTop="1" x14ac:dyDescent="0.2">
      <c r="A24" s="2232" t="s">
        <v>1175</v>
      </c>
      <c r="B24" s="2206"/>
      <c r="C24" s="2214"/>
      <c r="D24" s="2215"/>
      <c r="E24" s="2215"/>
      <c r="F24" s="2216"/>
    </row>
    <row r="25" spans="1:11" ht="13.5" thickBot="1" x14ac:dyDescent="0.25">
      <c r="A25" s="2220" t="s">
        <v>655</v>
      </c>
      <c r="B25" s="2221"/>
      <c r="C25" s="581"/>
      <c r="D25" s="581"/>
      <c r="E25" s="581"/>
      <c r="F25" s="1777">
        <f>SUM(C25+D25)-E25</f>
        <v>0</v>
      </c>
      <c r="G25" s="552"/>
    </row>
    <row r="26" spans="1:11" ht="15.75" customHeight="1" thickTop="1" x14ac:dyDescent="0.2">
      <c r="A26" s="2205" t="s">
        <v>678</v>
      </c>
      <c r="B26" s="2206"/>
      <c r="C26" s="728"/>
      <c r="D26" s="728"/>
      <c r="E26" s="728"/>
      <c r="F26" s="729"/>
    </row>
    <row r="27" spans="1:11" ht="13.5" thickBot="1" x14ac:dyDescent="0.25">
      <c r="A27" s="2207" t="s">
        <v>1130</v>
      </c>
      <c r="B27" s="2208"/>
      <c r="C27" s="585"/>
      <c r="D27" s="585"/>
      <c r="E27" s="585"/>
      <c r="F27" s="1777">
        <f>SUM(C27+D27)-E27</f>
        <v>0</v>
      </c>
      <c r="G27" s="552"/>
    </row>
    <row r="28" spans="1:11" ht="7.5" customHeight="1" thickTop="1" x14ac:dyDescent="0.2">
      <c r="A28" s="594"/>
    </row>
    <row r="29" spans="1:11" ht="23.25" customHeight="1" x14ac:dyDescent="0.2">
      <c r="A29" s="2233" t="s">
        <v>603</v>
      </c>
      <c r="B29" s="2210"/>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427</v>
      </c>
      <c r="B31" s="734">
        <v>41609</v>
      </c>
      <c r="C31" s="735">
        <v>300000</v>
      </c>
      <c r="D31" s="736">
        <v>1</v>
      </c>
      <c r="E31" s="735">
        <v>130000</v>
      </c>
      <c r="F31" s="735"/>
      <c r="G31" s="735"/>
      <c r="H31" s="735">
        <v>75000</v>
      </c>
      <c r="I31" s="1778">
        <f>((E31+F31)-H31)+G31</f>
        <v>55000</v>
      </c>
      <c r="J31" s="735">
        <v>54081</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t="s">
        <v>427</v>
      </c>
      <c r="B33" s="734">
        <v>42794</v>
      </c>
      <c r="C33" s="735">
        <v>689000</v>
      </c>
      <c r="D33" s="736">
        <v>1</v>
      </c>
      <c r="E33" s="735">
        <v>689000</v>
      </c>
      <c r="F33" s="735"/>
      <c r="G33" s="735"/>
      <c r="H33" s="735">
        <v>121100</v>
      </c>
      <c r="I33" s="1778">
        <f t="shared" ref="I33:I48" si="1">((E33+F33)-H33)+G33</f>
        <v>567900</v>
      </c>
      <c r="J33" s="735">
        <v>567551</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989000</v>
      </c>
      <c r="D49" s="746"/>
      <c r="E49" s="1778">
        <f t="shared" ref="E49:J49" si="2">SUM(E31:E48)</f>
        <v>819000</v>
      </c>
      <c r="F49" s="1778">
        <f t="shared" si="2"/>
        <v>0</v>
      </c>
      <c r="G49" s="1778">
        <f t="shared" si="2"/>
        <v>0</v>
      </c>
      <c r="H49" s="1778">
        <f t="shared" si="2"/>
        <v>196100</v>
      </c>
      <c r="I49" s="1778">
        <f t="shared" si="2"/>
        <v>622900</v>
      </c>
      <c r="J49" s="1778">
        <f t="shared" si="2"/>
        <v>621632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c r="G52" s="2227"/>
      <c r="H52" s="737"/>
      <c r="I52" s="737"/>
      <c r="J52" s="747"/>
    </row>
    <row r="53" spans="1:11" ht="11.25" customHeight="1" x14ac:dyDescent="0.2">
      <c r="A53" s="751" t="s">
        <v>969</v>
      </c>
      <c r="B53" s="752" t="s">
        <v>1008</v>
      </c>
      <c r="C53" s="747"/>
      <c r="D53" s="738"/>
      <c r="E53" s="750" t="s">
        <v>518</v>
      </c>
      <c r="F53" s="2228"/>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G18" sqref="G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37" t="s">
        <v>1776</v>
      </c>
      <c r="B2" s="2238"/>
      <c r="C2" s="2238"/>
      <c r="D2" s="2238"/>
      <c r="E2" s="2239"/>
      <c r="F2" s="762" t="s">
        <v>960</v>
      </c>
      <c r="G2" s="763" t="s">
        <v>1773</v>
      </c>
      <c r="H2" s="763" t="s">
        <v>430</v>
      </c>
      <c r="I2" s="763" t="s">
        <v>1220</v>
      </c>
      <c r="J2" s="763" t="s">
        <v>1919</v>
      </c>
      <c r="K2" s="763" t="s">
        <v>140</v>
      </c>
    </row>
    <row r="3" spans="1:11" x14ac:dyDescent="0.2">
      <c r="A3" s="2240" t="s">
        <v>1698</v>
      </c>
      <c r="B3" s="2241"/>
      <c r="C3" s="2241"/>
      <c r="D3" s="2241"/>
      <c r="E3" s="2242"/>
      <c r="F3" s="764"/>
      <c r="G3" s="765"/>
      <c r="H3" s="765"/>
      <c r="I3" s="765"/>
      <c r="J3" s="766"/>
      <c r="K3" s="766"/>
    </row>
    <row r="4" spans="1:11" x14ac:dyDescent="0.2">
      <c r="A4" s="2243" t="s">
        <v>387</v>
      </c>
      <c r="B4" s="2244"/>
      <c r="C4" s="2244"/>
      <c r="D4" s="2244"/>
      <c r="E4" s="2225"/>
      <c r="F4" s="767"/>
      <c r="G4" s="768"/>
      <c r="H4" s="769"/>
      <c r="I4" s="768"/>
      <c r="J4" s="770"/>
      <c r="K4" s="770"/>
    </row>
    <row r="5" spans="1:11" x14ac:dyDescent="0.2">
      <c r="A5" s="2261" t="s">
        <v>1129</v>
      </c>
      <c r="B5" s="2234"/>
      <c r="C5" s="2234"/>
      <c r="D5" s="2234"/>
      <c r="E5" s="2262"/>
      <c r="F5" s="771" t="s">
        <v>903</v>
      </c>
      <c r="G5" s="772"/>
      <c r="H5" s="765">
        <v>9203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1" t="s">
        <v>1920</v>
      </c>
      <c r="B10" s="2234"/>
      <c r="C10" s="2234"/>
      <c r="D10" s="2234"/>
      <c r="E10" s="2263"/>
      <c r="F10" s="784" t="s">
        <v>917</v>
      </c>
      <c r="G10" s="783"/>
      <c r="H10" s="785"/>
      <c r="I10" s="765"/>
      <c r="J10" s="766"/>
      <c r="K10" s="766"/>
    </row>
    <row r="11" spans="1:11" x14ac:dyDescent="0.2">
      <c r="A11" s="2261" t="s">
        <v>162</v>
      </c>
      <c r="B11" s="2234"/>
      <c r="C11" s="2234"/>
      <c r="D11" s="2234"/>
      <c r="E11" s="2262"/>
      <c r="F11" s="771" t="s">
        <v>907</v>
      </c>
      <c r="G11" s="772"/>
      <c r="H11" s="765"/>
      <c r="I11" s="765"/>
      <c r="J11" s="766"/>
      <c r="K11" s="774"/>
    </row>
    <row r="12" spans="1:11" ht="13.5" thickBot="1" x14ac:dyDescent="0.25">
      <c r="A12" s="2251" t="s">
        <v>961</v>
      </c>
      <c r="B12" s="2252"/>
      <c r="C12" s="2252"/>
      <c r="D12" s="2252"/>
      <c r="E12" s="2253"/>
      <c r="F12" s="1779"/>
      <c r="G12" s="1780">
        <f>SUM(G5:G11)</f>
        <v>0</v>
      </c>
      <c r="H12" s="1780">
        <f>SUM(H5:H11)</f>
        <v>9203</v>
      </c>
      <c r="I12" s="1780">
        <f>SUM(I5:I11)</f>
        <v>0</v>
      </c>
      <c r="J12" s="1780">
        <f>SUM(J5:J11)</f>
        <v>0</v>
      </c>
      <c r="K12" s="1780">
        <f>SUM(K5:K11)</f>
        <v>0</v>
      </c>
    </row>
    <row r="13" spans="1:11" ht="13.5" thickTop="1" x14ac:dyDescent="0.2">
      <c r="A13" s="2245" t="s">
        <v>388</v>
      </c>
      <c r="B13" s="2246"/>
      <c r="C13" s="2246"/>
      <c r="D13" s="2246"/>
      <c r="E13" s="2247"/>
      <c r="F13" s="786"/>
      <c r="G13" s="787"/>
      <c r="H13" s="788"/>
      <c r="I13" s="789"/>
      <c r="J13" s="789"/>
      <c r="K13" s="789"/>
    </row>
    <row r="14" spans="1:11" x14ac:dyDescent="0.2">
      <c r="A14" s="2267" t="s">
        <v>476</v>
      </c>
      <c r="B14" s="2267"/>
      <c r="C14" s="2267"/>
      <c r="D14" s="2267"/>
      <c r="E14" s="2268"/>
      <c r="F14" s="790" t="s">
        <v>909</v>
      </c>
      <c r="G14" s="783"/>
      <c r="H14" s="765">
        <v>9203</v>
      </c>
      <c r="I14" s="772"/>
      <c r="J14" s="774"/>
      <c r="K14" s="766"/>
    </row>
    <row r="15" spans="1:11" x14ac:dyDescent="0.2">
      <c r="A15" s="2234" t="s">
        <v>4</v>
      </c>
      <c r="B15" s="2234"/>
      <c r="C15" s="2234"/>
      <c r="D15" s="2234"/>
      <c r="E15" s="2262"/>
      <c r="F15" s="790" t="s">
        <v>910</v>
      </c>
      <c r="G15" s="772"/>
      <c r="H15" s="765"/>
      <c r="I15" s="765"/>
      <c r="J15" s="766"/>
      <c r="K15" s="766"/>
    </row>
    <row r="16" spans="1:11" x14ac:dyDescent="0.2">
      <c r="A16" s="2234" t="s">
        <v>316</v>
      </c>
      <c r="B16" s="2234"/>
      <c r="C16" s="2234"/>
      <c r="D16" s="2234"/>
      <c r="E16" s="2262"/>
      <c r="F16" s="790" t="s">
        <v>980</v>
      </c>
      <c r="G16" s="773"/>
      <c r="H16" s="768"/>
      <c r="I16" s="768"/>
      <c r="J16" s="770"/>
      <c r="K16" s="770"/>
    </row>
    <row r="17" spans="1:11" x14ac:dyDescent="0.2">
      <c r="A17" s="2256" t="s">
        <v>992</v>
      </c>
      <c r="B17" s="2256"/>
      <c r="C17" s="2256"/>
      <c r="D17" s="2256"/>
      <c r="E17" s="2257"/>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69" t="s">
        <v>1916</v>
      </c>
      <c r="B19" s="2269"/>
      <c r="C19" s="2269"/>
      <c r="D19" s="2269"/>
      <c r="E19" s="2270"/>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54" t="s">
        <v>659</v>
      </c>
      <c r="B21" s="2254"/>
      <c r="C21" s="2254"/>
      <c r="D21" s="2254"/>
      <c r="E21" s="2254"/>
      <c r="F21" s="1781"/>
      <c r="G21" s="793"/>
      <c r="H21" s="797"/>
      <c r="I21" s="797"/>
      <c r="J21" s="1782">
        <f>SUM(J18:J20)</f>
        <v>0</v>
      </c>
      <c r="K21" s="794"/>
    </row>
    <row r="22" spans="1:11" ht="13.5" thickTop="1" x14ac:dyDescent="0.2">
      <c r="A22" s="2234" t="s">
        <v>1922</v>
      </c>
      <c r="B22" s="2234"/>
      <c r="C22" s="2234"/>
      <c r="D22" s="2234"/>
      <c r="E22" s="2262"/>
      <c r="F22" s="790" t="s">
        <v>917</v>
      </c>
      <c r="G22" s="783"/>
      <c r="H22" s="765"/>
      <c r="I22" s="765"/>
      <c r="J22" s="798"/>
      <c r="K22" s="766"/>
    </row>
    <row r="23" spans="1:11" ht="13.5" thickBot="1" x14ac:dyDescent="0.25">
      <c r="A23" s="2255" t="s">
        <v>962</v>
      </c>
      <c r="B23" s="2254"/>
      <c r="C23" s="2254"/>
      <c r="D23" s="2254"/>
      <c r="E23" s="2254"/>
      <c r="F23" s="1783"/>
      <c r="G23" s="1780">
        <f>SUM(G14:G16,G21,G22)</f>
        <v>0</v>
      </c>
      <c r="H23" s="1780">
        <f>SUM(H14:H16,H21,H22)</f>
        <v>9203</v>
      </c>
      <c r="I23" s="1780">
        <f>SUM(I14:I16,I21,I22)</f>
        <v>0</v>
      </c>
      <c r="J23" s="1780">
        <f>SUM(J14:J16,J21,J22)</f>
        <v>0</v>
      </c>
      <c r="K23" s="1780">
        <f>SUM(K14:K16,K21,K22)</f>
        <v>0</v>
      </c>
    </row>
    <row r="24" spans="1:11" ht="14.25" thickTop="1" thickBot="1" x14ac:dyDescent="0.25">
      <c r="A24" s="2255" t="s">
        <v>2026</v>
      </c>
      <c r="B24" s="2254"/>
      <c r="C24" s="2254"/>
      <c r="D24" s="2254"/>
      <c r="E24" s="225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35"/>
      <c r="C41" s="2235"/>
      <c r="D41" s="2235"/>
      <c r="E41" s="2235"/>
      <c r="F41" s="223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2035</v>
      </c>
      <c r="B1" s="2274"/>
      <c r="C1" s="2275"/>
      <c r="D1" s="827"/>
      <c r="E1" s="828"/>
      <c r="F1" s="828"/>
      <c r="G1" s="829"/>
      <c r="H1" s="830"/>
      <c r="I1" s="831"/>
      <c r="J1" s="2271"/>
      <c r="K1" s="2272"/>
      <c r="L1" s="2272"/>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38285</v>
      </c>
      <c r="D5" s="842"/>
      <c r="E5" s="842"/>
      <c r="F5" s="1782">
        <f>(C5+D5)-E5</f>
        <v>38285</v>
      </c>
      <c r="G5" s="838"/>
      <c r="H5" s="843"/>
      <c r="I5" s="843"/>
      <c r="J5" s="843"/>
      <c r="K5" s="794"/>
      <c r="L5" s="1791">
        <f>F5-K5</f>
        <v>38285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2376547</v>
      </c>
      <c r="D8" s="845"/>
      <c r="E8" s="845"/>
      <c r="F8" s="1782">
        <f>(C8+D8)-E8</f>
        <v>2376547</v>
      </c>
      <c r="G8" s="844">
        <v>50</v>
      </c>
      <c r="H8" s="766">
        <v>1667342</v>
      </c>
      <c r="I8" s="766">
        <v>46697</v>
      </c>
      <c r="J8" s="766"/>
      <c r="K8" s="1791">
        <f>(H8+I8)-J8</f>
        <v>1714039</v>
      </c>
      <c r="L8" s="1791">
        <f>F8-K8</f>
        <v>662508</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23750</v>
      </c>
      <c r="D10" s="847"/>
      <c r="E10" s="847"/>
      <c r="F10" s="1786">
        <f>(C10+D10)-E10</f>
        <v>23750</v>
      </c>
      <c r="G10" s="844">
        <v>20</v>
      </c>
      <c r="H10" s="848">
        <v>20287</v>
      </c>
      <c r="I10" s="848">
        <v>190</v>
      </c>
      <c r="J10" s="848"/>
      <c r="K10" s="1791">
        <f>(H10+I10)-J10</f>
        <v>20477</v>
      </c>
      <c r="L10" s="1791">
        <f>F10-K10</f>
        <v>3273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1174326</v>
      </c>
      <c r="D12" s="845"/>
      <c r="E12" s="845"/>
      <c r="F12" s="1782">
        <f>(C12+D12)-E12</f>
        <v>1174326</v>
      </c>
      <c r="G12" s="844">
        <v>10</v>
      </c>
      <c r="H12" s="766">
        <v>1009872</v>
      </c>
      <c r="I12" s="766">
        <v>31986</v>
      </c>
      <c r="J12" s="766"/>
      <c r="K12" s="1791">
        <f>(H12+I12)-J12</f>
        <v>1041858</v>
      </c>
      <c r="L12" s="1791">
        <f>F12-K12</f>
        <v>132468</v>
      </c>
    </row>
    <row r="13" spans="1:14" ht="14.25" thickTop="1" thickBot="1" x14ac:dyDescent="0.25">
      <c r="A13" s="849" t="s">
        <v>1184</v>
      </c>
      <c r="B13" s="841">
        <v>252</v>
      </c>
      <c r="C13" s="845">
        <v>63203</v>
      </c>
      <c r="D13" s="845"/>
      <c r="E13" s="845"/>
      <c r="F13" s="1782">
        <f>(C13+D13)-E13</f>
        <v>63203</v>
      </c>
      <c r="G13" s="844">
        <v>5</v>
      </c>
      <c r="H13" s="766">
        <v>63203</v>
      </c>
      <c r="I13" s="766"/>
      <c r="J13" s="766"/>
      <c r="K13" s="1791">
        <f>(H13+I13)-J13</f>
        <v>63203</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3676111</v>
      </c>
      <c r="D16" s="1782">
        <f>SUM(D3,D5:D6,D8:D10,D12:D15)</f>
        <v>0</v>
      </c>
      <c r="E16" s="1782">
        <f>SUM(E3,E5:E6,E8:E10,E12:E15)</f>
        <v>0</v>
      </c>
      <c r="F16" s="1782">
        <f>SUM(F3,F5:F6,F8:F10,F12:F15)</f>
        <v>3676111</v>
      </c>
      <c r="G16" s="844"/>
      <c r="H16" s="1782">
        <f>SUM(H3,H6,H8:H10,H12:H14,)</f>
        <v>2760704</v>
      </c>
      <c r="I16" s="1782">
        <f>SUM(I3,I6,I8:I10,I12:I14,)</f>
        <v>78873</v>
      </c>
      <c r="J16" s="1782">
        <f>SUM(J3,J6,J8:J10,J12:J14,)</f>
        <v>0</v>
      </c>
      <c r="K16" s="1782">
        <f>(H16+I16)-J16</f>
        <v>2839577</v>
      </c>
      <c r="L16" s="1782">
        <f>F16-K16</f>
        <v>836534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6750</v>
      </c>
      <c r="G17" s="838">
        <v>10</v>
      </c>
      <c r="H17" s="770"/>
      <c r="I17" s="1791">
        <f>F17/G17</f>
        <v>675</v>
      </c>
      <c r="J17" s="770"/>
      <c r="K17" s="796"/>
      <c r="L17" s="796"/>
    </row>
    <row r="18" spans="1:12" ht="14.25" thickTop="1" thickBot="1" x14ac:dyDescent="0.25">
      <c r="A18" s="1789" t="s">
        <v>706</v>
      </c>
      <c r="B18" s="1790"/>
      <c r="C18" s="772"/>
      <c r="D18" s="772"/>
      <c r="E18" s="772"/>
      <c r="F18" s="851"/>
      <c r="G18" s="852"/>
      <c r="H18" s="774"/>
      <c r="I18" s="1782">
        <f>SUM(I16,I17)</f>
        <v>79548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24" activePane="bottomLeft" state="frozen"/>
      <selection activeCell="A47" sqref="A47"/>
      <selection pane="bottomLeft" activeCell="B39" sqref="B3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2926397</v>
      </c>
      <c r="G8" s="866"/>
    </row>
    <row r="9" spans="1:7" x14ac:dyDescent="0.2">
      <c r="A9" s="870" t="s">
        <v>480</v>
      </c>
      <c r="B9" s="871" t="s">
        <v>1989</v>
      </c>
      <c r="C9" s="872"/>
      <c r="D9" s="870" t="s">
        <v>522</v>
      </c>
      <c r="E9" s="869"/>
      <c r="F9" s="1935">
        <f>'Expenditures 15-22'!K151</f>
        <v>98431</v>
      </c>
      <c r="G9" s="873"/>
    </row>
    <row r="10" spans="1:7" x14ac:dyDescent="0.2">
      <c r="A10" s="870" t="s">
        <v>520</v>
      </c>
      <c r="B10" s="871" t="s">
        <v>1990</v>
      </c>
      <c r="C10" s="872"/>
      <c r="D10" s="870" t="s">
        <v>522</v>
      </c>
      <c r="E10" s="869"/>
      <c r="F10" s="1935">
        <f>'Expenditures 15-22'!K174</f>
        <v>223179</v>
      </c>
      <c r="G10" s="873"/>
    </row>
    <row r="11" spans="1:7" x14ac:dyDescent="0.2">
      <c r="A11" s="870" t="s">
        <v>481</v>
      </c>
      <c r="B11" s="871" t="s">
        <v>1991</v>
      </c>
      <c r="C11" s="872"/>
      <c r="D11" s="870" t="s">
        <v>522</v>
      </c>
      <c r="E11" s="869"/>
      <c r="F11" s="1935">
        <f>'Expenditures 15-22'!K210</f>
        <v>319349</v>
      </c>
      <c r="G11" s="873"/>
    </row>
    <row r="12" spans="1:7" x14ac:dyDescent="0.2">
      <c r="A12" s="870" t="s">
        <v>482</v>
      </c>
      <c r="B12" s="871" t="s">
        <v>1992</v>
      </c>
      <c r="C12" s="872"/>
      <c r="D12" s="870" t="s">
        <v>522</v>
      </c>
      <c r="E12" s="869"/>
      <c r="F12" s="1935">
        <f>'Expenditures 15-22'!K295</f>
        <v>75998</v>
      </c>
      <c r="G12" s="873"/>
    </row>
    <row r="13" spans="1:7" x14ac:dyDescent="0.2">
      <c r="A13" s="870" t="s">
        <v>108</v>
      </c>
      <c r="B13" s="871" t="s">
        <v>1993</v>
      </c>
      <c r="C13" s="872"/>
      <c r="D13" s="870" t="s">
        <v>522</v>
      </c>
      <c r="E13" s="869"/>
      <c r="F13" s="1935">
        <f>'Expenditures 15-22'!K342</f>
        <v>84800</v>
      </c>
      <c r="G13" s="874"/>
    </row>
    <row r="14" spans="1:7" ht="12" customHeight="1" thickBot="1" x14ac:dyDescent="0.25">
      <c r="A14" s="1792"/>
      <c r="B14" s="1793"/>
      <c r="C14" s="1794"/>
      <c r="D14" s="1795" t="s">
        <v>522</v>
      </c>
      <c r="E14" s="1796" t="s">
        <v>1015</v>
      </c>
      <c r="F14" s="1797">
        <f>SUM(F8:F13)</f>
        <v>3728154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115438</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151547</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6750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196100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95763</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19</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565617</v>
      </c>
      <c r="G76" s="866"/>
    </row>
    <row r="77" spans="1:8" s="894" customFormat="1" ht="12" customHeight="1" thickTop="1" thickBot="1" x14ac:dyDescent="0.25">
      <c r="A77" s="1801"/>
      <c r="B77" s="1798"/>
      <c r="C77" s="1794"/>
      <c r="D77" s="1799" t="s">
        <v>2012</v>
      </c>
      <c r="E77" s="1796"/>
      <c r="F77" s="1802">
        <f>(F14-F76)</f>
        <v>3162537</v>
      </c>
      <c r="G77" s="870"/>
    </row>
    <row r="78" spans="1:8" s="894" customFormat="1" ht="12" customHeight="1" thickTop="1" x14ac:dyDescent="0.2">
      <c r="A78" s="1803"/>
      <c r="B78" s="1798"/>
      <c r="C78" s="1794"/>
      <c r="D78" s="1799" t="s">
        <v>2059</v>
      </c>
      <c r="E78" s="1796"/>
      <c r="F78" s="899">
        <v>315.62</v>
      </c>
      <c r="G78" s="900"/>
      <c r="H78" s="870"/>
    </row>
    <row r="79" spans="1:8" s="894" customFormat="1" ht="12" customHeight="1" thickBot="1" x14ac:dyDescent="0.25">
      <c r="A79" s="1804"/>
      <c r="B79" s="1798"/>
      <c r="C79" s="1794"/>
      <c r="D79" s="1799" t="s">
        <v>2013</v>
      </c>
      <c r="E79" s="1796" t="s">
        <v>1015</v>
      </c>
      <c r="F79" s="1805">
        <f>IF(F78&gt;0,F77/F78," Complete Line 78")</f>
        <v>10020.077941828782</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37328</v>
      </c>
      <c r="G94" s="913"/>
    </row>
    <row r="95" spans="1:7" x14ac:dyDescent="0.2">
      <c r="A95" s="909" t="s">
        <v>142</v>
      </c>
      <c r="B95" s="909" t="s">
        <v>177</v>
      </c>
      <c r="C95" s="911">
        <v>1700</v>
      </c>
      <c r="D95" s="919" t="str">
        <f>'Revenues 9-14'!A82</f>
        <v>Total District/School Activity Income</v>
      </c>
      <c r="E95" s="907"/>
      <c r="F95" s="1811">
        <f>SUM('Revenues 9-14'!C82,'Revenues 9-14'!D82)</f>
        <v>8732</v>
      </c>
      <c r="G95" s="913"/>
    </row>
    <row r="96" spans="1:7" x14ac:dyDescent="0.2">
      <c r="A96" s="909" t="s">
        <v>479</v>
      </c>
      <c r="B96" s="909" t="s">
        <v>178</v>
      </c>
      <c r="C96" s="911">
        <f>'Revenues 9-14'!B84</f>
        <v>1811</v>
      </c>
      <c r="D96" s="912" t="str">
        <f>'Revenues 9-14'!A84</f>
        <v>Rentals - Regular Textbooks</v>
      </c>
      <c r="E96" s="907"/>
      <c r="F96" s="1811">
        <f>'Revenues 9-14'!C84</f>
        <v>14111</v>
      </c>
      <c r="G96" s="913"/>
    </row>
    <row r="97" spans="1:7" x14ac:dyDescent="0.2">
      <c r="A97" s="909" t="s">
        <v>479</v>
      </c>
      <c r="B97" s="909" t="s">
        <v>179</v>
      </c>
      <c r="C97" s="911">
        <f>'Revenues 9-14'!B87</f>
        <v>1819</v>
      </c>
      <c r="D97" s="912" t="str">
        <f>'Revenues 9-14'!A87</f>
        <v>Rentals - Other (Describe &amp; Itemize)</v>
      </c>
      <c r="E97" s="907"/>
      <c r="F97" s="1811">
        <f>'Revenues 9-14'!C87</f>
        <v>75</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12500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81513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1670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213151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4999</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112926</v>
      </c>
      <c r="G129" s="931"/>
    </row>
    <row r="130" spans="1:7" x14ac:dyDescent="0.2">
      <c r="A130" s="928" t="s">
        <v>689</v>
      </c>
      <c r="B130" s="928" t="s">
        <v>804</v>
      </c>
      <c r="C130" s="933">
        <v>4300</v>
      </c>
      <c r="D130" s="934" t="str">
        <f>'Revenues 9-14'!A211</f>
        <v>Total Title I</v>
      </c>
      <c r="E130" s="907"/>
      <c r="F130" s="1811">
        <f>SUM('Revenues 9-14'!C211,'Revenues 9-14'!D211,'Revenues 9-14'!F211,'Revenues 9-14'!G211)</f>
        <v>87136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75598</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1312</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17736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12686</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681473</v>
      </c>
    </row>
    <row r="179" spans="1:7" ht="12" customHeight="1" x14ac:dyDescent="0.2">
      <c r="A179" s="1792"/>
      <c r="B179" s="1806"/>
      <c r="C179" s="1807"/>
      <c r="D179" s="1808" t="s">
        <v>2015</v>
      </c>
      <c r="E179" s="1809"/>
      <c r="F179" s="1811">
        <f>'PCTC-OEPP 27-28'!F77-F178</f>
        <v>2481064</v>
      </c>
    </row>
    <row r="180" spans="1:7" ht="12" customHeight="1" x14ac:dyDescent="0.2">
      <c r="A180" s="1792"/>
      <c r="B180" s="1806"/>
      <c r="C180" s="1807"/>
      <c r="D180" s="1808" t="s">
        <v>1924</v>
      </c>
      <c r="E180" s="1809"/>
      <c r="F180" s="1811">
        <f>'Cap Outlay Deprec 26'!I18</f>
        <v>79548</v>
      </c>
    </row>
    <row r="181" spans="1:7" ht="12" customHeight="1" x14ac:dyDescent="0.2">
      <c r="A181" s="1792"/>
      <c r="B181" s="1806"/>
      <c r="C181" s="1807"/>
      <c r="D181" s="1808" t="s">
        <v>2016</v>
      </c>
      <c r="E181" s="1809"/>
      <c r="F181" s="1811">
        <f>F179+F180</f>
        <v>2560612</v>
      </c>
    </row>
    <row r="182" spans="1:7" ht="12" customHeight="1" x14ac:dyDescent="0.2">
      <c r="A182" s="1792"/>
      <c r="B182" s="1812"/>
      <c r="C182" s="1807"/>
      <c r="D182" s="1808" t="str">
        <f>D78</f>
        <v>9 Month ADA from District Average Daily Attendance/Prior General State Aid Inquiry 2017-2018</v>
      </c>
      <c r="E182" s="1809"/>
      <c r="F182" s="1813">
        <f>'PCTC-OEPP 27-28'!F78</f>
        <v>315.62</v>
      </c>
      <c r="G182" s="931"/>
    </row>
    <row r="183" spans="1:7" ht="12" customHeight="1" thickBot="1" x14ac:dyDescent="0.25">
      <c r="A183" s="1792"/>
      <c r="B183" s="1812"/>
      <c r="C183" s="1807"/>
      <c r="D183" s="1808" t="s">
        <v>2017</v>
      </c>
      <c r="E183" s="1809" t="s">
        <v>1626</v>
      </c>
      <c r="F183" s="1814">
        <f>F181/F182</f>
        <v>8112.9586211266715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19" sqref="B19"/>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2075</v>
      </c>
      <c r="B7" s="2297"/>
      <c r="C7" s="2297"/>
      <c r="D7" s="2297"/>
      <c r="E7" s="2297"/>
      <c r="F7" s="2297"/>
      <c r="G7" s="2298"/>
    </row>
    <row r="8" spans="1:7" ht="15.75" customHeight="1" x14ac:dyDescent="0.25">
      <c r="A8" s="2299" t="s">
        <v>2024</v>
      </c>
      <c r="B8" s="2300"/>
      <c r="C8" s="2300"/>
      <c r="D8" s="2300"/>
      <c r="E8" s="2300"/>
      <c r="F8" s="2300"/>
      <c r="G8" s="2301"/>
    </row>
    <row r="9" spans="1:7" ht="35.25" customHeight="1" x14ac:dyDescent="0.25">
      <c r="A9" s="2296" t="s">
        <v>2023</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1941</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538</v>
      </c>
      <c r="B17" s="1958" t="s">
        <v>2098</v>
      </c>
      <c r="C17" s="1959" t="s">
        <v>2099</v>
      </c>
      <c r="D17" s="1867">
        <v>217890</v>
      </c>
      <c r="E17" s="1562">
        <f t="shared" ref="E17:E141" si="1">IF(D17&lt;=25000,D17,IF(D17&gt;25000,25000,0))</f>
        <v>25000</v>
      </c>
      <c r="F17" s="1815">
        <f t="shared" si="0"/>
        <v>25000</v>
      </c>
      <c r="G17" s="1816">
        <f>IF(F17=0,0,D17-F17)</f>
        <v>192890</v>
      </c>
      <c r="H17" s="1669"/>
    </row>
    <row r="18" spans="1:8" x14ac:dyDescent="0.25">
      <c r="A18" s="1957" t="s">
        <v>2100</v>
      </c>
      <c r="B18" s="1958" t="s">
        <v>2102</v>
      </c>
      <c r="C18" s="1959" t="s">
        <v>2099</v>
      </c>
      <c r="D18" s="1960">
        <v>95763</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957"/>
      <c r="B19" s="1958"/>
      <c r="C19" s="1959"/>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957"/>
      <c r="B26" s="1958"/>
      <c r="C26" s="1959"/>
      <c r="D26" s="1867"/>
      <c r="E26" s="1562">
        <f t="shared" si="2"/>
        <v>0</v>
      </c>
      <c r="F26" s="1815">
        <f t="shared" si="3"/>
        <v>0</v>
      </c>
      <c r="G26" s="1816">
        <f t="shared" si="4"/>
        <v>0</v>
      </c>
    </row>
    <row r="27" spans="1:8" x14ac:dyDescent="0.25">
      <c r="A27" s="1957"/>
      <c r="B27" s="1958"/>
      <c r="C27" s="1959"/>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956" t="s">
        <v>2097</v>
      </c>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313653</v>
      </c>
      <c r="E141" s="1563">
        <f t="shared" si="1"/>
        <v>25000</v>
      </c>
      <c r="F141" s="1817">
        <f>SUM(F17:F140)</f>
        <v>25000</v>
      </c>
      <c r="G141" s="1818">
        <f>SUM(G17:G140)</f>
        <v>192890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7" t="s">
        <v>1945</v>
      </c>
      <c r="B11" s="2308"/>
      <c r="C11" s="2308"/>
      <c r="D11" s="230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1979428</v>
      </c>
      <c r="F19" s="1822"/>
      <c r="G19" s="1824">
        <f>'Expenditures 15-22'!K33-SUM('Expenditures 15-22'!G33,'Expenditures 15-22'!I33)+'Expenditures 15-22'!D229</f>
        <v>1979428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172922</v>
      </c>
      <c r="F21" s="1825"/>
      <c r="G21" s="1828">
        <f>'Expenditures 15-22'!K42-SUM('Expenditures 15-22'!G42,'Expenditures 15-22'!I42)+'Expenditures 15-22'!K120-SUM('Expenditures 15-22'!G120,'Expenditures 15-22'!I120)+'Expenditures 15-22'!K180-SUM('Expenditures 15-22'!G180,'Expenditures 15-22'!I180)+'Expenditures 15-22'!D238</f>
        <v>172922</v>
      </c>
      <c r="H21" s="988"/>
      <c r="I21" s="162"/>
    </row>
    <row r="22" spans="1:9" s="669" customFormat="1" ht="12" customHeight="1" x14ac:dyDescent="0.2">
      <c r="A22" s="995" t="s">
        <v>585</v>
      </c>
      <c r="B22" s="996"/>
      <c r="C22" s="994">
        <v>2200</v>
      </c>
      <c r="D22" s="1825"/>
      <c r="E22" s="1827">
        <f>'Expenditures 15-22'!K47-SUM('Expenditures 15-22'!G47,'Expenditures 15-22'!I47)+'Expenditures 15-22'!D243</f>
        <v>18842</v>
      </c>
      <c r="F22" s="1825"/>
      <c r="G22" s="1828">
        <f>'Expenditures 15-22'!K47-SUM('Expenditures 15-22'!G47,'Expenditures 15-22'!I47)+'Expenditures 15-22'!D243</f>
        <v>18842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192117</v>
      </c>
      <c r="F23" s="1825"/>
      <c r="G23" s="1827">
        <f>'Expenditures 15-22'!K53-SUM('Expenditures 15-22'!G53,'Expenditures 15-22'!I53)+'Expenditures 15-22'!D257+'Expenditures 15-22'!K330-SUM('Expenditures 15-22'!G330,'Expenditures 15-22'!I330)</f>
        <v>192117</v>
      </c>
      <c r="H23" s="988"/>
      <c r="I23" s="162"/>
    </row>
    <row r="24" spans="1:9" s="669" customFormat="1" ht="12" customHeight="1" x14ac:dyDescent="0.2">
      <c r="A24" s="995" t="s">
        <v>587</v>
      </c>
      <c r="B24" s="996"/>
      <c r="C24" s="994">
        <v>2400</v>
      </c>
      <c r="D24" s="1825"/>
      <c r="E24" s="1827">
        <f>'Expenditures 15-22'!K57-SUM('Expenditures 15-22'!G57,'Expenditures 15-22'!I57)+'Expenditures 15-22'!D261</f>
        <v>239266</v>
      </c>
      <c r="F24" s="1825"/>
      <c r="G24" s="1828">
        <f>'Expenditures 15-22'!K57-SUM('Expenditures 15-22'!G57,'Expenditures 15-22'!I57)+'Expenditures 15-22'!D261</f>
        <v>239266</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76058</v>
      </c>
      <c r="E27" s="1827">
        <f>E8</f>
        <v>0</v>
      </c>
      <c r="F27" s="1827">
        <f>'Expenditures 15-22'!K60-SUM('Expenditures 15-22'!G60,'Expenditures 15-22'!I60)+'Expenditures 15-22'!D264-E8</f>
        <v>76058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149851</v>
      </c>
      <c r="F28" s="1829">
        <f>'Expenditures 15-22'!K61-SUM('Expenditures 15-22'!G61,'Expenditures 15-22'!I61)+'Expenditures 15-22'!K124-SUM('Expenditures 15-22'!G124,'Expenditures 15-22'!I124)+'Expenditures 15-22'!D266-E9</f>
        <v>149851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224627</v>
      </c>
      <c r="F29" s="1825"/>
      <c r="G29" s="1828">
        <f>'Expenditures 15-22'!K62-SUM('Expenditures 15-22'!G62,'Expenditures 15-22'!I62)+'Expenditures 15-22'!K125-SUM('Expenditures 15-22'!G125,'Expenditures 15-22'!I125)+'Expenditures 15-22'!K182-SUM('Expenditures 15-22'!G182,'Expenditures 15-22'!I182)+'Expenditures 15-22'!D267</f>
        <v>224627</v>
      </c>
      <c r="H29" s="986"/>
    </row>
    <row r="30" spans="1:9" ht="12" customHeight="1" x14ac:dyDescent="0.2">
      <c r="A30" s="995" t="s">
        <v>102</v>
      </c>
      <c r="B30" s="998"/>
      <c r="C30" s="994">
        <v>2560</v>
      </c>
      <c r="D30" s="1825"/>
      <c r="E30" s="1827">
        <f>'Expenditures 15-22'!K63-SUM('Expenditures 15-22'!G63,'Expenditures 15-22'!I63)+'Expenditures 15-22'!D268-E10</f>
        <v>153195</v>
      </c>
      <c r="F30" s="1825"/>
      <c r="G30" s="1827">
        <f>'Expenditures 15-22'!K63-SUM('Expenditures 15-22'!G63,'Expenditures 15-22'!I63)+'Expenditures 15-22'!D268-E10</f>
        <v>153195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44609</v>
      </c>
      <c r="E37" s="1827">
        <f>E14</f>
        <v>0</v>
      </c>
      <c r="F37" s="1827">
        <f>'Expenditures 15-22'!K71-SUM('Expenditures 15-22'!G71,'Expenditures 15-22'!I71)+'Expenditures 15-22'!D276-E14</f>
        <v>44609</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-192890</v>
      </c>
      <c r="F40" s="1825"/>
      <c r="G40" s="1829">
        <f>-'Contracts Paid in CY 29'!G141</f>
        <v>-192890</v>
      </c>
    </row>
    <row r="41" spans="1:7" ht="12" customHeight="1" x14ac:dyDescent="0.2">
      <c r="A41" s="999" t="s">
        <v>158</v>
      </c>
      <c r="B41" s="1000"/>
      <c r="C41" s="1001"/>
      <c r="D41" s="1829">
        <f>SUM(D19:D39)</f>
        <v>120667</v>
      </c>
      <c r="E41" s="1829">
        <f>SUM(E19:E40)</f>
        <v>2937358</v>
      </c>
      <c r="F41" s="1829">
        <f>SUM(F19:F39)</f>
        <v>270518</v>
      </c>
      <c r="G41" s="1829">
        <f>SUM(G19:G40)</f>
        <v>2787507</v>
      </c>
    </row>
    <row r="42" spans="1:7" x14ac:dyDescent="0.2">
      <c r="A42" s="988"/>
      <c r="B42" s="162"/>
      <c r="C42" s="1002"/>
      <c r="D42" s="2305" t="s">
        <v>543</v>
      </c>
      <c r="E42" s="2306"/>
      <c r="F42" s="1003" t="s">
        <v>544</v>
      </c>
      <c r="G42" s="1004"/>
    </row>
    <row r="43" spans="1:7" ht="12" customHeight="1" x14ac:dyDescent="0.2">
      <c r="A43" s="988"/>
      <c r="B43" s="162"/>
      <c r="C43" s="1002"/>
      <c r="D43" s="1830" t="s">
        <v>493</v>
      </c>
      <c r="E43" s="1831">
        <f>D41</f>
        <v>120667</v>
      </c>
      <c r="F43" s="1830" t="s">
        <v>495</v>
      </c>
      <c r="G43" s="1831">
        <f>F41</f>
        <v>270518</v>
      </c>
    </row>
    <row r="44" spans="1:7" ht="12" customHeight="1" x14ac:dyDescent="0.2">
      <c r="A44" s="988"/>
      <c r="B44" s="162"/>
      <c r="C44" s="1002"/>
      <c r="D44" s="1830" t="s">
        <v>494</v>
      </c>
      <c r="E44" s="1831">
        <f>E41</f>
        <v>2937358</v>
      </c>
      <c r="F44" s="1830" t="s">
        <v>494</v>
      </c>
      <c r="G44" s="1831">
        <f>G41</f>
        <v>2787507</v>
      </c>
    </row>
    <row r="45" spans="1:7" ht="12" customHeight="1" x14ac:dyDescent="0.2">
      <c r="A45" s="988"/>
      <c r="B45" s="162"/>
      <c r="C45" s="162"/>
      <c r="D45" s="1832" t="s">
        <v>1063</v>
      </c>
      <c r="E45" s="1833">
        <f>(E43/E44)</f>
        <v>4.1080113489741464E-2</v>
      </c>
      <c r="F45" s="1832" t="s">
        <v>1063</v>
      </c>
      <c r="G45" s="1833">
        <f>(G43/G44)</f>
        <v>9.7046572439100601E-2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3" t="s">
        <v>1446</v>
      </c>
      <c r="B1" s="2313"/>
      <c r="C1" s="2313"/>
      <c r="D1" s="2313"/>
      <c r="E1" s="2313"/>
      <c r="F1" s="231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4" t="s">
        <v>1627</v>
      </c>
      <c r="B5" s="2315"/>
      <c r="C5" s="2316"/>
      <c r="D5" s="2316"/>
      <c r="E5" s="2316"/>
      <c r="F5" s="2316"/>
    </row>
    <row r="6" spans="1:10" ht="12" customHeight="1" x14ac:dyDescent="0.25">
      <c r="A6" s="1875"/>
      <c r="B6" s="1876"/>
      <c r="C6" s="2317" t="str">
        <f>COVER!A17</f>
        <v>St Anne CCSD 256</v>
      </c>
      <c r="D6" s="2317"/>
      <c r="E6" s="2317"/>
      <c r="F6" s="1877"/>
    </row>
    <row r="7" spans="1:10" ht="11.25" customHeight="1" thickBot="1" x14ac:dyDescent="0.3">
      <c r="A7" s="1875"/>
      <c r="B7" s="1876"/>
      <c r="C7" s="2318">
        <f>COVER!A13</f>
        <v>32046256004</v>
      </c>
      <c r="D7" s="2318"/>
      <c r="E7" s="231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2077</v>
      </c>
      <c r="D13" s="1890" t="s">
        <v>2077</v>
      </c>
      <c r="E13" s="1893"/>
      <c r="F13" s="1892" t="s">
        <v>2091</v>
      </c>
      <c r="H13" s="1903">
        <f t="shared" si="0"/>
        <v>5</v>
      </c>
      <c r="I13" s="1903">
        <f t="shared" si="1"/>
        <v>5</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2077</v>
      </c>
      <c r="D16" s="1890" t="s">
        <v>2077</v>
      </c>
      <c r="E16" s="1893"/>
      <c r="F16" s="1892" t="s">
        <v>2091</v>
      </c>
      <c r="H16" s="1903">
        <f t="shared" si="0"/>
        <v>5</v>
      </c>
      <c r="I16" s="1903">
        <f t="shared" si="1"/>
        <v>5</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t="s">
        <v>2077</v>
      </c>
      <c r="D18" s="1890" t="s">
        <v>2077</v>
      </c>
      <c r="E18" s="1893"/>
      <c r="F18" s="1892" t="s">
        <v>2091</v>
      </c>
      <c r="H18" s="1903">
        <f t="shared" si="0"/>
        <v>5</v>
      </c>
      <c r="I18" s="1903">
        <f t="shared" si="1"/>
        <v>5</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t="s">
        <v>1231</v>
      </c>
      <c r="E23" s="1893"/>
      <c r="F23" s="1892"/>
      <c r="H23" s="1903">
        <f t="shared" si="0"/>
        <v>0</v>
      </c>
      <c r="I23" s="1903">
        <f t="shared" si="1"/>
        <v>0</v>
      </c>
      <c r="J23" s="1903">
        <f t="shared" si="2"/>
        <v>0</v>
      </c>
    </row>
    <row r="24" spans="1:12" ht="12" customHeight="1" x14ac:dyDescent="0.2">
      <c r="A24" s="1888" t="s">
        <v>1613</v>
      </c>
      <c r="B24" s="1889"/>
      <c r="C24" s="1890" t="s">
        <v>2077</v>
      </c>
      <c r="D24" s="1890" t="s">
        <v>2077</v>
      </c>
      <c r="E24" s="1893"/>
      <c r="F24" s="1892" t="s">
        <v>2091</v>
      </c>
      <c r="H24" s="1903">
        <f t="shared" si="0"/>
        <v>5</v>
      </c>
      <c r="I24" s="1903">
        <f t="shared" si="1"/>
        <v>5</v>
      </c>
      <c r="J24" s="1903">
        <f t="shared" si="2"/>
        <v>0</v>
      </c>
    </row>
    <row r="25" spans="1:12" ht="12" customHeight="1" x14ac:dyDescent="0.2">
      <c r="A25" s="1888" t="s">
        <v>1614</v>
      </c>
      <c r="B25" s="1889"/>
      <c r="C25" s="1890" t="s">
        <v>2077</v>
      </c>
      <c r="D25" s="1890" t="s">
        <v>2077</v>
      </c>
      <c r="E25" s="1893"/>
      <c r="F25" s="1892" t="s">
        <v>2091</v>
      </c>
      <c r="H25" s="1903">
        <f t="shared" si="0"/>
        <v>5</v>
      </c>
      <c r="I25" s="1903">
        <f t="shared" si="1"/>
        <v>5</v>
      </c>
      <c r="J25" s="1903">
        <f t="shared" si="2"/>
        <v>0</v>
      </c>
    </row>
    <row r="26" spans="1:12" ht="12" customHeight="1" x14ac:dyDescent="0.2">
      <c r="A26" s="1888" t="s">
        <v>1615</v>
      </c>
      <c r="B26" s="1889"/>
      <c r="C26" s="1890" t="s">
        <v>2077</v>
      </c>
      <c r="D26" s="1890" t="s">
        <v>2077</v>
      </c>
      <c r="E26" s="1893"/>
      <c r="F26" s="1892" t="s">
        <v>2093</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t="s">
        <v>2092</v>
      </c>
      <c r="D29" s="1890" t="s">
        <v>2077</v>
      </c>
      <c r="E29" s="1893"/>
      <c r="F29" s="1892" t="s">
        <v>2091</v>
      </c>
      <c r="H29" s="1903">
        <f t="shared" si="0"/>
        <v>0</v>
      </c>
      <c r="I29" s="1903">
        <f t="shared" si="1"/>
        <v>5</v>
      </c>
      <c r="J29" s="1903">
        <f t="shared" si="2"/>
        <v>0</v>
      </c>
    </row>
    <row r="30" spans="1:12" ht="12" customHeight="1" x14ac:dyDescent="0.2">
      <c r="A30" s="1888" t="s">
        <v>1619</v>
      </c>
      <c r="B30" s="1889"/>
      <c r="C30" s="1890" t="s">
        <v>2077</v>
      </c>
      <c r="D30" s="1890" t="s">
        <v>2077</v>
      </c>
      <c r="E30" s="1893"/>
      <c r="F30" s="1892" t="s">
        <v>2091</v>
      </c>
      <c r="H30" s="1903">
        <f t="shared" si="0"/>
        <v>5</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35</v>
      </c>
      <c r="I34" s="1903">
        <f>SUM(I11:I32)</f>
        <v>40</v>
      </c>
      <c r="J34" s="1903">
        <f>SUM(J11:J32)</f>
        <v>0</v>
      </c>
      <c r="K34" s="1903">
        <f>SUM(H34:J34)</f>
        <v>75</v>
      </c>
    </row>
    <row r="35" spans="1:11" ht="12" customHeight="1" x14ac:dyDescent="0.2">
      <c r="A35" s="1896" t="s">
        <v>1459</v>
      </c>
      <c r="B35" s="1897"/>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8"/>
      <c r="B39" s="1898"/>
      <c r="C39" s="1898"/>
      <c r="D39" s="1898"/>
      <c r="E39" s="1898"/>
      <c r="F39" s="1898"/>
    </row>
    <row r="40" spans="1:11" s="1895" customFormat="1" ht="12" customHeight="1" x14ac:dyDescent="0.25">
      <c r="A40" s="1899" t="s">
        <v>1458</v>
      </c>
      <c r="B40" s="1900"/>
      <c r="C40" s="2327"/>
      <c r="D40" s="2327"/>
      <c r="E40" s="2327"/>
      <c r="F40" s="2328"/>
      <c r="H40" s="1904"/>
      <c r="I40" s="1904"/>
      <c r="J40" s="1904"/>
      <c r="K40" s="1904"/>
    </row>
    <row r="41" spans="1:11" s="1895" customFormat="1" ht="12" customHeight="1" x14ac:dyDescent="0.25">
      <c r="A41" s="2329"/>
      <c r="B41" s="2330"/>
      <c r="C41" s="2330"/>
      <c r="D41" s="2330"/>
      <c r="E41" s="2330"/>
      <c r="F41" s="2331"/>
      <c r="H41" s="1904"/>
      <c r="I41" s="1904"/>
      <c r="J41" s="1904"/>
      <c r="K41" s="1904"/>
    </row>
    <row r="42" spans="1:11" s="1895" customFormat="1" ht="12" customHeight="1" x14ac:dyDescent="0.25">
      <c r="A42" s="2329"/>
      <c r="B42" s="2330"/>
      <c r="C42" s="2330"/>
      <c r="D42" s="2330"/>
      <c r="E42" s="2330"/>
      <c r="F42" s="2331"/>
      <c r="H42" s="1904"/>
      <c r="I42" s="1904"/>
      <c r="J42" s="1904"/>
      <c r="K42" s="1904"/>
    </row>
    <row r="43" spans="1:11" s="1895" customFormat="1" ht="15" x14ac:dyDescent="0.25">
      <c r="A43" s="2321"/>
      <c r="B43" s="2322"/>
      <c r="C43" s="2322"/>
      <c r="D43" s="2322"/>
      <c r="E43" s="2322"/>
      <c r="F43" s="2323"/>
      <c r="H43" s="1904"/>
      <c r="I43" s="1904"/>
      <c r="J43" s="1904"/>
      <c r="K43" s="1904"/>
    </row>
    <row r="44" spans="1:11" s="1895" customFormat="1" ht="12" hidden="1" customHeight="1" x14ac:dyDescent="0.25">
      <c r="A44" s="2321"/>
      <c r="B44" s="2322"/>
      <c r="C44" s="2322"/>
      <c r="D44" s="2322"/>
      <c r="E44" s="2322"/>
      <c r="F44" s="2323"/>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7" t="str">
        <f>COVER!A17</f>
        <v>St Anne CCSD 256</v>
      </c>
      <c r="J6" s="2338"/>
      <c r="Q6" s="1686"/>
    </row>
    <row r="7" spans="1:17" x14ac:dyDescent="0.2">
      <c r="A7" s="2339" t="s">
        <v>924</v>
      </c>
      <c r="B7" s="2340"/>
      <c r="C7" s="2340"/>
      <c r="D7" s="2340"/>
      <c r="E7" s="2341"/>
      <c r="F7" s="1018"/>
      <c r="G7" s="1010"/>
      <c r="H7" s="1017" t="s">
        <v>390</v>
      </c>
      <c r="I7" s="2342">
        <f>COVER!A13</f>
        <v>32046256004</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89639</v>
      </c>
      <c r="F12" s="1040"/>
      <c r="G12" s="1834">
        <f t="shared" ref="G12:G18" si="0">SUM(E12:F12)</f>
        <v>89639</v>
      </c>
      <c r="H12" s="1041">
        <v>80680</v>
      </c>
      <c r="I12" s="1040"/>
      <c r="J12" s="1834">
        <f t="shared" ref="J12:J18" si="1">SUM(H12:I12)</f>
        <v>80680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54386</v>
      </c>
      <c r="F14" s="1040"/>
      <c r="G14" s="1834">
        <f t="shared" si="0"/>
        <v>54386</v>
      </c>
      <c r="H14" s="1041">
        <v>55306</v>
      </c>
      <c r="I14" s="1040"/>
      <c r="J14" s="1834">
        <f t="shared" si="1"/>
        <v>55306</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144025</v>
      </c>
      <c r="F19" s="1836">
        <f t="shared" si="2"/>
        <v>0</v>
      </c>
      <c r="G19" s="1836">
        <f t="shared" si="2"/>
        <v>144025</v>
      </c>
      <c r="H19" s="1836">
        <f t="shared" si="2"/>
        <v>135986</v>
      </c>
      <c r="I19" s="1836">
        <f t="shared" si="2"/>
        <v>0</v>
      </c>
      <c r="J19" s="1836">
        <f t="shared" si="2"/>
        <v>135986</v>
      </c>
    </row>
    <row r="20" spans="1:10" ht="13.5" thickTop="1" x14ac:dyDescent="0.2">
      <c r="A20" s="1036">
        <v>9</v>
      </c>
      <c r="B20" s="2349" t="s">
        <v>1703</v>
      </c>
      <c r="C20" s="2349"/>
      <c r="D20" s="2350"/>
      <c r="E20" s="1047"/>
      <c r="F20" s="1047"/>
      <c r="G20" s="1047"/>
      <c r="H20" s="1047"/>
      <c r="I20" s="1047"/>
      <c r="J20" s="1837">
        <f>IF(AND(G19&gt;0,J19&gt;0),(((J19-G19)/G19)),"Enter Budget Data")</f>
        <v>-5.5816698489845516E-2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1944</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St Anne CCSD 256</v>
      </c>
    </row>
    <row r="65" spans="2:2" x14ac:dyDescent="0.2">
      <c r="B65" s="1071">
        <f>COVER!A13</f>
        <v>32046256004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4"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1419225</xdr:colOff>
                <xdr:row>3</xdr:row>
                <xdr:rowOff>47625</xdr:rowOff>
              </from>
              <to>
                <xdr:col>1</xdr:col>
                <xdr:colOff>2324100</xdr:colOff>
                <xdr:row>7</xdr:row>
                <xdr:rowOff>47625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2056</v>
      </c>
      <c r="B4" s="2377"/>
      <c r="C4" s="2377"/>
      <c r="D4" s="2377"/>
      <c r="E4" s="2377"/>
      <c r="F4" s="2378"/>
      <c r="G4" s="1075"/>
      <c r="H4" s="1075"/>
    </row>
    <row r="5" spans="1:8" ht="14.25" customHeight="1" x14ac:dyDescent="0.2">
      <c r="A5" s="2379" t="s">
        <v>2057</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2833314</v>
      </c>
      <c r="C8" s="1838">
        <f>'Acct Summary 7-8'!D8</f>
        <v>115753</v>
      </c>
      <c r="D8" s="1838">
        <f>'Acct Summary 7-8'!F8</f>
        <v>319348</v>
      </c>
      <c r="E8" s="1838">
        <f>'Acct Summary 7-8'!I8</f>
        <v>26348</v>
      </c>
      <c r="F8" s="1838">
        <f>SUM(B8:E8)</f>
        <v>3294763</v>
      </c>
    </row>
    <row r="9" spans="1:8" s="1080" customFormat="1" ht="14.25" customHeight="1" thickBot="1" x14ac:dyDescent="0.25">
      <c r="A9" s="1079" t="s">
        <v>1436</v>
      </c>
      <c r="B9" s="1839">
        <f>'Acct Summary 7-8'!C17</f>
        <v>2926397</v>
      </c>
      <c r="C9" s="1839">
        <f>'Acct Summary 7-8'!D17</f>
        <v>98431</v>
      </c>
      <c r="D9" s="1839">
        <f>'Acct Summary 7-8'!F17</f>
        <v>319349</v>
      </c>
      <c r="E9" s="1838"/>
      <c r="F9" s="1838">
        <f>SUM(B9:E9)</f>
        <v>3344177</v>
      </c>
    </row>
    <row r="10" spans="1:8" s="1080" customFormat="1" ht="14.25" thickTop="1" thickBot="1" x14ac:dyDescent="0.25">
      <c r="A10" s="1081" t="s">
        <v>1437</v>
      </c>
      <c r="B10" s="1840">
        <f>(B8-B9)</f>
        <v>-93083</v>
      </c>
      <c r="C10" s="1840">
        <f>(C8-C9)</f>
        <v>17322</v>
      </c>
      <c r="D10" s="1840">
        <f>(D8-D9)</f>
        <v>-1</v>
      </c>
      <c r="E10" s="1839">
        <f>(E8-E9)</f>
        <v>26348</v>
      </c>
      <c r="F10" s="1841">
        <f>SUM(F8-F9)</f>
        <v>-49414</v>
      </c>
    </row>
    <row r="11" spans="1:8" s="1080" customFormat="1" ht="14.25" thickTop="1" thickBot="1" x14ac:dyDescent="0.25">
      <c r="A11" s="1082" t="s">
        <v>1785</v>
      </c>
      <c r="B11" s="1842">
        <f>'Acct Summary 7-8'!C81</f>
        <v>761726</v>
      </c>
      <c r="C11" s="1842">
        <f>'Acct Summary 7-8'!D81</f>
        <v>66866</v>
      </c>
      <c r="D11" s="1842">
        <f>'Acct Summary 7-8'!F81</f>
        <v>0</v>
      </c>
      <c r="E11" s="1842">
        <f>'Acct Summary 7-8'!I81</f>
        <v>845856</v>
      </c>
      <c r="F11" s="1843">
        <f>SUM(B11:E11)</f>
        <v>1674448</v>
      </c>
    </row>
    <row r="12" spans="1:8" ht="16.5" customHeight="1" thickTop="1" x14ac:dyDescent="0.2">
      <c r="A12" s="1083"/>
      <c r="B12" s="1084"/>
      <c r="C12" s="2361" t="str">
        <f>IF(AND(F10&lt;0,F11&gt;=0,ABS(F10*3)&gt;ABS(F11)),A16,IF(AND(F10&lt;0,F11&gt;0,ABS(F10*3)&lt;=ABS(F11)),A17,IF(AND(F10&lt;0,F11&lt;0),A16,IF(F11=0,A19,A18))))</f>
        <v>Unbalanced -  however, a deficit reduction plan is not required at this time.</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32046256004</v>
      </c>
    </row>
    <row r="3" spans="1:2" x14ac:dyDescent="0.2">
      <c r="A3" t="s">
        <v>1013</v>
      </c>
      <c r="B3" s="138" t="str">
        <f>COVER!A15</f>
        <v>Kankakee</v>
      </c>
    </row>
    <row r="4" spans="1:2" x14ac:dyDescent="0.2">
      <c r="A4" t="s">
        <v>1064</v>
      </c>
      <c r="B4" s="138" t="str">
        <f>COVER!A17</f>
        <v>St Anne CCSD 256</v>
      </c>
    </row>
    <row r="5" spans="1:2" x14ac:dyDescent="0.2">
      <c r="A5" t="s">
        <v>728</v>
      </c>
      <c r="B5" s="138" t="str">
        <f>COVER!A38</f>
        <v>Charles Stegall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 xml:space="preserve"> 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addredmin@russleigh.comss:</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240000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761726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761726</v>
      </c>
      <c r="D92" s="2" t="str">
        <f t="shared" si="0"/>
        <v>Error?</v>
      </c>
    </row>
    <row r="93" spans="1:4" x14ac:dyDescent="0.2">
      <c r="A93" s="5">
        <v>32</v>
      </c>
      <c r="B93" s="138">
        <f>'Assets-Liab 5-6'!C41</f>
        <v>761726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45000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66866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66866</v>
      </c>
      <c r="D123" s="2" t="str">
        <f t="shared" si="0"/>
        <v>Error?</v>
      </c>
    </row>
    <row r="124" spans="1:4" x14ac:dyDescent="0.2">
      <c r="A124" s="5">
        <v>63</v>
      </c>
      <c r="B124" s="138">
        <f>'Assets-Liab 5-6'!D41</f>
        <v>66866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1268</v>
      </c>
      <c r="D140" s="2" t="str">
        <f t="shared" si="1"/>
        <v>Error?</v>
      </c>
    </row>
    <row r="141" spans="1:4" x14ac:dyDescent="0.2">
      <c r="A141" s="5">
        <v>80</v>
      </c>
      <c r="B141" s="138">
        <f>'Assets-Liab 5-6'!E41</f>
        <v>1268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72624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55083</v>
      </c>
      <c r="D189" s="2" t="str">
        <f t="shared" si="1"/>
        <v>Error?</v>
      </c>
    </row>
    <row r="190" spans="1:4" x14ac:dyDescent="0.2">
      <c r="A190" s="5">
        <v>129</v>
      </c>
      <c r="B190" s="138">
        <f>'Assets-Liab 5-6'!G41</f>
        <v>72624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38285</v>
      </c>
      <c r="D273" s="2" t="str">
        <f t="shared" si="3"/>
        <v>Error?</v>
      </c>
    </row>
    <row r="274" spans="1:4" x14ac:dyDescent="0.2">
      <c r="A274" s="5">
        <v>213</v>
      </c>
      <c r="B274" s="138">
        <f>'Assets-Liab 5-6'!M17</f>
        <v>2376547</v>
      </c>
      <c r="D274" s="2" t="str">
        <f t="shared" si="3"/>
        <v>Error?</v>
      </c>
    </row>
    <row r="275" spans="1:4" x14ac:dyDescent="0.2">
      <c r="A275" s="5">
        <v>214</v>
      </c>
      <c r="B275" s="138">
        <f>'Assets-Liab 5-6'!M18</f>
        <v>23750</v>
      </c>
      <c r="D275" s="2" t="str">
        <f t="shared" si="3"/>
        <v>Error?</v>
      </c>
    </row>
    <row r="276" spans="1:4" x14ac:dyDescent="0.2">
      <c r="A276" s="5">
        <v>215</v>
      </c>
      <c r="B276" s="138">
        <f>'Assets-Liab 5-6'!M19</f>
        <v>1237529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3676111</v>
      </c>
      <c r="C279" s="2" t="s">
        <v>594</v>
      </c>
      <c r="D279" s="2" t="str">
        <f t="shared" si="3"/>
        <v>Error?</v>
      </c>
    </row>
    <row r="280" spans="1:4" x14ac:dyDescent="0.2">
      <c r="A280" s="5">
        <v>219</v>
      </c>
      <c r="B280" s="138">
        <f>'Assets-Liab 5-6'!M40</f>
        <v>3676111</v>
      </c>
      <c r="D280" s="2" t="str">
        <f t="shared" si="3"/>
        <v>Error?</v>
      </c>
    </row>
    <row r="281" spans="1:4" x14ac:dyDescent="0.2">
      <c r="A281" s="5">
        <v>220</v>
      </c>
      <c r="B281" s="138">
        <f>'Assets-Liab 5-6'!M41</f>
        <v>3676111</v>
      </c>
      <c r="C281" s="2" t="s">
        <v>594</v>
      </c>
      <c r="D281" s="2" t="str">
        <f t="shared" si="3"/>
        <v>Error?</v>
      </c>
    </row>
    <row r="282" spans="1:4" x14ac:dyDescent="0.2">
      <c r="A282" s="5">
        <v>221</v>
      </c>
      <c r="B282" s="138">
        <f>'Assets-Liab 5-6'!N21</f>
        <v>1268</v>
      </c>
      <c r="D282" s="2" t="str">
        <f t="shared" si="3"/>
        <v>Error?</v>
      </c>
    </row>
    <row r="283" spans="1:4" x14ac:dyDescent="0.2">
      <c r="A283" s="5">
        <v>222</v>
      </c>
      <c r="B283" s="138">
        <f>'Assets-Liab 5-6'!N22</f>
        <v>621632</v>
      </c>
      <c r="D283" s="2" t="str">
        <f t="shared" si="3"/>
        <v>Error?</v>
      </c>
    </row>
    <row r="284" spans="1:4" x14ac:dyDescent="0.2">
      <c r="A284" s="5">
        <v>223</v>
      </c>
      <c r="B284" s="138">
        <f>'Assets-Liab 5-6'!N23</f>
        <v>622900</v>
      </c>
      <c r="C284" s="2" t="s">
        <v>594</v>
      </c>
      <c r="D284" s="2" t="str">
        <f t="shared" si="3"/>
        <v>Error?</v>
      </c>
    </row>
    <row r="285" spans="1:4" x14ac:dyDescent="0.2">
      <c r="A285" s="5">
        <v>224</v>
      </c>
      <c r="B285" s="138">
        <f>'Assets-Liab 5-6'!N36</f>
        <v>622900</v>
      </c>
      <c r="D285" s="2" t="str">
        <f t="shared" si="3"/>
        <v>Error?</v>
      </c>
    </row>
    <row r="286" spans="1:4" x14ac:dyDescent="0.2">
      <c r="A286" s="10">
        <v>225</v>
      </c>
      <c r="D286" s="2" t="str">
        <f t="shared" si="3"/>
        <v>OK</v>
      </c>
    </row>
    <row r="287" spans="1:4" x14ac:dyDescent="0.2">
      <c r="A287" s="5">
        <v>226</v>
      </c>
      <c r="B287" s="138">
        <f>'Assets-Liab 5-6'!N37</f>
        <v>622900</v>
      </c>
      <c r="C287" s="2" t="s">
        <v>594</v>
      </c>
      <c r="D287" s="2" t="str">
        <f t="shared" si="3"/>
        <v>Error?</v>
      </c>
    </row>
    <row r="288" spans="1:4" x14ac:dyDescent="0.2">
      <c r="A288" s="5">
        <v>227</v>
      </c>
      <c r="B288" s="138">
        <f>'Assets-Liab 5-6'!N41</f>
        <v>622900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1114172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40566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1446812</v>
      </c>
      <c r="C720" s="2" t="s">
        <v>594</v>
      </c>
      <c r="D720" s="2" t="str">
        <f t="shared" si="10"/>
        <v>Error?</v>
      </c>
    </row>
    <row r="721" spans="1:4" x14ac:dyDescent="0.2">
      <c r="A721" s="5">
        <v>660</v>
      </c>
      <c r="B721" s="138">
        <f>'Expenditures 15-22'!C36</f>
        <v>43429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2188</v>
      </c>
      <c r="D723" s="2" t="str">
        <f t="shared" si="10"/>
        <v>Error?</v>
      </c>
    </row>
    <row r="724" spans="1:4" x14ac:dyDescent="0.2">
      <c r="A724" s="5">
        <v>663</v>
      </c>
      <c r="B724" s="138">
        <f>'Expenditures 15-22'!C39</f>
        <v>32204</v>
      </c>
      <c r="D724" s="2" t="str">
        <f t="shared" si="10"/>
        <v>Error?</v>
      </c>
    </row>
    <row r="725" spans="1:4" x14ac:dyDescent="0.2">
      <c r="A725" s="5">
        <v>664</v>
      </c>
      <c r="B725" s="138">
        <f>'Expenditures 15-22'!C40</f>
        <v>68020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145841</v>
      </c>
      <c r="C727" s="2" t="s">
        <v>594</v>
      </c>
      <c r="D727" s="2" t="str">
        <f t="shared" si="10"/>
        <v>Error?</v>
      </c>
    </row>
    <row r="728" spans="1:4" x14ac:dyDescent="0.2">
      <c r="A728" s="5">
        <v>667</v>
      </c>
      <c r="B728" s="138">
        <f>'Expenditures 15-22'!C44</f>
        <v>495</v>
      </c>
      <c r="D728" s="2" t="str">
        <f t="shared" si="10"/>
        <v>Error?</v>
      </c>
    </row>
    <row r="729" spans="1:4" x14ac:dyDescent="0.2">
      <c r="A729" s="5">
        <v>668</v>
      </c>
      <c r="B729" s="138">
        <f>'Expenditures 15-22'!C45</f>
        <v>12138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12633</v>
      </c>
      <c r="C731" s="2" t="s">
        <v>594</v>
      </c>
      <c r="D731" s="2" t="str">
        <f t="shared" si="10"/>
        <v>Error?</v>
      </c>
    </row>
    <row r="732" spans="1:4" x14ac:dyDescent="0.2">
      <c r="A732" s="5">
        <v>671</v>
      </c>
      <c r="B732" s="138">
        <f>'Expenditures 15-22'!C49</f>
        <v>2600</v>
      </c>
      <c r="D732" s="2" t="str">
        <f t="shared" si="10"/>
        <v>Error?</v>
      </c>
    </row>
    <row r="733" spans="1:4" x14ac:dyDescent="0.2">
      <c r="A733" s="5">
        <v>672</v>
      </c>
      <c r="B733" s="138">
        <f>'Expenditures 15-22'!C50</f>
        <v>65396</v>
      </c>
      <c r="D733" s="2" t="str">
        <f t="shared" si="10"/>
        <v>Error?</v>
      </c>
    </row>
    <row r="734" spans="1:4" x14ac:dyDescent="0.2">
      <c r="A734" s="5">
        <v>673</v>
      </c>
      <c r="B734" s="138">
        <f>'Expenditures 15-22'!C53</f>
        <v>67996</v>
      </c>
      <c r="C734" s="2" t="s">
        <v>594</v>
      </c>
      <c r="D734" s="2" t="str">
        <f t="shared" si="10"/>
        <v>Error?</v>
      </c>
    </row>
    <row r="735" spans="1:4" x14ac:dyDescent="0.2">
      <c r="A735" s="5">
        <v>674</v>
      </c>
      <c r="B735" s="138">
        <f>'Expenditures 15-22'!C55</f>
        <v>126241</v>
      </c>
      <c r="D735" s="2" t="str">
        <f t="shared" si="10"/>
        <v>Error?</v>
      </c>
    </row>
    <row r="736" spans="1:4" x14ac:dyDescent="0.2">
      <c r="A736" s="5">
        <v>675</v>
      </c>
      <c r="B736" s="138">
        <f>'Expenditures 15-22'!C56</f>
        <v>36446</v>
      </c>
      <c r="D736" s="2" t="str">
        <f t="shared" si="10"/>
        <v>Error?</v>
      </c>
    </row>
    <row r="737" spans="1:4" x14ac:dyDescent="0.2">
      <c r="A737" s="5">
        <v>676</v>
      </c>
      <c r="B737" s="138">
        <f>'Expenditures 15-22'!C57</f>
        <v>162687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45833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58114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103947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29527</v>
      </c>
      <c r="D751" s="2" t="str">
        <f t="shared" si="10"/>
        <v>Error?</v>
      </c>
    </row>
    <row r="752" spans="1:4" x14ac:dyDescent="0.2">
      <c r="A752" s="10">
        <v>691</v>
      </c>
      <c r="D752" s="2" t="str">
        <f t="shared" si="10"/>
        <v>OK</v>
      </c>
    </row>
    <row r="753" spans="1:4" x14ac:dyDescent="0.2">
      <c r="A753" s="5">
        <v>692</v>
      </c>
      <c r="B753" s="138">
        <f>'Expenditures 15-22'!C72</f>
        <v>29527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522631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1969443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235481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3342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319285</v>
      </c>
      <c r="C778" s="2" t="s">
        <v>594</v>
      </c>
      <c r="D778" s="2" t="str">
        <f t="shared" si="11"/>
        <v>Error?</v>
      </c>
    </row>
    <row r="779" spans="1:4" x14ac:dyDescent="0.2">
      <c r="A779" s="5">
        <v>718</v>
      </c>
      <c r="B779" s="138">
        <f>'Expenditures 15-22'!D36</f>
        <v>5858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380</v>
      </c>
      <c r="D781" s="2" t="str">
        <f t="shared" si="11"/>
        <v>Error?</v>
      </c>
    </row>
    <row r="782" spans="1:4" x14ac:dyDescent="0.2">
      <c r="A782" s="5">
        <v>721</v>
      </c>
      <c r="B782" s="138">
        <f>'Expenditures 15-22'!D39</f>
        <v>7794</v>
      </c>
      <c r="D782" s="2" t="str">
        <f t="shared" si="11"/>
        <v>Error?</v>
      </c>
    </row>
    <row r="783" spans="1:4" x14ac:dyDescent="0.2">
      <c r="A783" s="5">
        <v>722</v>
      </c>
      <c r="B783" s="138">
        <f>'Expenditures 15-22'!D40</f>
        <v>9323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23355</v>
      </c>
      <c r="C785" s="2" t="s">
        <v>594</v>
      </c>
      <c r="D785" s="2" t="str">
        <f t="shared" si="11"/>
        <v>Error?</v>
      </c>
    </row>
    <row r="786" spans="1:4" x14ac:dyDescent="0.2">
      <c r="A786" s="5">
        <v>725</v>
      </c>
      <c r="B786" s="138">
        <f>'Expenditures 15-22'!D44</f>
        <v>18</v>
      </c>
      <c r="D786" s="2" t="str">
        <f t="shared" si="11"/>
        <v>Error?</v>
      </c>
    </row>
    <row r="787" spans="1:4" x14ac:dyDescent="0.2">
      <c r="A787" s="5">
        <v>726</v>
      </c>
      <c r="B787" s="138">
        <f>'Expenditures 15-22'!D45</f>
        <v>298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316</v>
      </c>
      <c r="C789" s="2" t="s">
        <v>594</v>
      </c>
      <c r="D789" s="2" t="str">
        <f t="shared" si="11"/>
        <v>Error?</v>
      </c>
    </row>
    <row r="790" spans="1:4" x14ac:dyDescent="0.2">
      <c r="A790" s="5">
        <v>729</v>
      </c>
      <c r="B790" s="138">
        <f>'Expenditures 15-22'!D49</f>
        <v>13</v>
      </c>
      <c r="D790" s="2" t="str">
        <f t="shared" si="11"/>
        <v>Error?</v>
      </c>
    </row>
    <row r="791" spans="1:4" x14ac:dyDescent="0.2">
      <c r="A791" s="5">
        <v>730</v>
      </c>
      <c r="B791" s="138">
        <f>'Expenditures 15-22'!D50</f>
        <v>21366</v>
      </c>
      <c r="D791" s="2" t="str">
        <f t="shared" si="11"/>
        <v>Error?</v>
      </c>
    </row>
    <row r="792" spans="1:4" x14ac:dyDescent="0.2">
      <c r="A792" s="5">
        <v>731</v>
      </c>
      <c r="B792" s="138">
        <f>'Expenditures 15-22'!D53</f>
        <v>21379</v>
      </c>
      <c r="C792" s="2" t="s">
        <v>594</v>
      </c>
      <c r="D792" s="2" t="str">
        <f t="shared" si="11"/>
        <v>Error?</v>
      </c>
    </row>
    <row r="793" spans="1:4" x14ac:dyDescent="0.2">
      <c r="A793" s="5">
        <v>732</v>
      </c>
      <c r="B793" s="138">
        <f>'Expenditures 15-22'!D55</f>
        <v>45964</v>
      </c>
      <c r="D793" s="2" t="str">
        <f t="shared" si="11"/>
        <v>Error?</v>
      </c>
    </row>
    <row r="794" spans="1:4" x14ac:dyDescent="0.2">
      <c r="A794" s="5">
        <v>733</v>
      </c>
      <c r="B794" s="138">
        <f>'Expenditures 15-22'!D56</f>
        <v>4666</v>
      </c>
      <c r="D794" s="2" t="str">
        <f t="shared" si="11"/>
        <v>Error?</v>
      </c>
    </row>
    <row r="795" spans="1:4" x14ac:dyDescent="0.2">
      <c r="A795" s="5">
        <v>734</v>
      </c>
      <c r="B795" s="138">
        <f>'Expenditures 15-22'!D57</f>
        <v>50630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7046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1893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8939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3574</v>
      </c>
      <c r="D809" s="2" t="str">
        <f t="shared" si="11"/>
        <v>Error?</v>
      </c>
    </row>
    <row r="810" spans="1:4" x14ac:dyDescent="0.2">
      <c r="A810" s="10">
        <v>749</v>
      </c>
      <c r="D810" s="2" t="str">
        <f t="shared" si="11"/>
        <v>OK</v>
      </c>
    </row>
    <row r="811" spans="1:4" x14ac:dyDescent="0.2">
      <c r="A811" s="5">
        <v>750</v>
      </c>
      <c r="B811" s="138">
        <f>'Expenditures 15-22'!D72</f>
        <v>3574</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108193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427478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67613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6587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94560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3137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306</v>
      </c>
      <c r="D846" s="2" t="str">
        <f t="shared" si="12"/>
        <v>Error?</v>
      </c>
    </row>
    <row r="847" spans="1:4" x14ac:dyDescent="0.2">
      <c r="A847" s="5">
        <v>786</v>
      </c>
      <c r="B847" s="138">
        <f>'Expenditures 15-22'!E47</f>
        <v>3443</v>
      </c>
      <c r="C847" s="2" t="s">
        <v>594</v>
      </c>
      <c r="D847" s="2" t="str">
        <f t="shared" si="12"/>
        <v>Error?</v>
      </c>
    </row>
    <row r="848" spans="1:4" x14ac:dyDescent="0.2">
      <c r="A848" s="5">
        <v>787</v>
      </c>
      <c r="B848" s="138">
        <f>'Expenditures 15-22'!E49</f>
        <v>6755</v>
      </c>
      <c r="D848" s="2" t="str">
        <f t="shared" si="12"/>
        <v>Error?</v>
      </c>
    </row>
    <row r="849" spans="1:4" x14ac:dyDescent="0.2">
      <c r="A849" s="5">
        <v>788</v>
      </c>
      <c r="B849" s="138">
        <f>'Expenditures 15-22'!E50</f>
        <v>1559</v>
      </c>
      <c r="D849" s="2" t="str">
        <f t="shared" si="12"/>
        <v>Error?</v>
      </c>
    </row>
    <row r="850" spans="1:4" x14ac:dyDescent="0.2">
      <c r="A850" s="5">
        <v>789</v>
      </c>
      <c r="B850" s="138">
        <f>'Expenditures 15-22'!E53</f>
        <v>8314</v>
      </c>
      <c r="C850" s="2" t="s">
        <v>594</v>
      </c>
      <c r="D850" s="2" t="str">
        <f t="shared" si="12"/>
        <v>Error?</v>
      </c>
    </row>
    <row r="851" spans="1:4" x14ac:dyDescent="0.2">
      <c r="A851" s="5">
        <v>790</v>
      </c>
      <c r="B851" s="138">
        <f>'Expenditures 15-22'!E55</f>
        <v>2419</v>
      </c>
      <c r="D851" s="2" t="str">
        <f t="shared" si="12"/>
        <v>Error?</v>
      </c>
    </row>
    <row r="852" spans="1:4" x14ac:dyDescent="0.2">
      <c r="A852" s="5">
        <v>791</v>
      </c>
      <c r="B852" s="138">
        <f>'Expenditures 15-22'!E56</f>
        <v>12256</v>
      </c>
      <c r="D852" s="2" t="str">
        <f t="shared" si="12"/>
        <v>Error?</v>
      </c>
    </row>
    <row r="853" spans="1:4" x14ac:dyDescent="0.2">
      <c r="A853" s="5">
        <v>792</v>
      </c>
      <c r="B853" s="138">
        <f>'Expenditures 15-22'!E57</f>
        <v>14675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13839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2596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16435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6019</v>
      </c>
      <c r="D867" s="2" t="str">
        <f t="shared" si="12"/>
        <v>Error?</v>
      </c>
    </row>
    <row r="868" spans="1:4" x14ac:dyDescent="0.2">
      <c r="A868" s="10">
        <v>807</v>
      </c>
      <c r="D868" s="2" t="str">
        <f t="shared" si="12"/>
        <v>OK</v>
      </c>
    </row>
    <row r="869" spans="1:4" x14ac:dyDescent="0.2">
      <c r="A869" s="5">
        <v>808</v>
      </c>
      <c r="B869" s="138">
        <f>'Expenditures 15-22'!E72</f>
        <v>6019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48886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156646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22921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2668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85089</v>
      </c>
      <c r="C894" s="2" t="s">
        <v>594</v>
      </c>
      <c r="D894" s="2" t="str">
        <f t="shared" si="12"/>
        <v>Error?</v>
      </c>
    </row>
    <row r="895" spans="1:4" x14ac:dyDescent="0.2">
      <c r="A895" s="5">
        <v>834</v>
      </c>
      <c r="B895" s="138">
        <f>'Expenditures 15-22'!F36</f>
        <v>170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574</v>
      </c>
      <c r="D898" s="2" t="str">
        <f t="shared" si="13"/>
        <v>Error?</v>
      </c>
    </row>
    <row r="899" spans="1:4" x14ac:dyDescent="0.2">
      <c r="A899" s="5">
        <v>838</v>
      </c>
      <c r="B899" s="138">
        <f>'Expenditures 15-22'!F40</f>
        <v>981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1725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137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137</v>
      </c>
      <c r="C905" s="2" t="s">
        <v>594</v>
      </c>
      <c r="D905" s="2" t="str">
        <f t="shared" si="13"/>
        <v>Error?</v>
      </c>
    </row>
    <row r="906" spans="1:4" x14ac:dyDescent="0.2">
      <c r="A906" s="5">
        <v>845</v>
      </c>
      <c r="B906" s="138">
        <f>'Expenditures 15-22'!F49</f>
        <v>1254</v>
      </c>
      <c r="D906" s="2" t="str">
        <f t="shared" si="13"/>
        <v>Error?</v>
      </c>
    </row>
    <row r="907" spans="1:4" x14ac:dyDescent="0.2">
      <c r="A907" s="5">
        <v>846</v>
      </c>
      <c r="B907" s="138">
        <f>'Expenditures 15-22'!F50</f>
        <v>181</v>
      </c>
      <c r="D907" s="2" t="str">
        <f t="shared" si="13"/>
        <v>Error?</v>
      </c>
    </row>
    <row r="908" spans="1:4" x14ac:dyDescent="0.2">
      <c r="A908" s="5">
        <v>847</v>
      </c>
      <c r="B908" s="138">
        <f>'Expenditures 15-22'!F53</f>
        <v>1435</v>
      </c>
      <c r="C908" s="2" t="s">
        <v>594</v>
      </c>
      <c r="D908" s="2" t="str">
        <f t="shared" si="13"/>
        <v>Error?</v>
      </c>
    </row>
    <row r="909" spans="1:4" x14ac:dyDescent="0.2">
      <c r="A909" s="5">
        <v>848</v>
      </c>
      <c r="B909" s="138">
        <f>'Expenditures 15-22'!F55</f>
        <v>657</v>
      </c>
      <c r="D909" s="2" t="str">
        <f t="shared" si="13"/>
        <v>Error?</v>
      </c>
    </row>
    <row r="910" spans="1:4" x14ac:dyDescent="0.2">
      <c r="A910" s="5">
        <v>849</v>
      </c>
      <c r="B910" s="138">
        <f>'Expenditures 15-22'!F56</f>
        <v>1018</v>
      </c>
      <c r="D910" s="2" t="str">
        <f t="shared" si="13"/>
        <v>Error?</v>
      </c>
    </row>
    <row r="911" spans="1:4" x14ac:dyDescent="0.2">
      <c r="A911" s="5">
        <v>850</v>
      </c>
      <c r="B911" s="138">
        <f>'Expenditures 15-22'!F57</f>
        <v>1675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778</v>
      </c>
      <c r="D913" s="2" t="str">
        <f t="shared" si="13"/>
        <v>Error?</v>
      </c>
    </row>
    <row r="914" spans="1:4" x14ac:dyDescent="0.2">
      <c r="A914" s="5">
        <v>853</v>
      </c>
      <c r="B914" s="138">
        <f>'Expenditures 15-22'!F61</f>
        <v>41464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80674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122916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127888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212977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t="str">
        <f>'Expenditures 15-22'!G14</f>
        <v xml:space="preserve"> </v>
      </c>
      <c r="D950" s="2" t="e">
        <f t="shared" si="13"/>
        <v>#VALUE!</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5673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7598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5909</v>
      </c>
      <c r="D1022" s="2" t="str">
        <f t="shared" si="14"/>
        <v>Error?</v>
      </c>
    </row>
    <row r="1023" spans="1:4" x14ac:dyDescent="0.2">
      <c r="A1023" s="5">
        <v>962</v>
      </c>
      <c r="B1023" s="138">
        <f>'Expenditures 15-22'!H50</f>
        <v>1137</v>
      </c>
      <c r="D1023" s="2" t="str">
        <f t="shared" ref="D1023:D1086" si="15">IF(ISBLANK(B1023),"OK",IF(A1023-B1023=0,"OK","Error?"))</f>
        <v>Error?</v>
      </c>
    </row>
    <row r="1024" spans="1:4" x14ac:dyDescent="0.2">
      <c r="A1024" s="5">
        <v>963</v>
      </c>
      <c r="B1024" s="138">
        <f>'Expenditures 15-22'!H53</f>
        <v>7046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112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7158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138347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153103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1445860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58288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1960094</v>
      </c>
      <c r="C1108" s="2" t="s">
        <v>594</v>
      </c>
      <c r="D1108" s="2" t="str">
        <f t="shared" si="16"/>
        <v>Error?</v>
      </c>
    </row>
    <row r="1109" spans="1:4" x14ac:dyDescent="0.2">
      <c r="A1109" s="5">
        <v>1048</v>
      </c>
      <c r="B1109" s="138">
        <f>'Expenditures 15-22'!K36</f>
        <v>49457</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2568</v>
      </c>
      <c r="C1111" s="2" t="s">
        <v>594</v>
      </c>
      <c r="D1111" s="2" t="str">
        <f t="shared" si="16"/>
        <v>Error?</v>
      </c>
    </row>
    <row r="1112" spans="1:4" x14ac:dyDescent="0.2">
      <c r="A1112" s="5">
        <v>1051</v>
      </c>
      <c r="B1112" s="138">
        <f>'Expenditures 15-22'!K39</f>
        <v>40572</v>
      </c>
      <c r="C1112" s="2" t="s">
        <v>594</v>
      </c>
      <c r="D1112" s="2" t="str">
        <f t="shared" si="16"/>
        <v>Error?</v>
      </c>
    </row>
    <row r="1113" spans="1:4" x14ac:dyDescent="0.2">
      <c r="A1113" s="5">
        <v>1052</v>
      </c>
      <c r="B1113" s="138">
        <f>'Expenditures 15-22'!K40</f>
        <v>78324</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170921</v>
      </c>
      <c r="C1115" s="2" t="s">
        <v>594</v>
      </c>
      <c r="D1115" s="2" t="str">
        <f t="shared" si="16"/>
        <v>Error?</v>
      </c>
    </row>
    <row r="1116" spans="1:4" x14ac:dyDescent="0.2">
      <c r="A1116" s="5">
        <v>1055</v>
      </c>
      <c r="B1116" s="138">
        <f>'Expenditures 15-22'!K44</f>
        <v>3650</v>
      </c>
      <c r="C1116" s="2" t="s">
        <v>594</v>
      </c>
      <c r="D1116" s="2" t="str">
        <f t="shared" si="16"/>
        <v>Error?</v>
      </c>
    </row>
    <row r="1117" spans="1:4" x14ac:dyDescent="0.2">
      <c r="A1117" s="5">
        <v>1056</v>
      </c>
      <c r="B1117" s="138">
        <f>'Expenditures 15-22'!K45</f>
        <v>12573</v>
      </c>
      <c r="C1117" s="2" t="s">
        <v>594</v>
      </c>
      <c r="D1117" s="2" t="str">
        <f t="shared" si="16"/>
        <v>Error?</v>
      </c>
    </row>
    <row r="1118" spans="1:4" x14ac:dyDescent="0.2">
      <c r="A1118" s="5">
        <v>1057</v>
      </c>
      <c r="B1118" s="138">
        <f>'Expenditures 15-22'!K46</f>
        <v>306</v>
      </c>
      <c r="C1118" s="2" t="s">
        <v>594</v>
      </c>
      <c r="D1118" s="2" t="str">
        <f t="shared" si="16"/>
        <v>Error?</v>
      </c>
    </row>
    <row r="1119" spans="1:4" x14ac:dyDescent="0.2">
      <c r="A1119" s="5">
        <v>1058</v>
      </c>
      <c r="B1119" s="138">
        <f>'Expenditures 15-22'!K47</f>
        <v>16529</v>
      </c>
      <c r="C1119" s="2" t="s">
        <v>594</v>
      </c>
      <c r="D1119" s="2" t="str">
        <f t="shared" si="16"/>
        <v>Error?</v>
      </c>
    </row>
    <row r="1120" spans="1:4" x14ac:dyDescent="0.2">
      <c r="A1120" s="5">
        <v>1059</v>
      </c>
      <c r="B1120" s="138">
        <f>'Expenditures 15-22'!K49</f>
        <v>16531</v>
      </c>
      <c r="C1120" s="2" t="s">
        <v>594</v>
      </c>
      <c r="D1120" s="2" t="str">
        <f t="shared" si="16"/>
        <v>Error?</v>
      </c>
    </row>
    <row r="1121" spans="1:4" x14ac:dyDescent="0.2">
      <c r="A1121" s="5">
        <v>1060</v>
      </c>
      <c r="B1121" s="138">
        <f>'Expenditures 15-22'!K50</f>
        <v>89639</v>
      </c>
      <c r="C1121" s="2" t="s">
        <v>594</v>
      </c>
      <c r="D1121" s="2" t="str">
        <f t="shared" si="16"/>
        <v>Error?</v>
      </c>
    </row>
    <row r="1122" spans="1:4" x14ac:dyDescent="0.2">
      <c r="A1122" s="5">
        <v>1061</v>
      </c>
      <c r="B1122" s="138">
        <f>'Expenditures 15-22'!K53</f>
        <v>106170</v>
      </c>
      <c r="C1122" s="2" t="s">
        <v>594</v>
      </c>
      <c r="D1122" s="2" t="str">
        <f t="shared" si="16"/>
        <v>Error?</v>
      </c>
    </row>
    <row r="1123" spans="1:4" x14ac:dyDescent="0.2">
      <c r="A1123" s="5">
        <v>1062</v>
      </c>
      <c r="B1123" s="138">
        <f>'Expenditures 15-22'!K55</f>
        <v>175281</v>
      </c>
      <c r="C1123" s="2" t="s">
        <v>594</v>
      </c>
      <c r="D1123" s="2" t="str">
        <f t="shared" si="16"/>
        <v>Error?</v>
      </c>
    </row>
    <row r="1124" spans="1:4" x14ac:dyDescent="0.2">
      <c r="A1124" s="5">
        <v>1063</v>
      </c>
      <c r="B1124" s="138">
        <f>'Expenditures 15-22'!K56</f>
        <v>54386</v>
      </c>
      <c r="C1124" s="2" t="s">
        <v>594</v>
      </c>
      <c r="D1124" s="2" t="str">
        <f t="shared" si="16"/>
        <v>Error?</v>
      </c>
    </row>
    <row r="1125" spans="1:4" x14ac:dyDescent="0.2">
      <c r="A1125" s="5">
        <v>1064</v>
      </c>
      <c r="B1125" s="138">
        <f>'Expenditures 15-22'!K57</f>
        <v>229667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67608</v>
      </c>
      <c r="C1127" s="2" t="s">
        <v>594</v>
      </c>
      <c r="D1127" s="2" t="str">
        <f t="shared" si="16"/>
        <v>Error?</v>
      </c>
    </row>
    <row r="1128" spans="1:4" x14ac:dyDescent="0.2">
      <c r="A1128" s="5">
        <v>1067</v>
      </c>
      <c r="B1128" s="138">
        <f>'Expenditures 15-22'!K61</f>
        <v>41464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143277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252349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39120</v>
      </c>
      <c r="C1139" s="2" t="s">
        <v>594</v>
      </c>
      <c r="D1139" s="2" t="str">
        <f t="shared" si="16"/>
        <v>Error?</v>
      </c>
    </row>
    <row r="1140" spans="1:4" x14ac:dyDescent="0.2">
      <c r="A1140" s="10">
        <v>1079</v>
      </c>
      <c r="D1140" s="2" t="str">
        <f t="shared" si="16"/>
        <v>OK</v>
      </c>
    </row>
    <row r="1141" spans="1:4" x14ac:dyDescent="0.2">
      <c r="A1141" s="5">
        <v>1080</v>
      </c>
      <c r="B1141" s="138">
        <f>'Expenditures 15-22'!K72</f>
        <v>39120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814756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151547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2926397</v>
      </c>
      <c r="C1152" s="2" t="s">
        <v>594</v>
      </c>
      <c r="D1152" s="2" t="str">
        <f t="shared" si="17"/>
        <v>Error?</v>
      </c>
    </row>
    <row r="1153" spans="1:4" x14ac:dyDescent="0.2">
      <c r="A1153" s="5">
        <v>1092</v>
      </c>
      <c r="B1153" s="138">
        <f>'Expenditures 15-22'!K115</f>
        <v>-93083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57696</v>
      </c>
      <c r="D1221" s="2" t="str">
        <f t="shared" si="18"/>
        <v>Error?</v>
      </c>
    </row>
    <row r="1222" spans="1:4" x14ac:dyDescent="0.2">
      <c r="A1222" s="10">
        <v>1161</v>
      </c>
      <c r="D1222" s="2" t="str">
        <f t="shared" si="18"/>
        <v>OK</v>
      </c>
    </row>
    <row r="1223" spans="1:4" x14ac:dyDescent="0.2">
      <c r="A1223" s="5">
        <v>1162</v>
      </c>
      <c r="B1223" s="138">
        <f>'Expenditures 15-22'!C127</f>
        <v>57696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57696</v>
      </c>
      <c r="C1225" s="2" t="s">
        <v>594</v>
      </c>
      <c r="D1225" s="2" t="str">
        <f t="shared" si="18"/>
        <v>Error?</v>
      </c>
    </row>
    <row r="1226" spans="1:4" x14ac:dyDescent="0.2">
      <c r="A1226" s="5">
        <v>1165</v>
      </c>
      <c r="B1226" s="138">
        <f>'Expenditures 15-22'!C151</f>
        <v>57696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7608</v>
      </c>
      <c r="D1229" s="2" t="str">
        <f t="shared" si="18"/>
        <v>Error?</v>
      </c>
    </row>
    <row r="1230" spans="1:4" x14ac:dyDescent="0.2">
      <c r="A1230" s="10">
        <v>1169</v>
      </c>
      <c r="D1230" s="2" t="str">
        <f t="shared" si="18"/>
        <v>OK</v>
      </c>
    </row>
    <row r="1231" spans="1:4" x14ac:dyDescent="0.2">
      <c r="A1231" s="5">
        <v>1170</v>
      </c>
      <c r="B1231" s="138">
        <f>'Expenditures 15-22'!D127</f>
        <v>7608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7608</v>
      </c>
      <c r="C1233" s="2" t="s">
        <v>594</v>
      </c>
      <c r="D1233" s="2" t="str">
        <f t="shared" si="18"/>
        <v>Error?</v>
      </c>
    </row>
    <row r="1234" spans="1:4" x14ac:dyDescent="0.2">
      <c r="A1234" s="5">
        <v>1173</v>
      </c>
      <c r="B1234" s="138">
        <f>'Expenditures 15-22'!D151</f>
        <v>7608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33127</v>
      </c>
      <c r="D1237" s="2" t="str">
        <f t="shared" si="18"/>
        <v>Error?</v>
      </c>
    </row>
    <row r="1238" spans="1:4" x14ac:dyDescent="0.2">
      <c r="A1238" s="10">
        <v>1177</v>
      </c>
      <c r="D1238" s="2" t="str">
        <f t="shared" si="18"/>
        <v>OK</v>
      </c>
    </row>
    <row r="1239" spans="1:4" x14ac:dyDescent="0.2">
      <c r="A1239" s="5">
        <v>1178</v>
      </c>
      <c r="B1239" s="138">
        <f>'Expenditures 15-22'!E127</f>
        <v>33127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33127</v>
      </c>
      <c r="C1241" s="2" t="s">
        <v>594</v>
      </c>
      <c r="D1241" s="2" t="str">
        <f t="shared" si="18"/>
        <v>Error?</v>
      </c>
    </row>
    <row r="1242" spans="1:4" x14ac:dyDescent="0.2">
      <c r="A1242" s="5">
        <v>1181</v>
      </c>
      <c r="B1242" s="138">
        <f>'Expenditures 15-22'!E151</f>
        <v>33127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98431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98431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98431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98431</v>
      </c>
      <c r="C1288" s="2" t="s">
        <v>594</v>
      </c>
      <c r="D1288" s="2" t="str">
        <f t="shared" si="19"/>
        <v>Error?</v>
      </c>
    </row>
    <row r="1289" spans="1:4" x14ac:dyDescent="0.2">
      <c r="A1289" s="5">
        <v>1228</v>
      </c>
      <c r="B1289" s="138">
        <f>'Expenditures 15-22'!K152</f>
        <v>17322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26579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196100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223179</v>
      </c>
      <c r="C1317" s="2" t="s">
        <v>594</v>
      </c>
      <c r="D1317" s="2" t="str">
        <f t="shared" si="19"/>
        <v>Error?</v>
      </c>
    </row>
    <row r="1318" spans="1:4" x14ac:dyDescent="0.2">
      <c r="A1318" s="5">
        <v>1257</v>
      </c>
      <c r="B1318" s="138">
        <f>'Expenditures 15-22'!H174</f>
        <v>223179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26579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196100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223179</v>
      </c>
      <c r="C1331" s="2" t="s">
        <v>594</v>
      </c>
      <c r="D1331" s="2" t="str">
        <f t="shared" si="19"/>
        <v>Error?</v>
      </c>
    </row>
    <row r="1332" spans="1:4" x14ac:dyDescent="0.2">
      <c r="A1332" s="5">
        <v>1271</v>
      </c>
      <c r="B1332" s="138">
        <f>'Expenditures 15-22'!K174</f>
        <v>223179</v>
      </c>
      <c r="C1332" s="2" t="s">
        <v>594</v>
      </c>
      <c r="D1332" s="2" t="str">
        <f t="shared" si="19"/>
        <v>Error?</v>
      </c>
    </row>
    <row r="1333" spans="1:4" x14ac:dyDescent="0.2">
      <c r="A1333" s="5">
        <v>1272</v>
      </c>
      <c r="B1333" s="138">
        <f>'Expenditures 15-22'!K175</f>
        <v>-535</v>
      </c>
      <c r="C1333" s="2" t="s">
        <v>594</v>
      </c>
      <c r="D1333" s="2" t="str">
        <f t="shared" si="19"/>
        <v>Error?</v>
      </c>
    </row>
    <row r="1334" spans="1:4" x14ac:dyDescent="0.2">
      <c r="A1334" s="10">
        <v>1273</v>
      </c>
      <c r="D1334" s="2" t="str">
        <f t="shared" si="19"/>
        <v>OK</v>
      </c>
    </row>
    <row r="1335" spans="1:4" x14ac:dyDescent="0.2">
      <c r="A1335" s="5">
        <v>1274</v>
      </c>
      <c r="B1335" s="138">
        <f>'Expenditures 15-22'!C182</f>
        <v>10263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10263</v>
      </c>
      <c r="C1339" s="2" t="s">
        <v>594</v>
      </c>
      <c r="D1339" s="2" t="str">
        <f t="shared" si="19"/>
        <v>Error?</v>
      </c>
    </row>
    <row r="1340" spans="1:4" x14ac:dyDescent="0.2">
      <c r="A1340" s="5">
        <v>1279</v>
      </c>
      <c r="B1340" s="138">
        <f>'Expenditures 15-22'!C210</f>
        <v>10263</v>
      </c>
      <c r="C1340" s="2" t="s">
        <v>594</v>
      </c>
      <c r="D1340" s="2" t="str">
        <f t="shared" si="19"/>
        <v>Error?</v>
      </c>
    </row>
    <row r="1341" spans="1:4" x14ac:dyDescent="0.2">
      <c r="A1341" s="5">
        <v>1280</v>
      </c>
      <c r="B1341" s="138">
        <f>'Expenditures 15-22'!D182</f>
        <v>671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671</v>
      </c>
      <c r="C1345" s="2" t="s">
        <v>594</v>
      </c>
      <c r="D1345" s="2" t="str">
        <f t="shared" si="20"/>
        <v>Error?</v>
      </c>
    </row>
    <row r="1346" spans="1:4" x14ac:dyDescent="0.2">
      <c r="A1346" s="5">
        <v>1285</v>
      </c>
      <c r="B1346" s="138">
        <f>'Expenditures 15-22'!D210</f>
        <v>671</v>
      </c>
      <c r="C1346" s="2" t="s">
        <v>594</v>
      </c>
      <c r="D1346" s="2" t="str">
        <f t="shared" si="20"/>
        <v>Error?</v>
      </c>
    </row>
    <row r="1347" spans="1:4" x14ac:dyDescent="0.2">
      <c r="A1347" s="5">
        <v>1286</v>
      </c>
      <c r="B1347" s="138">
        <f>'Expenditures 15-22'!E182</f>
        <v>212652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212652</v>
      </c>
      <c r="C1351" s="2" t="s">
        <v>594</v>
      </c>
      <c r="D1351" s="2" t="str">
        <f t="shared" si="20"/>
        <v>Error?</v>
      </c>
    </row>
    <row r="1352" spans="1:4" x14ac:dyDescent="0.2">
      <c r="A1352" s="5">
        <v>1291</v>
      </c>
      <c r="B1352" s="138">
        <f>'Expenditures 15-22'!E196</f>
        <v>95763</v>
      </c>
      <c r="C1352" s="2" t="s">
        <v>594</v>
      </c>
      <c r="D1352" s="2" t="str">
        <f t="shared" si="20"/>
        <v>Error?</v>
      </c>
    </row>
    <row r="1353" spans="1:4" x14ac:dyDescent="0.2">
      <c r="A1353" s="5">
        <v>1292</v>
      </c>
      <c r="B1353" s="138">
        <f>'Expenditures 15-22'!E210</f>
        <v>308415</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223586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223586</v>
      </c>
      <c r="C1381" s="2" t="s">
        <v>594</v>
      </c>
      <c r="D1381" s="2" t="str">
        <f t="shared" si="20"/>
        <v>Error?</v>
      </c>
    </row>
    <row r="1382" spans="1:4" x14ac:dyDescent="0.2">
      <c r="A1382" s="5">
        <v>1321</v>
      </c>
      <c r="B1382" s="138">
        <f>'Expenditures 15-22'!K196</f>
        <v>95763</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319349</v>
      </c>
      <c r="C1388" s="2" t="s">
        <v>594</v>
      </c>
      <c r="D1388" s="2" t="str">
        <f t="shared" si="20"/>
        <v>Error?</v>
      </c>
    </row>
    <row r="1389" spans="1:4" x14ac:dyDescent="0.2">
      <c r="A1389" s="5">
        <v>1328</v>
      </c>
      <c r="B1389" s="138">
        <f>'Expenditures 15-22'!K211</f>
        <v>-1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1678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26084</v>
      </c>
      <c r="C1410" s="2" t="s">
        <v>594</v>
      </c>
      <c r="D1410" s="2" t="str">
        <f t="shared" si="21"/>
        <v>Error?</v>
      </c>
    </row>
    <row r="1411" spans="1:4" x14ac:dyDescent="0.2">
      <c r="A1411" s="5">
        <v>1350</v>
      </c>
      <c r="B1411" s="138">
        <f>'Expenditures 15-22'!D232</f>
        <v>574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458</v>
      </c>
      <c r="D1414" s="2" t="str">
        <f t="shared" si="21"/>
        <v>Error?</v>
      </c>
    </row>
    <row r="1415" spans="1:4" x14ac:dyDescent="0.2">
      <c r="A1415" s="5">
        <v>1354</v>
      </c>
      <c r="B1415" s="138">
        <f>'Expenditures 15-22'!D236</f>
        <v>969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2001</v>
      </c>
      <c r="C1417" s="2" t="s">
        <v>594</v>
      </c>
      <c r="D1417" s="2" t="str">
        <f t="shared" si="21"/>
        <v>Error?</v>
      </c>
    </row>
    <row r="1418" spans="1:4" x14ac:dyDescent="0.2">
      <c r="A1418" s="5">
        <v>1357</v>
      </c>
      <c r="B1418" s="138">
        <f>'Expenditures 15-22'!D240</f>
        <v>7</v>
      </c>
      <c r="D1418" s="2" t="str">
        <f t="shared" si="21"/>
        <v>Error?</v>
      </c>
    </row>
    <row r="1419" spans="1:4" x14ac:dyDescent="0.2">
      <c r="A1419" s="5">
        <v>1358</v>
      </c>
      <c r="B1419" s="138">
        <f>'Expenditures 15-22'!D241</f>
        <v>2306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2313</v>
      </c>
      <c r="C1421" s="2" t="s">
        <v>594</v>
      </c>
      <c r="D1421" s="2" t="str">
        <f t="shared" si="21"/>
        <v>Error?</v>
      </c>
    </row>
    <row r="1422" spans="1:4" x14ac:dyDescent="0.2">
      <c r="A1422" s="5">
        <v>1361</v>
      </c>
      <c r="B1422" s="138">
        <f>'Expenditures 15-22'!D245</f>
        <v>199</v>
      </c>
      <c r="D1422" s="2" t="str">
        <f t="shared" si="21"/>
        <v>Error?</v>
      </c>
    </row>
    <row r="1423" spans="1:4" x14ac:dyDescent="0.2">
      <c r="A1423" s="5">
        <v>1362</v>
      </c>
      <c r="B1423" s="138">
        <f>'Expenditures 15-22'!D246</f>
        <v>948</v>
      </c>
      <c r="D1423" s="2" t="str">
        <f t="shared" si="21"/>
        <v>Error?</v>
      </c>
    </row>
    <row r="1424" spans="1:4" x14ac:dyDescent="0.2">
      <c r="A1424" s="5">
        <v>1363</v>
      </c>
      <c r="B1424" s="138">
        <f>'Expenditures 15-22'!D257</f>
        <v>1147</v>
      </c>
      <c r="C1424" s="2" t="s">
        <v>594</v>
      </c>
      <c r="D1424" s="2" t="str">
        <f t="shared" si="21"/>
        <v>Error?</v>
      </c>
    </row>
    <row r="1425" spans="1:4" x14ac:dyDescent="0.2">
      <c r="A1425" s="5">
        <v>1364</v>
      </c>
      <c r="B1425" s="138">
        <f>'Expenditures 15-22'!D259</f>
        <v>9071</v>
      </c>
      <c r="D1425" s="2" t="str">
        <f t="shared" si="21"/>
        <v>Error?</v>
      </c>
    </row>
    <row r="1426" spans="1:4" x14ac:dyDescent="0.2">
      <c r="A1426" s="5">
        <v>1365</v>
      </c>
      <c r="B1426" s="138">
        <f>'Expenditures 15-22'!D260</f>
        <v>528</v>
      </c>
      <c r="D1426" s="2" t="str">
        <f t="shared" si="21"/>
        <v>Error?</v>
      </c>
    </row>
    <row r="1427" spans="1:4" x14ac:dyDescent="0.2">
      <c r="A1427" s="5">
        <v>1366</v>
      </c>
      <c r="B1427" s="138">
        <f>'Expenditures 15-22'!D261</f>
        <v>9599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8450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9956</v>
      </c>
      <c r="D1431" s="2" t="str">
        <f t="shared" si="21"/>
        <v>Error?</v>
      </c>
    </row>
    <row r="1432" spans="1:4" x14ac:dyDescent="0.2">
      <c r="A1432" s="5">
        <v>1371</v>
      </c>
      <c r="B1432" s="138">
        <f>'Expenditures 15-22'!D267</f>
        <v>1041</v>
      </c>
      <c r="D1432" s="2" t="str">
        <f t="shared" si="21"/>
        <v>Error?</v>
      </c>
    </row>
    <row r="1433" spans="1:4" x14ac:dyDescent="0.2">
      <c r="A1433" s="5">
        <v>1372</v>
      </c>
      <c r="B1433" s="138">
        <f>'Expenditures 15-22'!D268</f>
        <v>9918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29365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5489</v>
      </c>
      <c r="D1442" s="2" t="str">
        <f t="shared" si="21"/>
        <v>Error?</v>
      </c>
    </row>
    <row r="1443" spans="1:4" x14ac:dyDescent="0.2">
      <c r="A1443" s="10">
        <v>1382</v>
      </c>
      <c r="D1443" s="2" t="str">
        <f t="shared" si="21"/>
        <v>OK</v>
      </c>
    </row>
    <row r="1444" spans="1:4" x14ac:dyDescent="0.2">
      <c r="A1444" s="5">
        <v>1383</v>
      </c>
      <c r="B1444" s="138">
        <f>'Expenditures 15-22'!D277</f>
        <v>5489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49914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75998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1678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26084</v>
      </c>
      <c r="C1474" s="2" t="s">
        <v>594</v>
      </c>
      <c r="D1474" s="2" t="str">
        <f t="shared" si="22"/>
        <v>Error?</v>
      </c>
    </row>
    <row r="1475" spans="1:4" x14ac:dyDescent="0.2">
      <c r="A1475" s="5">
        <v>1414</v>
      </c>
      <c r="B1475" s="138">
        <f>'Expenditures 15-22'!K232</f>
        <v>574</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458</v>
      </c>
      <c r="C1478" s="2" t="s">
        <v>594</v>
      </c>
      <c r="D1478" s="2" t="str">
        <f t="shared" si="22"/>
        <v>Error?</v>
      </c>
    </row>
    <row r="1479" spans="1:4" x14ac:dyDescent="0.2">
      <c r="A1479" s="5">
        <v>1418</v>
      </c>
      <c r="B1479" s="138">
        <f>'Expenditures 15-22'!K236</f>
        <v>969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2001</v>
      </c>
      <c r="C1481" s="2" t="s">
        <v>594</v>
      </c>
      <c r="D1481" s="2" t="str">
        <f t="shared" si="22"/>
        <v>Error?</v>
      </c>
    </row>
    <row r="1482" spans="1:4" x14ac:dyDescent="0.2">
      <c r="A1482" s="5">
        <v>1421</v>
      </c>
      <c r="B1482" s="138">
        <f>'Expenditures 15-22'!K240</f>
        <v>7</v>
      </c>
      <c r="C1482" s="2" t="s">
        <v>594</v>
      </c>
      <c r="D1482" s="2" t="str">
        <f t="shared" si="22"/>
        <v>Error?</v>
      </c>
    </row>
    <row r="1483" spans="1:4" x14ac:dyDescent="0.2">
      <c r="A1483" s="5">
        <v>1422</v>
      </c>
      <c r="B1483" s="138">
        <f>'Expenditures 15-22'!K241</f>
        <v>2306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2313</v>
      </c>
      <c r="C1485" s="2" t="s">
        <v>594</v>
      </c>
      <c r="D1485" s="2" t="str">
        <f t="shared" si="22"/>
        <v>Error?</v>
      </c>
    </row>
    <row r="1486" spans="1:4" x14ac:dyDescent="0.2">
      <c r="A1486" s="5">
        <v>1425</v>
      </c>
      <c r="B1486" s="138">
        <f>'Expenditures 15-22'!K245</f>
        <v>199</v>
      </c>
      <c r="C1486" s="2" t="s">
        <v>594</v>
      </c>
      <c r="D1486" s="2" t="str">
        <f t="shared" si="22"/>
        <v>Error?</v>
      </c>
    </row>
    <row r="1487" spans="1:4" x14ac:dyDescent="0.2">
      <c r="A1487" s="5">
        <v>1426</v>
      </c>
      <c r="B1487" s="138">
        <f>'Expenditures 15-22'!K246</f>
        <v>948</v>
      </c>
      <c r="C1487" s="2" t="s">
        <v>594</v>
      </c>
      <c r="D1487" s="2" t="str">
        <f t="shared" si="22"/>
        <v>Error?</v>
      </c>
    </row>
    <row r="1488" spans="1:4" x14ac:dyDescent="0.2">
      <c r="A1488" s="5">
        <v>1427</v>
      </c>
      <c r="B1488" s="138">
        <f>'Expenditures 15-22'!K257</f>
        <v>1147</v>
      </c>
      <c r="C1488" s="2" t="s">
        <v>594</v>
      </c>
      <c r="D1488" s="2" t="str">
        <f t="shared" si="22"/>
        <v>Error?</v>
      </c>
    </row>
    <row r="1489" spans="1:4" x14ac:dyDescent="0.2">
      <c r="A1489" s="5">
        <v>1428</v>
      </c>
      <c r="B1489" s="138">
        <f>'Expenditures 15-22'!K259</f>
        <v>9071</v>
      </c>
      <c r="C1489" s="2" t="s">
        <v>594</v>
      </c>
      <c r="D1489" s="2" t="str">
        <f t="shared" si="22"/>
        <v>Error?</v>
      </c>
    </row>
    <row r="1490" spans="1:4" x14ac:dyDescent="0.2">
      <c r="A1490" s="5">
        <v>1429</v>
      </c>
      <c r="B1490" s="138">
        <f>'Expenditures 15-22'!K260</f>
        <v>528</v>
      </c>
      <c r="C1490" s="2" t="s">
        <v>594</v>
      </c>
      <c r="D1490" s="2" t="str">
        <f t="shared" si="22"/>
        <v>Error?</v>
      </c>
    </row>
    <row r="1491" spans="1:4" x14ac:dyDescent="0.2">
      <c r="A1491" s="5">
        <v>1430</v>
      </c>
      <c r="B1491" s="138">
        <f>'Expenditures 15-22'!K261</f>
        <v>9599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8450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9956</v>
      </c>
      <c r="C1495" s="2" t="s">
        <v>594</v>
      </c>
      <c r="D1495" s="2" t="str">
        <f t="shared" si="22"/>
        <v>Error?</v>
      </c>
    </row>
    <row r="1496" spans="1:4" x14ac:dyDescent="0.2">
      <c r="A1496" s="5">
        <v>1435</v>
      </c>
      <c r="B1496" s="138">
        <f>'Expenditures 15-22'!K267</f>
        <v>1041</v>
      </c>
      <c r="C1496" s="2" t="s">
        <v>594</v>
      </c>
      <c r="D1496" s="2" t="str">
        <f t="shared" si="22"/>
        <v>Error?</v>
      </c>
    </row>
    <row r="1497" spans="1:4" x14ac:dyDescent="0.2">
      <c r="A1497" s="5">
        <v>1436</v>
      </c>
      <c r="B1497" s="138">
        <f>'Expenditures 15-22'!K268</f>
        <v>9918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29365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5489</v>
      </c>
      <c r="C1506" s="2" t="s">
        <v>594</v>
      </c>
      <c r="D1506" s="2" t="str">
        <f t="shared" si="22"/>
        <v>Error?</v>
      </c>
    </row>
    <row r="1507" spans="1:4" x14ac:dyDescent="0.2">
      <c r="A1507" s="10">
        <v>1446</v>
      </c>
      <c r="D1507" s="2" t="str">
        <f t="shared" si="22"/>
        <v>OK</v>
      </c>
    </row>
    <row r="1508" spans="1:4" x14ac:dyDescent="0.2">
      <c r="A1508" s="5">
        <v>1447</v>
      </c>
      <c r="B1508" s="138">
        <f>'Expenditures 15-22'!K277</f>
        <v>5489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49914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75998</v>
      </c>
      <c r="C1517" s="2" t="s">
        <v>594</v>
      </c>
      <c r="D1517" s="2" t="str">
        <f t="shared" si="22"/>
        <v>Error?</v>
      </c>
    </row>
    <row r="1518" spans="1:4" x14ac:dyDescent="0.2">
      <c r="A1518" s="5">
        <v>1457</v>
      </c>
      <c r="B1518" s="138">
        <f>'Expenditures 15-22'!K296</f>
        <v>3018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54180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54180</v>
      </c>
      <c r="C1541" s="2" t="s">
        <v>594</v>
      </c>
      <c r="D1541" s="2" t="str">
        <f t="shared" si="23"/>
        <v>Error?</v>
      </c>
    </row>
    <row r="1542" spans="1:4" x14ac:dyDescent="0.2">
      <c r="A1542" s="5">
        <v>1481</v>
      </c>
      <c r="B1542" s="138">
        <f>'Expenditures 15-22'!F312</f>
        <v>54180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54180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54180</v>
      </c>
      <c r="C1559" s="2" t="s">
        <v>594</v>
      </c>
      <c r="D1559" s="2" t="str">
        <f t="shared" si="23"/>
        <v>Error?</v>
      </c>
    </row>
    <row r="1560" spans="1:4" x14ac:dyDescent="0.2">
      <c r="A1560" s="5">
        <v>1499</v>
      </c>
      <c r="B1560" s="138">
        <f>'Expenditures 15-22'!K312</f>
        <v>54180</v>
      </c>
      <c r="C1560" s="2" t="s">
        <v>594</v>
      </c>
      <c r="D1560" s="2" t="str">
        <f t="shared" si="23"/>
        <v>Error?</v>
      </c>
    </row>
    <row r="1561" spans="1:4" x14ac:dyDescent="0.2">
      <c r="A1561" s="5">
        <v>1500</v>
      </c>
      <c r="B1561" s="138">
        <f>'Expenditures 15-22'!K313</f>
        <v>-51355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854809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761726</v>
      </c>
      <c r="C1630" s="2" t="s">
        <v>594</v>
      </c>
      <c r="D1630" s="2" t="str">
        <f t="shared" si="24"/>
        <v>Error?</v>
      </c>
    </row>
    <row r="1631" spans="1:4" x14ac:dyDescent="0.2">
      <c r="A1631" s="5">
        <v>1570</v>
      </c>
      <c r="B1631" s="138">
        <f>'Acct Summary 7-8'!D79</f>
        <v>49544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66866</v>
      </c>
      <c r="C1644" s="2" t="s">
        <v>594</v>
      </c>
      <c r="D1644" s="2" t="str">
        <f t="shared" si="24"/>
        <v>Error?</v>
      </c>
    </row>
    <row r="1645" spans="1:4" x14ac:dyDescent="0.2">
      <c r="A1645" s="5">
        <v>1584</v>
      </c>
      <c r="B1645" s="138">
        <f>'Acct Summary 7-8'!E79</f>
        <v>1803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1268</v>
      </c>
      <c r="C1658" s="2" t="s">
        <v>594</v>
      </c>
      <c r="D1658" s="2" t="str">
        <f t="shared" si="24"/>
        <v>Error?</v>
      </c>
    </row>
    <row r="1659" spans="1:4" x14ac:dyDescent="0.2">
      <c r="A1659" s="5">
        <v>1598</v>
      </c>
      <c r="B1659" s="138">
        <f>'Acct Summary 7-8'!F79</f>
        <v>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69606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72624</v>
      </c>
      <c r="C1686" s="2" t="s">
        <v>594</v>
      </c>
      <c r="D1686" s="2" t="str">
        <f t="shared" si="25"/>
        <v>Error?</v>
      </c>
    </row>
    <row r="1687" spans="1:4" x14ac:dyDescent="0.2">
      <c r="A1687" s="5">
        <v>1626</v>
      </c>
      <c r="B1687" s="138">
        <f>'Acct Summary 7-8'!H79</f>
        <v>51355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915664</v>
      </c>
      <c r="C1744" s="2" t="s">
        <v>594</v>
      </c>
      <c r="D1744" s="2" t="str">
        <f t="shared" si="26"/>
        <v>Error?</v>
      </c>
    </row>
    <row r="1745" spans="1:5" x14ac:dyDescent="0.2">
      <c r="A1745" s="5">
        <v>1684</v>
      </c>
      <c r="B1745" s="138">
        <f>'Tax Sched 23'!B5</f>
        <v>115033</v>
      </c>
      <c r="C1745" s="2" t="s">
        <v>594</v>
      </c>
      <c r="D1745" s="2" t="str">
        <f t="shared" si="26"/>
        <v>Error?</v>
      </c>
    </row>
    <row r="1746" spans="1:5" x14ac:dyDescent="0.2">
      <c r="A1746" s="5">
        <v>1685</v>
      </c>
      <c r="B1746" s="138">
        <f>'Tax Sched 23'!B6</f>
        <v>222219</v>
      </c>
      <c r="C1746" s="2" t="s">
        <v>594</v>
      </c>
      <c r="D1746" s="2" t="str">
        <f t="shared" si="26"/>
        <v>Error?</v>
      </c>
    </row>
    <row r="1747" spans="1:5" x14ac:dyDescent="0.2">
      <c r="A1747" s="5">
        <v>1686</v>
      </c>
      <c r="B1747" s="138">
        <f>'Tax Sched 23'!B7</f>
        <v>55215</v>
      </c>
      <c r="C1747" s="2" t="s">
        <v>594</v>
      </c>
      <c r="D1747" s="2" t="str">
        <f t="shared" si="26"/>
        <v>Error?</v>
      </c>
    </row>
    <row r="1748" spans="1:5" x14ac:dyDescent="0.2">
      <c r="A1748" s="5">
        <v>1687</v>
      </c>
      <c r="B1748" s="138">
        <f>'Tax Sched 23'!B8</f>
        <v>31882</v>
      </c>
      <c r="C1748" s="2" t="s">
        <v>594</v>
      </c>
      <c r="D1748" s="2" t="str">
        <f t="shared" si="26"/>
        <v>Error?</v>
      </c>
    </row>
    <row r="1749" spans="1:5" x14ac:dyDescent="0.2">
      <c r="A1749" s="5">
        <v>1688</v>
      </c>
      <c r="B1749" s="138">
        <f>'Tax Sched 23'!B10</f>
        <v>23007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154368</v>
      </c>
      <c r="C1752" s="2" t="s">
        <v>594</v>
      </c>
      <c r="D1752" s="2" t="str">
        <f t="shared" si="26"/>
        <v>Error?</v>
      </c>
    </row>
    <row r="1753" spans="1:5" x14ac:dyDescent="0.2">
      <c r="A1753" s="5">
        <v>1692</v>
      </c>
      <c r="B1753" s="138">
        <f>'Tax Sched 23'!B12</f>
        <v>23007</v>
      </c>
      <c r="C1753" s="2" t="s">
        <v>594</v>
      </c>
      <c r="D1753" s="2" t="str">
        <f t="shared" si="26"/>
        <v>Error?</v>
      </c>
    </row>
    <row r="1754" spans="1:5" x14ac:dyDescent="0.2">
      <c r="A1754" s="5">
        <v>1693</v>
      </c>
      <c r="B1754" s="138">
        <f>'Tax Sched 23'!B14</f>
        <v>9203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1614431</v>
      </c>
      <c r="C1759" s="2" t="s">
        <v>594</v>
      </c>
      <c r="D1759" s="2" t="str">
        <f t="shared" si="26"/>
        <v>Error?</v>
      </c>
    </row>
    <row r="1760" spans="1:5" x14ac:dyDescent="0.2">
      <c r="A1760" s="5">
        <v>1699</v>
      </c>
      <c r="B1760" s="138">
        <f>'Tax Sched 23'!D4</f>
        <v>915664</v>
      </c>
      <c r="C1760" s="2" t="s">
        <v>594</v>
      </c>
      <c r="D1760" s="2" t="str">
        <f t="shared" si="26"/>
        <v>Error?</v>
      </c>
    </row>
    <row r="1761" spans="1:5" x14ac:dyDescent="0.2">
      <c r="A1761" s="5">
        <v>1700</v>
      </c>
      <c r="B1761" s="138">
        <f>'Tax Sched 23'!D5</f>
        <v>115033</v>
      </c>
      <c r="C1761" s="2" t="s">
        <v>594</v>
      </c>
      <c r="D1761" s="2" t="str">
        <f t="shared" si="26"/>
        <v>Error?</v>
      </c>
    </row>
    <row r="1762" spans="1:5" s="8" customFormat="1" x14ac:dyDescent="0.2">
      <c r="A1762" s="5">
        <v>1701</v>
      </c>
      <c r="B1762" s="138">
        <f>'Tax Sched 23'!D6</f>
        <v>222219</v>
      </c>
      <c r="C1762" s="2" t="s">
        <v>594</v>
      </c>
      <c r="D1762" s="2" t="str">
        <f t="shared" si="26"/>
        <v>Error?</v>
      </c>
      <c r="E1762" s="9"/>
    </row>
    <row r="1763" spans="1:5" x14ac:dyDescent="0.2">
      <c r="A1763" s="5">
        <v>1702</v>
      </c>
      <c r="B1763" s="138">
        <f>'Tax Sched 23'!D7</f>
        <v>55215</v>
      </c>
      <c r="C1763" s="2" t="s">
        <v>594</v>
      </c>
      <c r="D1763" s="2" t="str">
        <f t="shared" si="26"/>
        <v>Error?</v>
      </c>
    </row>
    <row r="1764" spans="1:5" x14ac:dyDescent="0.2">
      <c r="A1764" s="5">
        <v>1703</v>
      </c>
      <c r="B1764" s="138">
        <f>'Tax Sched 23'!D8</f>
        <v>31882</v>
      </c>
      <c r="C1764" s="2" t="s">
        <v>594</v>
      </c>
      <c r="D1764" s="2" t="str">
        <f t="shared" si="26"/>
        <v>Error?</v>
      </c>
    </row>
    <row r="1765" spans="1:5" x14ac:dyDescent="0.2">
      <c r="A1765" s="5">
        <v>1704</v>
      </c>
      <c r="B1765" s="138">
        <f>'Tax Sched 23'!D10</f>
        <v>23007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154368</v>
      </c>
      <c r="C1768" s="2" t="s">
        <v>594</v>
      </c>
      <c r="D1768" s="2" t="str">
        <f t="shared" si="26"/>
        <v>Error?</v>
      </c>
    </row>
    <row r="1769" spans="1:5" x14ac:dyDescent="0.2">
      <c r="A1769" s="5">
        <v>1708</v>
      </c>
      <c r="B1769" s="138">
        <f>'Tax Sched 23'!D12</f>
        <v>23007</v>
      </c>
      <c r="C1769" s="2" t="s">
        <v>594</v>
      </c>
      <c r="D1769" s="2" t="str">
        <f t="shared" si="26"/>
        <v>Error?</v>
      </c>
    </row>
    <row r="1770" spans="1:5" x14ac:dyDescent="0.2">
      <c r="A1770" s="5">
        <v>1709</v>
      </c>
      <c r="B1770" s="138">
        <f>'Tax Sched 23'!D14</f>
        <v>9203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1614431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951928</v>
      </c>
      <c r="C1792" s="2" t="s">
        <v>594</v>
      </c>
      <c r="D1792" s="2" t="str">
        <f t="shared" si="27"/>
        <v>Error?</v>
      </c>
    </row>
    <row r="1793" spans="1:4" x14ac:dyDescent="0.2">
      <c r="A1793" s="5">
        <v>1732</v>
      </c>
      <c r="B1793" s="138">
        <f>'Tax Sched 23'!F5</f>
        <v>119589</v>
      </c>
      <c r="C1793" s="2" t="s">
        <v>594</v>
      </c>
      <c r="D1793" s="2" t="str">
        <f t="shared" si="27"/>
        <v>Error?</v>
      </c>
    </row>
    <row r="1794" spans="1:4" x14ac:dyDescent="0.2">
      <c r="A1794" s="5">
        <v>1733</v>
      </c>
      <c r="B1794" s="138">
        <f>'Tax Sched 23'!F6</f>
        <v>221335</v>
      </c>
      <c r="C1794" s="2" t="s">
        <v>594</v>
      </c>
      <c r="D1794" s="2" t="str">
        <f t="shared" si="27"/>
        <v>Error?</v>
      </c>
    </row>
    <row r="1795" spans="1:4" x14ac:dyDescent="0.2">
      <c r="A1795" s="5">
        <v>1734</v>
      </c>
      <c r="B1795" s="138">
        <f>'Tax Sched 23'!F7</f>
        <v>57403</v>
      </c>
      <c r="C1795" s="2" t="s">
        <v>594</v>
      </c>
      <c r="D1795" s="2" t="str">
        <f t="shared" si="27"/>
        <v>Error?</v>
      </c>
    </row>
    <row r="1796" spans="1:4" x14ac:dyDescent="0.2">
      <c r="A1796" s="5">
        <v>1735</v>
      </c>
      <c r="B1796" s="138">
        <f>'Tax Sched 23'!F8</f>
        <v>35015</v>
      </c>
      <c r="C1796" s="2" t="s">
        <v>594</v>
      </c>
      <c r="D1796" s="2" t="str">
        <f t="shared" si="27"/>
        <v>Error?</v>
      </c>
    </row>
    <row r="1797" spans="1:4" x14ac:dyDescent="0.2">
      <c r="A1797" s="5">
        <v>1736</v>
      </c>
      <c r="B1797" s="138">
        <f>'Tax Sched 23'!F10</f>
        <v>23918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160010</v>
      </c>
      <c r="C1800" s="2" t="s">
        <v>594</v>
      </c>
      <c r="D1800" s="2" t="str">
        <f t="shared" si="27"/>
        <v>Error?</v>
      </c>
    </row>
    <row r="1801" spans="1:4" x14ac:dyDescent="0.2">
      <c r="A1801" s="5">
        <v>1740</v>
      </c>
      <c r="B1801" s="138">
        <f>'Tax Sched 23'!F12</f>
        <v>23918</v>
      </c>
      <c r="C1801" s="2" t="s">
        <v>594</v>
      </c>
      <c r="D1801" s="2" t="str">
        <f t="shared" si="27"/>
        <v>Error?</v>
      </c>
    </row>
    <row r="1802" spans="1:4" x14ac:dyDescent="0.2">
      <c r="A1802" s="5">
        <v>1741</v>
      </c>
      <c r="B1802" s="138">
        <f>'Tax Sched 23'!F14</f>
        <v>9567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1671614</v>
      </c>
      <c r="C1807" s="2" t="s">
        <v>594</v>
      </c>
      <c r="D1807" s="2" t="str">
        <f t="shared" si="27"/>
        <v>Error?</v>
      </c>
    </row>
    <row r="1808" spans="1:4" x14ac:dyDescent="0.2">
      <c r="A1808" s="5">
        <v>1747</v>
      </c>
      <c r="B1808" s="138">
        <f>'Tax Sched 23'!E4</f>
        <v>951928</v>
      </c>
      <c r="D1808" s="2" t="str">
        <f t="shared" si="27"/>
        <v>Error?</v>
      </c>
    </row>
    <row r="1809" spans="1:4" x14ac:dyDescent="0.2">
      <c r="A1809" s="5">
        <v>1748</v>
      </c>
      <c r="B1809" s="138">
        <f>'Tax Sched 23'!E5</f>
        <v>119589</v>
      </c>
      <c r="D1809" s="2" t="str">
        <f t="shared" si="27"/>
        <v>Error?</v>
      </c>
    </row>
    <row r="1810" spans="1:4" x14ac:dyDescent="0.2">
      <c r="A1810" s="5">
        <v>1749</v>
      </c>
      <c r="B1810" s="138">
        <f>'Tax Sched 23'!E6</f>
        <v>221335</v>
      </c>
      <c r="D1810" s="2" t="str">
        <f t="shared" si="27"/>
        <v>Error?</v>
      </c>
    </row>
    <row r="1811" spans="1:4" x14ac:dyDescent="0.2">
      <c r="A1811" s="5">
        <v>1750</v>
      </c>
      <c r="B1811" s="138">
        <f>'Tax Sched 23'!E7</f>
        <v>57403</v>
      </c>
      <c r="D1811" s="2" t="str">
        <f t="shared" si="27"/>
        <v>Error?</v>
      </c>
    </row>
    <row r="1812" spans="1:4" x14ac:dyDescent="0.2">
      <c r="A1812" s="5">
        <v>1751</v>
      </c>
      <c r="B1812" s="138">
        <f>'Tax Sched 23'!E8</f>
        <v>35015</v>
      </c>
      <c r="D1812" s="2" t="str">
        <f t="shared" si="27"/>
        <v>Error?</v>
      </c>
    </row>
    <row r="1813" spans="1:4" x14ac:dyDescent="0.2">
      <c r="A1813" s="5">
        <v>1752</v>
      </c>
      <c r="B1813" s="138">
        <f>'Tax Sched 23'!E10</f>
        <v>23918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160010</v>
      </c>
      <c r="D1816" s="2" t="str">
        <f t="shared" si="27"/>
        <v>Error?</v>
      </c>
    </row>
    <row r="1817" spans="1:4" x14ac:dyDescent="0.2">
      <c r="A1817" s="5">
        <v>1756</v>
      </c>
      <c r="B1817" s="138">
        <f>'Tax Sched 23'!E12</f>
        <v>23918</v>
      </c>
      <c r="D1817" s="2" t="str">
        <f t="shared" si="27"/>
        <v>Error?</v>
      </c>
    </row>
    <row r="1818" spans="1:4" x14ac:dyDescent="0.2">
      <c r="A1818" s="5">
        <v>1757</v>
      </c>
      <c r="B1818" s="138">
        <f>'Tax Sched 23'!E14</f>
        <v>9567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1671614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819000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9203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9203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9203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38285</v>
      </c>
      <c r="D2008" s="2" t="str">
        <f t="shared" si="30"/>
        <v>Error?</v>
      </c>
    </row>
    <row r="2009" spans="1:4" x14ac:dyDescent="0.2">
      <c r="A2009" s="5">
        <v>1948</v>
      </c>
      <c r="B2009" s="138">
        <f>'Cap Outlay Deprec 26'!C8</f>
        <v>2376547</v>
      </c>
      <c r="D2009" s="2" t="str">
        <f t="shared" si="30"/>
        <v>Error?</v>
      </c>
    </row>
    <row r="2010" spans="1:4" x14ac:dyDescent="0.2">
      <c r="A2010" s="5">
        <v>1949</v>
      </c>
      <c r="B2010" s="138">
        <f>'Cap Outlay Deprec 26'!C10</f>
        <v>23750</v>
      </c>
      <c r="D2010" s="2" t="str">
        <f t="shared" si="30"/>
        <v>Error?</v>
      </c>
    </row>
    <row r="2011" spans="1:4" x14ac:dyDescent="0.2">
      <c r="A2011" s="5">
        <v>1950</v>
      </c>
      <c r="B2011" s="138">
        <f>'Cap Outlay Deprec 26'!C12</f>
        <v>1174326</v>
      </c>
      <c r="D2011" s="2" t="str">
        <f t="shared" si="30"/>
        <v>Error?</v>
      </c>
    </row>
    <row r="2012" spans="1:4" x14ac:dyDescent="0.2">
      <c r="A2012" s="5">
        <v>1951</v>
      </c>
      <c r="B2012" s="138">
        <f>'Cap Outlay Deprec 26'!C13</f>
        <v>63203</v>
      </c>
      <c r="D2012" s="2" t="str">
        <f t="shared" si="30"/>
        <v>Error?</v>
      </c>
    </row>
    <row r="2013" spans="1:4" x14ac:dyDescent="0.2">
      <c r="A2013" s="5">
        <v>1952</v>
      </c>
      <c r="B2013" s="138">
        <f>'Cap Outlay Deprec 26'!C16</f>
        <v>3676111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38285</v>
      </c>
      <c r="C2026" s="2" t="s">
        <v>594</v>
      </c>
      <c r="D2026" s="2" t="str">
        <f t="shared" si="30"/>
        <v>Error?</v>
      </c>
    </row>
    <row r="2027" spans="1:4" x14ac:dyDescent="0.2">
      <c r="A2027" s="5">
        <v>1966</v>
      </c>
      <c r="B2027" s="138">
        <f>'Cap Outlay Deprec 26'!F8</f>
        <v>2376547</v>
      </c>
      <c r="C2027" s="2" t="s">
        <v>594</v>
      </c>
      <c r="D2027" s="2" t="str">
        <f t="shared" si="30"/>
        <v>Error?</v>
      </c>
    </row>
    <row r="2028" spans="1:4" x14ac:dyDescent="0.2">
      <c r="A2028" s="5">
        <v>1967</v>
      </c>
      <c r="B2028" s="138">
        <f>'Cap Outlay Deprec 26'!F10</f>
        <v>23750</v>
      </c>
      <c r="C2028" s="2" t="s">
        <v>594</v>
      </c>
      <c r="D2028" s="2" t="str">
        <f t="shared" si="30"/>
        <v>Error?</v>
      </c>
    </row>
    <row r="2029" spans="1:4" x14ac:dyDescent="0.2">
      <c r="A2029" s="5">
        <v>1968</v>
      </c>
      <c r="B2029" s="138">
        <f>'Cap Outlay Deprec 26'!F12</f>
        <v>1174326</v>
      </c>
      <c r="C2029" s="2" t="s">
        <v>594</v>
      </c>
      <c r="D2029" s="2" t="str">
        <f t="shared" si="30"/>
        <v>Error?</v>
      </c>
    </row>
    <row r="2030" spans="1:4" x14ac:dyDescent="0.2">
      <c r="A2030" s="5">
        <v>1969</v>
      </c>
      <c r="B2030" s="138">
        <f>'Cap Outlay Deprec 26'!F13</f>
        <v>63203</v>
      </c>
      <c r="C2030" s="2" t="s">
        <v>594</v>
      </c>
      <c r="D2030" s="2" t="str">
        <f t="shared" si="30"/>
        <v>Error?</v>
      </c>
    </row>
    <row r="2031" spans="1:4" x14ac:dyDescent="0.2">
      <c r="A2031" s="5">
        <v>1970</v>
      </c>
      <c r="B2031" s="138">
        <f>'Cap Outlay Deprec 26'!F16</f>
        <v>3676111</v>
      </c>
      <c r="C2031" s="2" t="s">
        <v>594</v>
      </c>
      <c r="D2031" s="2" t="str">
        <f t="shared" si="30"/>
        <v>Error?</v>
      </c>
    </row>
    <row r="2032" spans="1:4" x14ac:dyDescent="0.2">
      <c r="A2032" s="10">
        <v>1971</v>
      </c>
      <c r="D2032" s="2" t="str">
        <f t="shared" si="30"/>
        <v>OK</v>
      </c>
    </row>
    <row r="2033" spans="1:4" x14ac:dyDescent="0.2">
      <c r="A2033" s="5">
        <v>1972</v>
      </c>
      <c r="B2033" s="138">
        <f>'Cap Outlay Deprec 26'!H8</f>
        <v>1667342</v>
      </c>
      <c r="D2033" s="2" t="str">
        <f t="shared" si="30"/>
        <v>Error?</v>
      </c>
    </row>
    <row r="2034" spans="1:4" x14ac:dyDescent="0.2">
      <c r="A2034" s="5">
        <v>1973</v>
      </c>
      <c r="B2034" s="138">
        <f>'Cap Outlay Deprec 26'!H10</f>
        <v>20287</v>
      </c>
      <c r="D2034" s="2" t="str">
        <f t="shared" si="30"/>
        <v>Error?</v>
      </c>
    </row>
    <row r="2035" spans="1:4" x14ac:dyDescent="0.2">
      <c r="A2035" s="5">
        <v>1974</v>
      </c>
      <c r="B2035" s="138">
        <f>'Cap Outlay Deprec 26'!H12</f>
        <v>1009872</v>
      </c>
      <c r="D2035" s="2" t="str">
        <f t="shared" si="30"/>
        <v>Error?</v>
      </c>
    </row>
    <row r="2036" spans="1:4" x14ac:dyDescent="0.2">
      <c r="A2036" s="5">
        <v>1975</v>
      </c>
      <c r="B2036" s="138">
        <f>'Cap Outlay Deprec 26'!H13</f>
        <v>63203</v>
      </c>
      <c r="D2036" s="2" t="str">
        <f t="shared" si="30"/>
        <v>Error?</v>
      </c>
    </row>
    <row r="2037" spans="1:4" x14ac:dyDescent="0.2">
      <c r="A2037" s="5">
        <v>1976</v>
      </c>
      <c r="B2037" s="138">
        <f>'Cap Outlay Deprec 26'!H16</f>
        <v>2760704</v>
      </c>
      <c r="C2037" s="2" t="s">
        <v>594</v>
      </c>
      <c r="D2037" s="2" t="str">
        <f t="shared" si="30"/>
        <v>Error?</v>
      </c>
    </row>
    <row r="2038" spans="1:4" x14ac:dyDescent="0.2">
      <c r="A2038" s="10">
        <v>1977</v>
      </c>
      <c r="D2038" s="2" t="str">
        <f t="shared" si="30"/>
        <v>OK</v>
      </c>
    </row>
    <row r="2039" spans="1:4" x14ac:dyDescent="0.2">
      <c r="A2039" s="5">
        <v>1978</v>
      </c>
      <c r="B2039" s="138">
        <f>'Cap Outlay Deprec 26'!I8</f>
        <v>46697</v>
      </c>
      <c r="D2039" s="2" t="str">
        <f t="shared" si="30"/>
        <v>Error?</v>
      </c>
    </row>
    <row r="2040" spans="1:4" x14ac:dyDescent="0.2">
      <c r="A2040" s="5">
        <v>1979</v>
      </c>
      <c r="B2040" s="138">
        <f>'Cap Outlay Deprec 26'!I10</f>
        <v>190</v>
      </c>
      <c r="D2040" s="2" t="str">
        <f t="shared" si="30"/>
        <v>Error?</v>
      </c>
    </row>
    <row r="2041" spans="1:4" x14ac:dyDescent="0.2">
      <c r="A2041" s="5">
        <v>1980</v>
      </c>
      <c r="B2041" s="138">
        <f>'Cap Outlay Deprec 26'!I12</f>
        <v>31986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78873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1714039</v>
      </c>
      <c r="C2051" s="2" t="s">
        <v>594</v>
      </c>
      <c r="D2051" s="2" t="str">
        <f t="shared" si="31"/>
        <v>Error?</v>
      </c>
    </row>
    <row r="2052" spans="1:4" x14ac:dyDescent="0.2">
      <c r="A2052" s="5">
        <v>1991</v>
      </c>
      <c r="B2052" s="138">
        <f>'Cap Outlay Deprec 26'!K10</f>
        <v>20477</v>
      </c>
      <c r="C2052" s="2" t="s">
        <v>594</v>
      </c>
      <c r="D2052" s="2" t="str">
        <f t="shared" si="31"/>
        <v>Error?</v>
      </c>
    </row>
    <row r="2053" spans="1:4" x14ac:dyDescent="0.2">
      <c r="A2053" s="5">
        <v>1992</v>
      </c>
      <c r="B2053" s="138">
        <f>'Cap Outlay Deprec 26'!K12</f>
        <v>1041858</v>
      </c>
      <c r="C2053" s="2" t="s">
        <v>594</v>
      </c>
      <c r="D2053" s="2" t="str">
        <f t="shared" si="31"/>
        <v>Error?</v>
      </c>
    </row>
    <row r="2054" spans="1:4" x14ac:dyDescent="0.2">
      <c r="A2054" s="5">
        <v>1993</v>
      </c>
      <c r="B2054" s="138">
        <f>'Cap Outlay Deprec 26'!K13</f>
        <v>63203</v>
      </c>
      <c r="C2054" s="2" t="s">
        <v>594</v>
      </c>
      <c r="D2054" s="2" t="str">
        <f t="shared" si="31"/>
        <v>Error?</v>
      </c>
    </row>
    <row r="2055" spans="1:4" x14ac:dyDescent="0.2">
      <c r="A2055" s="5">
        <v>1994</v>
      </c>
      <c r="B2055" s="138">
        <f>'Cap Outlay Deprec 26'!K16</f>
        <v>2839577</v>
      </c>
      <c r="C2055" s="2" t="s">
        <v>594</v>
      </c>
      <c r="D2055" s="2" t="str">
        <f t="shared" si="31"/>
        <v>Error?</v>
      </c>
    </row>
    <row r="2056" spans="1:4" x14ac:dyDescent="0.2">
      <c r="A2056" s="5">
        <v>1995</v>
      </c>
      <c r="B2056" s="138">
        <f>'Cap Outlay Deprec 26'!L5</f>
        <v>38285</v>
      </c>
      <c r="C2056" s="2" t="s">
        <v>594</v>
      </c>
      <c r="D2056" s="2" t="str">
        <f t="shared" si="31"/>
        <v>Error?</v>
      </c>
    </row>
    <row r="2057" spans="1:4" x14ac:dyDescent="0.2">
      <c r="A2057" s="5">
        <v>1996</v>
      </c>
      <c r="B2057" s="138">
        <f>'Cap Outlay Deprec 26'!L8</f>
        <v>662508</v>
      </c>
      <c r="C2057" s="2" t="s">
        <v>594</v>
      </c>
      <c r="D2057" s="2" t="str">
        <f t="shared" si="31"/>
        <v>Error?</v>
      </c>
    </row>
    <row r="2058" spans="1:4" x14ac:dyDescent="0.2">
      <c r="A2058" s="5">
        <v>1997</v>
      </c>
      <c r="B2058" s="138">
        <f>'Cap Outlay Deprec 26'!L10</f>
        <v>3273</v>
      </c>
      <c r="C2058" s="2" t="s">
        <v>594</v>
      </c>
      <c r="D2058" s="2" t="str">
        <f t="shared" si="31"/>
        <v>Error?</v>
      </c>
    </row>
    <row r="2059" spans="1:4" x14ac:dyDescent="0.2">
      <c r="A2059" s="5">
        <v>1998</v>
      </c>
      <c r="B2059" s="138">
        <f>'Cap Outlay Deprec 26'!L12</f>
        <v>132468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836534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138347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151547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17541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1119732</v>
      </c>
      <c r="C2551" s="2" t="s">
        <v>594</v>
      </c>
      <c r="D2551" s="2" t="str">
        <f t="shared" si="38"/>
        <v>Error?</v>
      </c>
    </row>
    <row r="2552" spans="1:4" x14ac:dyDescent="0.2">
      <c r="A2552" s="10">
        <v>2491</v>
      </c>
      <c r="D2552" s="2" t="str">
        <f t="shared" si="38"/>
        <v>OK</v>
      </c>
    </row>
    <row r="2553" spans="1:4" x14ac:dyDescent="0.2">
      <c r="A2553" s="5">
        <v>2492</v>
      </c>
      <c r="B2553" s="138">
        <f>'Acct Summary 7-8'!C6</f>
        <v>1393932</v>
      </c>
      <c r="C2553" s="2" t="s">
        <v>594</v>
      </c>
      <c r="D2553" s="2" t="str">
        <f t="shared" si="38"/>
        <v>Error?</v>
      </c>
    </row>
    <row r="2554" spans="1:4" x14ac:dyDescent="0.2">
      <c r="A2554" s="5">
        <v>2493</v>
      </c>
      <c r="B2554" s="138">
        <f>'Acct Summary 7-8'!C7</f>
        <v>319650</v>
      </c>
      <c r="C2554" s="2" t="s">
        <v>594</v>
      </c>
      <c r="D2554" s="2" t="str">
        <f t="shared" si="38"/>
        <v>Error?</v>
      </c>
    </row>
    <row r="2555" spans="1:4" x14ac:dyDescent="0.2">
      <c r="A2555" s="5">
        <v>2494</v>
      </c>
      <c r="B2555" s="138">
        <f>'Acct Summary 7-8'!C8</f>
        <v>2833314</v>
      </c>
      <c r="C2555" s="2" t="s">
        <v>594</v>
      </c>
      <c r="D2555" s="2" t="str">
        <f t="shared" si="38"/>
        <v>Error?</v>
      </c>
    </row>
    <row r="2556" spans="1:4" x14ac:dyDescent="0.2">
      <c r="A2556" s="5">
        <v>2495</v>
      </c>
      <c r="B2556" s="138">
        <f>'Acct Summary 7-8'!C12</f>
        <v>1960094</v>
      </c>
      <c r="C2556" s="2" t="s">
        <v>594</v>
      </c>
      <c r="D2556" s="2" t="str">
        <f t="shared" si="38"/>
        <v>Error?</v>
      </c>
    </row>
    <row r="2557" spans="1:4" x14ac:dyDescent="0.2">
      <c r="A2557" s="5">
        <v>2496</v>
      </c>
      <c r="B2557" s="138">
        <f>'Acct Summary 7-8'!C13</f>
        <v>814756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151547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2926397</v>
      </c>
      <c r="C2561" s="2" t="s">
        <v>594</v>
      </c>
      <c r="D2561" s="2" t="str">
        <f t="shared" si="39"/>
        <v>Error?</v>
      </c>
    </row>
    <row r="2562" spans="1:4" x14ac:dyDescent="0.2">
      <c r="A2562" s="5">
        <v>2501</v>
      </c>
      <c r="B2562" s="138">
        <f>'Acct Summary 7-8'!C20</f>
        <v>-93083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115753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115753</v>
      </c>
      <c r="C2568" s="2" t="s">
        <v>594</v>
      </c>
      <c r="D2568" s="2" t="str">
        <f t="shared" si="39"/>
        <v>Error?</v>
      </c>
    </row>
    <row r="2569" spans="1:4" x14ac:dyDescent="0.2">
      <c r="A2569" s="5">
        <v>2508</v>
      </c>
      <c r="B2569" s="138">
        <f>'Acct Summary 7-8'!D13</f>
        <v>98431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98431</v>
      </c>
      <c r="C2573" s="2" t="s">
        <v>594</v>
      </c>
      <c r="D2573" s="2" t="str">
        <f t="shared" si="39"/>
        <v>Error?</v>
      </c>
    </row>
    <row r="2574" spans="1:4" x14ac:dyDescent="0.2">
      <c r="A2574" s="5">
        <v>2513</v>
      </c>
      <c r="B2574" s="138">
        <f>'Acct Summary 7-8'!D20</f>
        <v>17322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55304</v>
      </c>
      <c r="C2591" s="2" t="s">
        <v>594</v>
      </c>
      <c r="D2591" s="2" t="str">
        <f t="shared" si="39"/>
        <v>Error?</v>
      </c>
    </row>
    <row r="2592" spans="1:4" x14ac:dyDescent="0.2">
      <c r="A2592" s="10">
        <v>2531</v>
      </c>
      <c r="D2592" s="2" t="str">
        <f t="shared" si="39"/>
        <v>OK</v>
      </c>
    </row>
    <row r="2593" spans="1:4" x14ac:dyDescent="0.2">
      <c r="A2593" s="5">
        <v>2532</v>
      </c>
      <c r="B2593" s="138">
        <f>'Acct Summary 7-8'!F6</f>
        <v>264044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319348</v>
      </c>
      <c r="C2595" s="2" t="s">
        <v>594</v>
      </c>
      <c r="D2595" s="2" t="str">
        <f t="shared" si="39"/>
        <v>Error?</v>
      </c>
    </row>
    <row r="2596" spans="1:4" x14ac:dyDescent="0.2">
      <c r="A2596" s="5">
        <v>2535</v>
      </c>
      <c r="B2596" s="138">
        <f>'Acct Summary 7-8'!F13</f>
        <v>223586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95763</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319349</v>
      </c>
      <c r="C2600" s="2" t="s">
        <v>594</v>
      </c>
      <c r="D2600" s="2" t="str">
        <f t="shared" si="39"/>
        <v>Error?</v>
      </c>
    </row>
    <row r="2601" spans="1:4" x14ac:dyDescent="0.2">
      <c r="A2601" s="5">
        <v>2540</v>
      </c>
      <c r="B2601" s="138">
        <f>'Acct Summary 7-8'!F20</f>
        <v>-1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79016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79016</v>
      </c>
      <c r="C2606" s="2" t="s">
        <v>594</v>
      </c>
      <c r="D2606" s="2" t="str">
        <f t="shared" si="39"/>
        <v>Error?</v>
      </c>
    </row>
    <row r="2607" spans="1:4" x14ac:dyDescent="0.2">
      <c r="A2607" s="5">
        <v>2546</v>
      </c>
      <c r="B2607" s="138">
        <f>'Acct Summary 7-8'!G12</f>
        <v>26084</v>
      </c>
      <c r="C2607" s="2" t="s">
        <v>594</v>
      </c>
      <c r="D2607" s="2" t="str">
        <f t="shared" si="39"/>
        <v>Error?</v>
      </c>
    </row>
    <row r="2608" spans="1:4" x14ac:dyDescent="0.2">
      <c r="A2608" s="5">
        <v>2547</v>
      </c>
      <c r="B2608" s="138">
        <f>'Acct Summary 7-8'!G13</f>
        <v>49914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75998</v>
      </c>
      <c r="C2612" s="2" t="s">
        <v>594</v>
      </c>
      <c r="D2612" s="2" t="str">
        <f t="shared" si="39"/>
        <v>Error?</v>
      </c>
    </row>
    <row r="2613" spans="1:4" x14ac:dyDescent="0.2">
      <c r="A2613" s="5">
        <v>2552</v>
      </c>
      <c r="B2613" s="138">
        <f>'Acct Summary 7-8'!G20</f>
        <v>3018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222644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222644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223179</v>
      </c>
      <c r="C2634" s="2" t="s">
        <v>594</v>
      </c>
      <c r="D2634" s="2" t="str">
        <f t="shared" si="40"/>
        <v>Error?</v>
      </c>
    </row>
    <row r="2635" spans="1:4" x14ac:dyDescent="0.2">
      <c r="A2635" s="5">
        <v>2574</v>
      </c>
      <c r="B2635" s="138">
        <f>'Acct Summary 7-8'!E17</f>
        <v>223179</v>
      </c>
      <c r="C2635" s="2" t="s">
        <v>594</v>
      </c>
      <c r="D2635" s="2" t="str">
        <f t="shared" si="40"/>
        <v>Error?</v>
      </c>
    </row>
    <row r="2636" spans="1:4" x14ac:dyDescent="0.2">
      <c r="A2636" s="5">
        <v>2575</v>
      </c>
      <c r="B2636" s="138">
        <f>'Acct Summary 7-8'!E20</f>
        <v>-535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205</v>
      </c>
      <c r="C2655" s="2" t="s">
        <v>594</v>
      </c>
      <c r="D2655" s="2" t="str">
        <f t="shared" si="40"/>
        <v>Error?</v>
      </c>
    </row>
    <row r="2656" spans="1:4" x14ac:dyDescent="0.2">
      <c r="A2656" s="5">
        <v>2595</v>
      </c>
      <c r="B2656" s="138">
        <f>'Acct Summary 7-8'!H6</f>
        <v>2620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2825</v>
      </c>
      <c r="C2658" s="2" t="s">
        <v>594</v>
      </c>
      <c r="D2658" s="2" t="str">
        <f t="shared" si="40"/>
        <v>Error?</v>
      </c>
    </row>
    <row r="2659" spans="1:4" x14ac:dyDescent="0.2">
      <c r="A2659" s="5">
        <v>2598</v>
      </c>
      <c r="B2659" s="138">
        <f>'Acct Summary 7-8'!H13</f>
        <v>54180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54180</v>
      </c>
      <c r="C2661" s="2" t="s">
        <v>594</v>
      </c>
      <c r="D2661" s="2" t="str">
        <f t="shared" si="40"/>
        <v>Error?</v>
      </c>
    </row>
    <row r="2662" spans="1:4" x14ac:dyDescent="0.2">
      <c r="A2662" s="5">
        <v>2601</v>
      </c>
      <c r="B2662" s="138">
        <f>'Acct Summary 7-8'!H20</f>
        <v>-51355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13200</v>
      </c>
      <c r="C2789" s="2" t="s">
        <v>594</v>
      </c>
      <c r="D2789" s="2" t="str">
        <f t="shared" si="42"/>
        <v>Error?</v>
      </c>
    </row>
    <row r="2790" spans="1:4" x14ac:dyDescent="0.2">
      <c r="A2790" s="5">
        <v>2729</v>
      </c>
      <c r="B2790" s="138">
        <f>'Expenditures 15-22'!E102</f>
        <v>13200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95763</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95763</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845856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8546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845856</v>
      </c>
      <c r="D2912" s="2" t="str">
        <f t="shared" si="44"/>
        <v>Error?</v>
      </c>
    </row>
    <row r="2913" spans="1:4" x14ac:dyDescent="0.2">
      <c r="A2913" s="5">
        <v>2852</v>
      </c>
      <c r="B2913" s="138">
        <f>'Assets-Liab 5-6'!I41</f>
        <v>845856</v>
      </c>
      <c r="C2913" s="2" t="s">
        <v>594</v>
      </c>
      <c r="D2913" s="2" t="str">
        <f t="shared" si="44"/>
        <v>Error?</v>
      </c>
    </row>
    <row r="2914" spans="1:4" x14ac:dyDescent="0.2">
      <c r="A2914" s="5">
        <v>2853</v>
      </c>
      <c r="B2914" s="138">
        <f>'Assets-Liab 5-6'!L33</f>
        <v>8546</v>
      </c>
      <c r="D2914" s="2" t="str">
        <f t="shared" si="44"/>
        <v>Error?</v>
      </c>
    </row>
    <row r="2915" spans="1:4" x14ac:dyDescent="0.2">
      <c r="A2915" s="10">
        <v>2854</v>
      </c>
      <c r="D2915" s="2" t="str">
        <f t="shared" si="44"/>
        <v>OK</v>
      </c>
    </row>
    <row r="2916" spans="1:4" x14ac:dyDescent="0.2">
      <c r="A2916" s="5">
        <v>2855</v>
      </c>
      <c r="B2916" s="138">
        <f>'Assets-Liab 5-6'!L34</f>
        <v>8546</v>
      </c>
      <c r="C2916" s="2" t="s">
        <v>594</v>
      </c>
      <c r="D2916" s="2" t="str">
        <f t="shared" si="44"/>
        <v>Error?</v>
      </c>
    </row>
    <row r="2917" spans="1:4" x14ac:dyDescent="0.2">
      <c r="A2917" s="5">
        <v>2856</v>
      </c>
      <c r="B2917" s="138">
        <f>'Assets-Liab 5-6'!L41</f>
        <v>8546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13200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138347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151547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95763</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95763</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30210</v>
      </c>
      <c r="D3055" s="2" t="str">
        <f t="shared" si="46"/>
        <v>Error?</v>
      </c>
    </row>
    <row r="3056" spans="1:4" x14ac:dyDescent="0.2">
      <c r="A3056" s="5">
        <v>2995</v>
      </c>
      <c r="B3056" s="138">
        <f>'Expenditures 15-22'!D10</f>
        <v>9501</v>
      </c>
      <c r="D3056" s="2" t="str">
        <f t="shared" si="46"/>
        <v>Error?</v>
      </c>
    </row>
    <row r="3057" spans="1:4" x14ac:dyDescent="0.2">
      <c r="A3057" s="5">
        <v>2996</v>
      </c>
      <c r="B3057" s="138">
        <f>'Expenditures 15-22'!E10</f>
        <v>12652</v>
      </c>
      <c r="D3057" s="2" t="str">
        <f t="shared" si="46"/>
        <v>Error?</v>
      </c>
    </row>
    <row r="3058" spans="1:4" x14ac:dyDescent="0.2">
      <c r="A3058" s="5">
        <v>2997</v>
      </c>
      <c r="B3058" s="138">
        <f>'Expenditures 15-22'!F10</f>
        <v>32533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84896</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26348</v>
      </c>
      <c r="C3225" s="2" t="s">
        <v>594</v>
      </c>
      <c r="D3225" s="2" t="str">
        <f t="shared" si="49"/>
        <v>Error?</v>
      </c>
    </row>
    <row r="3226" spans="1:4" x14ac:dyDescent="0.2">
      <c r="A3226" s="5">
        <v>3165</v>
      </c>
      <c r="B3226" s="138">
        <f>'Acct Summary 7-8'!I8</f>
        <v>26348</v>
      </c>
      <c r="C3226" s="2" t="s">
        <v>594</v>
      </c>
      <c r="D3226" s="2" t="str">
        <f t="shared" si="49"/>
        <v>Error?</v>
      </c>
    </row>
    <row r="3227" spans="1:4" x14ac:dyDescent="0.2">
      <c r="A3227" s="5">
        <v>3166</v>
      </c>
      <c r="B3227" s="138">
        <f>'Acct Summary 7-8'!I20</f>
        <v>26348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-93083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17322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3018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-535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-51355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26348</v>
      </c>
      <c r="C3320" s="2" t="s">
        <v>594</v>
      </c>
      <c r="D3320" s="2" t="str">
        <f t="shared" si="50"/>
        <v>Error?</v>
      </c>
    </row>
    <row r="3321" spans="1:4" x14ac:dyDescent="0.2">
      <c r="A3321" s="5">
        <v>3260</v>
      </c>
      <c r="B3321" s="138">
        <f>'Acct Summary 7-8'!I79</f>
        <v>819508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845856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182332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49096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20389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252062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21055</v>
      </c>
      <c r="D3387" s="2" t="str">
        <f t="shared" si="51"/>
        <v>Error?</v>
      </c>
    </row>
    <row r="3388" spans="1:4" x14ac:dyDescent="0.2">
      <c r="A3388" s="5">
        <v>3327</v>
      </c>
      <c r="B3388" s="138">
        <f>'Expenditures 15-22'!D217</f>
        <v>3332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21055</v>
      </c>
      <c r="C3390" s="2" t="s">
        <v>594</v>
      </c>
      <c r="D3390" s="2" t="str">
        <f t="shared" si="51"/>
        <v>Error?</v>
      </c>
    </row>
    <row r="3391" spans="1:4" x14ac:dyDescent="0.2">
      <c r="A3391" s="5">
        <v>3330</v>
      </c>
      <c r="B3391" s="138">
        <f>'Expenditures 15-22'!K217</f>
        <v>3332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521726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21866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1268</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22624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45856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8546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41826</v>
      </c>
      <c r="C3446" s="2" t="s">
        <v>594</v>
      </c>
      <c r="D3446" s="2" t="str">
        <f t="shared" si="52"/>
        <v>Error?</v>
      </c>
    </row>
    <row r="3447" spans="1:4" x14ac:dyDescent="0.2">
      <c r="A3447" s="5">
        <v>3386</v>
      </c>
      <c r="B3447" s="138">
        <f>'Tax Sched 23'!D16</f>
        <v>41826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45013</v>
      </c>
      <c r="C3449" s="2" t="s">
        <v>594</v>
      </c>
      <c r="D3449" s="2" t="str">
        <f t="shared" si="52"/>
        <v>Error?</v>
      </c>
    </row>
    <row r="3450" spans="1:4" x14ac:dyDescent="0.2">
      <c r="A3450" s="5">
        <v>3389</v>
      </c>
      <c r="B3450" s="138">
        <f>'Tax Sched 23'!E16</f>
        <v>45013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13398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73398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73398</v>
      </c>
      <c r="D3567" s="2" t="str">
        <f t="shared" si="54"/>
        <v>Error?</v>
      </c>
    </row>
    <row r="3568" spans="1:4" x14ac:dyDescent="0.2">
      <c r="A3568" s="5">
        <v>3507</v>
      </c>
      <c r="B3568" s="138">
        <f>'Assets-Liab 5-6'!K41</f>
        <v>73398</v>
      </c>
      <c r="C3568" s="2" t="s">
        <v>594</v>
      </c>
      <c r="D3568" s="2" t="str">
        <f t="shared" si="54"/>
        <v>Error?</v>
      </c>
    </row>
    <row r="3569" spans="1:4" x14ac:dyDescent="0.2">
      <c r="A3569" s="5">
        <v>3508</v>
      </c>
      <c r="B3569" s="138">
        <f>'Acct Summary 7-8'!K4</f>
        <v>23280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23280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23280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23280</v>
      </c>
      <c r="C3588" s="2" t="s">
        <v>594</v>
      </c>
      <c r="D3588" s="2" t="str">
        <f t="shared" si="55"/>
        <v>Error?</v>
      </c>
    </row>
    <row r="3589" spans="1:4" x14ac:dyDescent="0.2">
      <c r="A3589" s="5">
        <v>3528</v>
      </c>
      <c r="B3589" s="138">
        <f>'Acct Summary 7-8'!K79</f>
        <v>50118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73398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23280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23007</v>
      </c>
      <c r="C3725" s="2" t="s">
        <v>594</v>
      </c>
      <c r="D3725" s="2" t="str">
        <f t="shared" si="57"/>
        <v>Error?</v>
      </c>
    </row>
    <row r="3726" spans="1:4" x14ac:dyDescent="0.2">
      <c r="A3726" s="5">
        <v>3665</v>
      </c>
      <c r="B3726" s="138">
        <f>'Tax Sched 23'!D13</f>
        <v>23007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23918</v>
      </c>
      <c r="C3728" s="2" t="s">
        <v>594</v>
      </c>
      <c r="D3728" s="2" t="str">
        <f t="shared" si="57"/>
        <v>Error?</v>
      </c>
    </row>
    <row r="3729" spans="1:4" x14ac:dyDescent="0.2">
      <c r="A3729" s="5">
        <v>3668</v>
      </c>
      <c r="B3729" s="138">
        <f>'Tax Sched 23'!E13</f>
        <v>23918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1343681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4176995</v>
      </c>
      <c r="C4122" s="2" t="s">
        <v>594</v>
      </c>
      <c r="D4122" s="2" t="str">
        <f t="shared" si="63"/>
        <v>Error?</v>
      </c>
    </row>
    <row r="4123" spans="1:4" x14ac:dyDescent="0.2">
      <c r="A4123" s="5">
        <v>4062</v>
      </c>
      <c r="B4123" s="138">
        <f>'Acct Summary 7-8'!D10</f>
        <v>115753</v>
      </c>
      <c r="C4123" s="2" t="s">
        <v>594</v>
      </c>
      <c r="D4123" s="2" t="str">
        <f t="shared" si="63"/>
        <v>Error?</v>
      </c>
    </row>
    <row r="4124" spans="1:4" x14ac:dyDescent="0.2">
      <c r="A4124" s="5">
        <v>4063</v>
      </c>
      <c r="B4124" s="138">
        <f>'Acct Summary 7-8'!E10</f>
        <v>222644</v>
      </c>
      <c r="C4124" s="2" t="s">
        <v>594</v>
      </c>
      <c r="D4124" s="2" t="str">
        <f t="shared" si="63"/>
        <v>Error?</v>
      </c>
    </row>
    <row r="4125" spans="1:4" x14ac:dyDescent="0.2">
      <c r="A4125" s="5">
        <v>4064</v>
      </c>
      <c r="B4125" s="138">
        <f>'Acct Summary 7-8'!F10</f>
        <v>319348</v>
      </c>
      <c r="C4125" s="2" t="s">
        <v>594</v>
      </c>
      <c r="D4125" s="2" t="str">
        <f t="shared" si="63"/>
        <v>Error?</v>
      </c>
    </row>
    <row r="4126" spans="1:4" x14ac:dyDescent="0.2">
      <c r="A4126" s="5">
        <v>4065</v>
      </c>
      <c r="B4126" s="138">
        <f>'Acct Summary 7-8'!G10</f>
        <v>79016</v>
      </c>
      <c r="C4126" s="2" t="s">
        <v>594</v>
      </c>
      <c r="D4126" s="2" t="str">
        <f t="shared" si="63"/>
        <v>Error?</v>
      </c>
    </row>
    <row r="4127" spans="1:4" x14ac:dyDescent="0.2">
      <c r="A4127" s="5">
        <v>4066</v>
      </c>
      <c r="B4127" s="138">
        <f>'Acct Summary 7-8'!H10</f>
        <v>2825</v>
      </c>
      <c r="C4127" s="2" t="s">
        <v>594</v>
      </c>
      <c r="D4127" s="2" t="str">
        <f t="shared" si="63"/>
        <v>Error?</v>
      </c>
    </row>
    <row r="4128" spans="1:4" x14ac:dyDescent="0.2">
      <c r="A4128" s="5">
        <v>4067</v>
      </c>
      <c r="B4128" s="138">
        <f>'Acct Summary 7-8'!I10</f>
        <v>26348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23280</v>
      </c>
      <c r="C4130" s="2" t="s">
        <v>594</v>
      </c>
      <c r="D4130" s="2" t="str">
        <f t="shared" si="63"/>
        <v>Error?</v>
      </c>
    </row>
    <row r="4131" spans="1:4" x14ac:dyDescent="0.2">
      <c r="A4131" s="5">
        <v>4070</v>
      </c>
      <c r="B4131" s="138">
        <f>'Acct Summary 7-8'!C18</f>
        <v>1343681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4270078</v>
      </c>
      <c r="C4136" s="2" t="s">
        <v>594</v>
      </c>
      <c r="D4136" s="2" t="str">
        <f t="shared" si="63"/>
        <v>Error?</v>
      </c>
    </row>
    <row r="4137" spans="1:4" x14ac:dyDescent="0.2">
      <c r="A4137" s="5">
        <v>4076</v>
      </c>
      <c r="B4137" s="138">
        <f>'Acct Summary 7-8'!D19</f>
        <v>98431</v>
      </c>
      <c r="C4137" s="2" t="s">
        <v>594</v>
      </c>
      <c r="D4137" s="2" t="str">
        <f t="shared" si="63"/>
        <v>Error?</v>
      </c>
    </row>
    <row r="4138" spans="1:4" x14ac:dyDescent="0.2">
      <c r="A4138" s="5">
        <v>4077</v>
      </c>
      <c r="B4138" s="138">
        <f>'Acct Summary 7-8'!E19</f>
        <v>223179</v>
      </c>
      <c r="C4138" s="2" t="s">
        <v>594</v>
      </c>
      <c r="D4138" s="2" t="str">
        <f t="shared" si="63"/>
        <v>Error?</v>
      </c>
    </row>
    <row r="4139" spans="1:4" x14ac:dyDescent="0.2">
      <c r="A4139" s="5">
        <v>4078</v>
      </c>
      <c r="B4139" s="138">
        <f>'Acct Summary 7-8'!F19</f>
        <v>319349</v>
      </c>
      <c r="C4139" s="2" t="s">
        <v>594</v>
      </c>
      <c r="D4139" s="2" t="str">
        <f t="shared" si="63"/>
        <v>Error?</v>
      </c>
    </row>
    <row r="4140" spans="1:4" x14ac:dyDescent="0.2">
      <c r="A4140" s="5">
        <v>4079</v>
      </c>
      <c r="B4140" s="138">
        <f>'Acct Summary 7-8'!G19</f>
        <v>75998</v>
      </c>
      <c r="C4140" s="2" t="s">
        <v>594</v>
      </c>
      <c r="D4140" s="2" t="str">
        <f t="shared" si="63"/>
        <v>Error?</v>
      </c>
    </row>
    <row r="4141" spans="1:4" x14ac:dyDescent="0.2">
      <c r="A4141" s="5">
        <v>4080</v>
      </c>
      <c r="B4141" s="138">
        <f>'Acct Summary 7-8'!H19</f>
        <v>54180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622900</v>
      </c>
      <c r="C4171" s="2" t="s">
        <v>594</v>
      </c>
      <c r="D4171" s="2" t="str">
        <f t="shared" si="64"/>
        <v>Error?</v>
      </c>
    </row>
    <row r="4172" spans="1:4" x14ac:dyDescent="0.2">
      <c r="A4172" s="5">
        <v>4111</v>
      </c>
      <c r="B4172" s="138">
        <f>'Short-Term Long-Term Debt 24'!J49</f>
        <v>621632</v>
      </c>
      <c r="C4172" s="2" t="s">
        <v>594</v>
      </c>
      <c r="D4172" s="2" t="str">
        <f t="shared" si="64"/>
        <v>Error?</v>
      </c>
    </row>
    <row r="4173" spans="1:4" x14ac:dyDescent="0.2">
      <c r="A4173" s="5">
        <v>4112</v>
      </c>
      <c r="B4173" s="138">
        <f>'Short-Term Long-Term Debt 24'!H49</f>
        <v>196100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1990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2360</v>
      </c>
      <c r="C4268" s="2" t="s">
        <v>594</v>
      </c>
      <c r="D4268" s="2" t="str">
        <f t="shared" si="65"/>
        <v>Error?</v>
      </c>
    </row>
    <row r="4269" spans="1:5" x14ac:dyDescent="0.2">
      <c r="A4269" s="12">
        <v>4208</v>
      </c>
      <c r="B4269" s="138">
        <f>'FP Info 3'!J16</f>
        <v>1674448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17736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12686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4999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8353</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47835571</v>
      </c>
      <c r="D4995" s="2" t="str">
        <f t="shared" si="77"/>
        <v>Error?</v>
      </c>
    </row>
    <row r="4996" spans="1:4" x14ac:dyDescent="0.2">
      <c r="A4996" s="12">
        <v>4935</v>
      </c>
      <c r="B4996" s="138">
        <f>'FP Info 3'!H31</f>
        <v>3300654.3990000002</v>
      </c>
      <c r="D4996" s="2" t="str">
        <f t="shared" si="77"/>
        <v>Error?</v>
      </c>
    </row>
    <row r="4997" spans="1:4" x14ac:dyDescent="0.2">
      <c r="A4997" s="12">
        <v>4936</v>
      </c>
      <c r="B4997" s="138">
        <f>'FP Info 3'!H37</f>
        <v>622900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23007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915664</v>
      </c>
      <c r="D5061" s="2" t="str">
        <f t="shared" si="78"/>
        <v>Error?</v>
      </c>
    </row>
    <row r="5062" spans="1:4" x14ac:dyDescent="0.2">
      <c r="A5062" s="10">
        <v>5001</v>
      </c>
      <c r="D5062" s="2" t="str">
        <f t="shared" si="78"/>
        <v>OK</v>
      </c>
    </row>
    <row r="5063" spans="1:4" x14ac:dyDescent="0.2">
      <c r="A5063" s="5">
        <v>5002</v>
      </c>
      <c r="B5063" s="138">
        <f>'Revenues 9-14'!C7</f>
        <v>9203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947874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93461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93461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3991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3991</v>
      </c>
      <c r="C5090" s="2" t="s">
        <v>594</v>
      </c>
      <c r="D5090" s="2" t="str">
        <f t="shared" si="78"/>
        <v>Error?</v>
      </c>
    </row>
    <row r="5091" spans="1:4" x14ac:dyDescent="0.2">
      <c r="A5091" s="5">
        <v>5030</v>
      </c>
      <c r="B5091" s="138">
        <f>'Revenues 9-14'!C70</f>
        <v>2231</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37328</v>
      </c>
      <c r="C5096" s="2" t="s">
        <v>594</v>
      </c>
      <c r="D5096" s="2" t="str">
        <f t="shared" si="78"/>
        <v>Error?</v>
      </c>
    </row>
    <row r="5097" spans="1:4" x14ac:dyDescent="0.2">
      <c r="A5097" s="5">
        <v>5036</v>
      </c>
      <c r="B5097" s="138">
        <f>'Revenues 9-14'!C77</f>
        <v>6679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2053</v>
      </c>
      <c r="D5101" s="2" t="str">
        <f t="shared" si="78"/>
        <v>Error?</v>
      </c>
    </row>
    <row r="5102" spans="1:4" x14ac:dyDescent="0.2">
      <c r="A5102" s="5">
        <v>5041</v>
      </c>
      <c r="B5102" s="138">
        <f>'Revenues 9-14'!C82</f>
        <v>8732</v>
      </c>
      <c r="C5102" s="2" t="s">
        <v>594</v>
      </c>
      <c r="D5102" s="2" t="str">
        <f t="shared" si="78"/>
        <v>Error?</v>
      </c>
    </row>
    <row r="5103" spans="1:4" x14ac:dyDescent="0.2">
      <c r="A5103" s="5">
        <v>5042</v>
      </c>
      <c r="B5103" s="138">
        <f>'Revenues 9-14'!C84</f>
        <v>14111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75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14186</v>
      </c>
      <c r="C5112" s="2" t="s">
        <v>594</v>
      </c>
      <c r="D5112" s="2" t="str">
        <f t="shared" si="78"/>
        <v>Error?</v>
      </c>
    </row>
    <row r="5113" spans="1:4" x14ac:dyDescent="0.2">
      <c r="A5113" s="5">
        <v>5052</v>
      </c>
      <c r="B5113" s="138">
        <f>'Revenues 9-14'!C95</f>
        <v>12500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1660</v>
      </c>
      <c r="D5119" s="2" t="str">
        <f t="shared" ref="D5119:D5182" si="79">IF(ISBLANK(B5119),"OK",IF(A5119-B5119=0,"OK","Error?"))</f>
        <v>Error?</v>
      </c>
    </row>
    <row r="5120" spans="1:4" x14ac:dyDescent="0.2">
      <c r="A5120" s="5">
        <v>5059</v>
      </c>
      <c r="B5120" s="138">
        <f>'Revenues 9-14'!C108</f>
        <v>14160</v>
      </c>
      <c r="C5120" s="2" t="s">
        <v>594</v>
      </c>
      <c r="D5120" s="2" t="str">
        <f t="shared" si="79"/>
        <v>Error?</v>
      </c>
    </row>
    <row r="5121" spans="1:4" x14ac:dyDescent="0.2">
      <c r="A5121" s="5">
        <v>5060</v>
      </c>
      <c r="B5121" s="138">
        <f>'Revenues 9-14'!C109</f>
        <v>1119732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1159195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1159195</v>
      </c>
      <c r="C5132" s="2" t="s">
        <v>594</v>
      </c>
      <c r="D5132" s="2" t="str">
        <f t="shared" si="79"/>
        <v>Error?</v>
      </c>
    </row>
    <row r="5133" spans="1:4" x14ac:dyDescent="0.2">
      <c r="A5133" s="5">
        <v>5072</v>
      </c>
      <c r="B5133" s="138">
        <f>'Revenues 9-14'!C124</f>
        <v>24731</v>
      </c>
      <c r="D5133" s="2" t="str">
        <f t="shared" si="79"/>
        <v>Error?</v>
      </c>
    </row>
    <row r="5134" spans="1:4" x14ac:dyDescent="0.2">
      <c r="A5134" s="5">
        <v>5073</v>
      </c>
      <c r="B5134" s="138">
        <f>'Revenues 9-14'!C125</f>
        <v>22332</v>
      </c>
      <c r="D5134" s="2" t="str">
        <f t="shared" si="79"/>
        <v>Error?</v>
      </c>
    </row>
    <row r="5135" spans="1:4" x14ac:dyDescent="0.2">
      <c r="A5135" s="5">
        <v>5074</v>
      </c>
      <c r="B5135" s="138">
        <f>'Revenues 9-14'!C126</f>
        <v>34113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337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81513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1670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146555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234737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1393932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8353</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91056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21870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112926</v>
      </c>
      <c r="C5246" s="2" t="s">
        <v>594</v>
      </c>
      <c r="D5246" s="2" t="str">
        <f t="shared" si="80"/>
        <v>Error?</v>
      </c>
    </row>
    <row r="5247" spans="1:4" x14ac:dyDescent="0.2">
      <c r="A5247" s="5">
        <v>5186</v>
      </c>
      <c r="B5247" s="138">
        <f>'Revenues 9-14'!C203</f>
        <v>87136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87136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3903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75598</v>
      </c>
      <c r="D5278" s="2" t="str">
        <f t="shared" si="81"/>
        <v>Error?</v>
      </c>
    </row>
    <row r="5279" spans="1:4" x14ac:dyDescent="0.2">
      <c r="A5279" s="5">
        <v>5218</v>
      </c>
      <c r="B5279" s="138">
        <f>'Revenues 9-14'!C221</f>
        <v>1312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80813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311297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319650</v>
      </c>
      <c r="C5326" s="2" t="s">
        <v>594</v>
      </c>
      <c r="D5326" s="2" t="str">
        <f t="shared" si="82"/>
        <v>Error?</v>
      </c>
    </row>
    <row r="5327" spans="1:4" x14ac:dyDescent="0.2">
      <c r="A5327" s="5">
        <v>5266</v>
      </c>
      <c r="B5327" s="138">
        <f>'Revenues 9-14'!C275</f>
        <v>2833314</v>
      </c>
      <c r="C5327" s="2" t="s">
        <v>594</v>
      </c>
      <c r="D5327" s="2" t="str">
        <f t="shared" si="82"/>
        <v>Error?</v>
      </c>
    </row>
    <row r="5328" spans="1:4" x14ac:dyDescent="0.2">
      <c r="A5328" s="5">
        <v>5267</v>
      </c>
      <c r="B5328" s="138">
        <f>'Revenues 9-14'!D5</f>
        <v>115033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115033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720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720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115753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115753</v>
      </c>
      <c r="C5508" s="2" t="s">
        <v>594</v>
      </c>
      <c r="D5508" s="2" t="str">
        <f t="shared" si="85"/>
        <v>Error?</v>
      </c>
    </row>
    <row r="5509" spans="1:4" x14ac:dyDescent="0.2">
      <c r="A5509" s="5">
        <v>5448</v>
      </c>
      <c r="B5509" s="138">
        <f>'Revenues 9-14'!E5</f>
        <v>222219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222219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425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222644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222644</v>
      </c>
      <c r="C5552" s="2" t="s">
        <v>594</v>
      </c>
      <c r="D5552" s="2" t="str">
        <f t="shared" si="85"/>
        <v>Error?</v>
      </c>
    </row>
    <row r="5553" spans="1:4" x14ac:dyDescent="0.2">
      <c r="A5553" s="5">
        <v>5492</v>
      </c>
      <c r="B5553" s="138">
        <f>'Revenues 9-14'!F5</f>
        <v>55215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55215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55304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50893</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50893</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62640</v>
      </c>
      <c r="D5615" s="2" t="str">
        <f t="shared" si="86"/>
        <v>Error?</v>
      </c>
    </row>
    <row r="5616" spans="1:4" x14ac:dyDescent="0.2">
      <c r="A5616" s="10">
        <v>5555</v>
      </c>
      <c r="D5616" s="2" t="str">
        <f t="shared" si="86"/>
        <v>OK</v>
      </c>
    </row>
    <row r="5617" spans="1:4" x14ac:dyDescent="0.2">
      <c r="A5617" s="5">
        <v>5556</v>
      </c>
      <c r="B5617" s="138">
        <f>'Revenues 9-14'!F152</f>
        <v>150511</v>
      </c>
      <c r="D5617" s="2" t="str">
        <f t="shared" si="86"/>
        <v>Error?</v>
      </c>
    </row>
    <row r="5618" spans="1:4" x14ac:dyDescent="0.2">
      <c r="A5618" s="5">
        <v>5557</v>
      </c>
      <c r="B5618" s="138">
        <f>'Revenues 9-14'!F154</f>
        <v>213151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213151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264044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319348</v>
      </c>
      <c r="C5720" s="2" t="s">
        <v>594</v>
      </c>
      <c r="D5720" s="2" t="str">
        <f t="shared" si="88"/>
        <v>Error?</v>
      </c>
    </row>
    <row r="5721" spans="1:4" x14ac:dyDescent="0.2">
      <c r="A5721" s="5">
        <v>5660</v>
      </c>
      <c r="B5721" s="138">
        <f>'Revenues 9-14'!G5</f>
        <v>31882</v>
      </c>
      <c r="D5721" s="2" t="str">
        <f t="shared" si="88"/>
        <v>Error?</v>
      </c>
    </row>
    <row r="5722" spans="1:4" x14ac:dyDescent="0.2">
      <c r="A5722" s="5">
        <v>5661</v>
      </c>
      <c r="B5722" s="138">
        <f>'Revenues 9-14'!G7</f>
        <v>0</v>
      </c>
      <c r="D5722" s="2" t="str">
        <f t="shared" si="88"/>
        <v>Error?</v>
      </c>
    </row>
    <row r="5723" spans="1:4" x14ac:dyDescent="0.2">
      <c r="A5723" s="5">
        <v>5662</v>
      </c>
      <c r="B5723" s="138">
        <f>'Revenues 9-14'!G8</f>
        <v>41826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73708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4919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4919</v>
      </c>
      <c r="C5730" s="2" t="s">
        <v>594</v>
      </c>
      <c r="D5730" s="2" t="str">
        <f t="shared" si="88"/>
        <v>Error?</v>
      </c>
    </row>
    <row r="5731" spans="1:4" x14ac:dyDescent="0.2">
      <c r="A5731" s="5">
        <v>5670</v>
      </c>
      <c r="B5731" s="138">
        <f>'Revenues 9-14'!G65</f>
        <v>389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79016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205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205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2620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2620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2620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2825</v>
      </c>
      <c r="C5915" s="2" t="s">
        <v>594</v>
      </c>
      <c r="D5915" s="2" t="str">
        <f t="shared" si="91"/>
        <v>Error?</v>
      </c>
    </row>
    <row r="5916" spans="1:4" x14ac:dyDescent="0.2">
      <c r="A5916" s="5">
        <v>5855</v>
      </c>
      <c r="B5916" s="138">
        <f>'Revenues 9-14'!I5</f>
        <v>23007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23007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3341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3341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26348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23007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23007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273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23280</v>
      </c>
      <c r="C6023" s="2" t="s">
        <v>594</v>
      </c>
      <c r="D6023" s="2" t="str">
        <f t="shared" si="93"/>
        <v>Error?</v>
      </c>
    </row>
    <row r="6024" spans="1:5" x14ac:dyDescent="0.2">
      <c r="A6024" s="5">
        <v>5963</v>
      </c>
      <c r="B6024" s="138">
        <f>'Revenues 9-14'!G109</f>
        <v>79016</v>
      </c>
      <c r="C6024" s="2" t="s">
        <v>594</v>
      </c>
      <c r="D6024" s="2" t="str">
        <f t="shared" si="93"/>
        <v>Error?</v>
      </c>
    </row>
    <row r="6025" spans="1:5" x14ac:dyDescent="0.2">
      <c r="A6025" s="5">
        <v>5964</v>
      </c>
      <c r="B6025" s="138">
        <f>'Revenues 9-14'!H109</f>
        <v>205</v>
      </c>
      <c r="C6025" s="2" t="s">
        <v>594</v>
      </c>
      <c r="D6025" s="2" t="str">
        <f t="shared" si="93"/>
        <v>Error?</v>
      </c>
    </row>
    <row r="6026" spans="1:5" x14ac:dyDescent="0.2">
      <c r="A6026" s="5">
        <v>5965</v>
      </c>
      <c r="B6026" s="138">
        <f>'Revenues 9-14'!I109</f>
        <v>26348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23280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31958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315.62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205740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205740</v>
      </c>
      <c r="D6215" s="2" t="str">
        <f t="shared" si="96"/>
        <v>Error?</v>
      </c>
      <c r="E6215" s="2" t="s">
        <v>199</v>
      </c>
    </row>
    <row r="6216" spans="1:5" x14ac:dyDescent="0.2">
      <c r="A6216">
        <v>6155</v>
      </c>
      <c r="B6216" s="138">
        <f>'Assets-Liab 5-6'!J41</f>
        <v>205740</v>
      </c>
      <c r="D6216" s="2" t="str">
        <f t="shared" si="96"/>
        <v>Error?</v>
      </c>
      <c r="E6216" s="2" t="s">
        <v>199</v>
      </c>
    </row>
    <row r="6217" spans="1:5" x14ac:dyDescent="0.2">
      <c r="A6217">
        <v>6156</v>
      </c>
      <c r="B6217" s="138">
        <f>'Assets-Liab 5-6'!J4</f>
        <v>55740</v>
      </c>
      <c r="D6217" s="2" t="str">
        <f t="shared" si="96"/>
        <v>Error?</v>
      </c>
      <c r="E6217" s="2" t="s">
        <v>199</v>
      </c>
    </row>
    <row r="6218" spans="1:5" x14ac:dyDescent="0.2">
      <c r="A6218">
        <v>6157</v>
      </c>
      <c r="B6218" s="138">
        <f>'Assets-Liab 5-6'!J5</f>
        <v>150000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157979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157979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157979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84800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84800</v>
      </c>
      <c r="D6229" s="2" t="str">
        <f t="shared" si="96"/>
        <v>Error?</v>
      </c>
      <c r="E6229" s="2" t="s">
        <v>199</v>
      </c>
    </row>
    <row r="6230" spans="1:5" x14ac:dyDescent="0.2">
      <c r="A6230">
        <v>6169</v>
      </c>
      <c r="B6230" s="138">
        <f>'Acct Summary 7-8'!J20</f>
        <v>73179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73179</v>
      </c>
      <c r="D6263" s="2" t="str">
        <f t="shared" si="96"/>
        <v>Error?</v>
      </c>
      <c r="E6263" s="2" t="s">
        <v>199</v>
      </c>
    </row>
    <row r="6264" spans="1:5" x14ac:dyDescent="0.2">
      <c r="A6264">
        <v>6203</v>
      </c>
      <c r="B6264" s="138">
        <f>'Acct Summary 7-8'!J79</f>
        <v>132561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205740</v>
      </c>
      <c r="D6266" s="2" t="str">
        <f t="shared" si="96"/>
        <v>Error?</v>
      </c>
      <c r="E6266" s="2" t="s">
        <v>199</v>
      </c>
    </row>
    <row r="6267" spans="1:5" x14ac:dyDescent="0.2">
      <c r="A6267">
        <v>6206</v>
      </c>
      <c r="B6267" s="138">
        <f>'Acct Summary 7-8'!C82</f>
        <v>-93083</v>
      </c>
      <c r="D6267" s="2" t="str">
        <f t="shared" si="96"/>
        <v>Error?</v>
      </c>
      <c r="E6267" s="2" t="s">
        <v>199</v>
      </c>
    </row>
    <row r="6268" spans="1:5" x14ac:dyDescent="0.2">
      <c r="A6268">
        <v>6207</v>
      </c>
      <c r="B6268" s="138">
        <f>'Acct Summary 7-8'!D82</f>
        <v>17322</v>
      </c>
      <c r="D6268" s="2" t="str">
        <f t="shared" si="96"/>
        <v>Error?</v>
      </c>
      <c r="E6268" s="2" t="s">
        <v>199</v>
      </c>
    </row>
    <row r="6269" spans="1:5" x14ac:dyDescent="0.2">
      <c r="A6269">
        <v>6208</v>
      </c>
      <c r="B6269" s="138">
        <f>'Acct Summary 7-8'!E82</f>
        <v>-535</v>
      </c>
      <c r="D6269" s="2" t="str">
        <f t="shared" si="96"/>
        <v>Error?</v>
      </c>
      <c r="E6269" s="2" t="s">
        <v>199</v>
      </c>
    </row>
    <row r="6270" spans="1:5" x14ac:dyDescent="0.2">
      <c r="A6270">
        <v>6209</v>
      </c>
      <c r="B6270" s="138">
        <f>'Acct Summary 7-8'!F82</f>
        <v>-1</v>
      </c>
      <c r="D6270" s="2" t="str">
        <f t="shared" si="96"/>
        <v>Error?</v>
      </c>
      <c r="E6270" s="2" t="s">
        <v>199</v>
      </c>
    </row>
    <row r="6271" spans="1:5" x14ac:dyDescent="0.2">
      <c r="A6271">
        <v>6210</v>
      </c>
      <c r="B6271" s="138">
        <f>'Acct Summary 7-8'!G82</f>
        <v>3018</v>
      </c>
      <c r="D6271" s="2" t="str">
        <f t="shared" ref="D6271:D6334" si="97">IF(ISBLANK(B6271),"OK",IF(A6271-B6271=0,"OK","Error?"))</f>
        <v>Error?</v>
      </c>
      <c r="E6271" s="2" t="s">
        <v>199</v>
      </c>
    </row>
    <row r="6272" spans="1:5" x14ac:dyDescent="0.2">
      <c r="A6272">
        <v>6211</v>
      </c>
      <c r="B6272" s="138">
        <f>'Acct Summary 7-8'!H82</f>
        <v>-51355</v>
      </c>
      <c r="D6272" s="2" t="str">
        <f t="shared" si="97"/>
        <v>Error?</v>
      </c>
      <c r="E6272" s="2" t="s">
        <v>199</v>
      </c>
    </row>
    <row r="6273" spans="1:5" x14ac:dyDescent="0.2">
      <c r="A6273">
        <v>6212</v>
      </c>
      <c r="B6273" s="138">
        <f>'Acct Summary 7-8'!I82</f>
        <v>26348</v>
      </c>
      <c r="D6273" s="2" t="str">
        <f t="shared" si="97"/>
        <v>Error?</v>
      </c>
      <c r="E6273" s="2" t="s">
        <v>199</v>
      </c>
    </row>
    <row r="6274" spans="1:5" x14ac:dyDescent="0.2">
      <c r="A6274">
        <v>6213</v>
      </c>
      <c r="B6274" s="138">
        <f>'Acct Summary 7-8'!J82</f>
        <v>73179</v>
      </c>
      <c r="D6274" s="2" t="str">
        <f t="shared" si="97"/>
        <v>Error?</v>
      </c>
      <c r="E6274" s="2" t="s">
        <v>199</v>
      </c>
    </row>
    <row r="6275" spans="1:5" x14ac:dyDescent="0.2">
      <c r="A6275">
        <v>6214</v>
      </c>
      <c r="B6275" s="138">
        <f>'Acct Summary 7-8'!K82</f>
        <v>23280</v>
      </c>
      <c r="D6275" s="2" t="str">
        <f t="shared" si="97"/>
        <v>Error?</v>
      </c>
      <c r="E6275" s="2" t="s">
        <v>199</v>
      </c>
    </row>
    <row r="6276" spans="1:5" x14ac:dyDescent="0.2">
      <c r="A6276">
        <v>6215</v>
      </c>
      <c r="B6276" s="138">
        <f>'Acct Summary 7-8'!C83</f>
        <v>-0.12220010870050385</v>
      </c>
      <c r="D6276" s="2" t="str">
        <f t="shared" si="97"/>
        <v>Error?</v>
      </c>
      <c r="E6276" s="2" t="s">
        <v>199</v>
      </c>
    </row>
    <row r="6277" spans="1:5" x14ac:dyDescent="0.2">
      <c r="A6277">
        <v>6216</v>
      </c>
      <c r="B6277" s="138">
        <f>'Acct Summary 7-8'!D83</f>
        <v>0.25905542428139861</v>
      </c>
      <c r="D6277" s="2" t="str">
        <f t="shared" si="97"/>
        <v>Error?</v>
      </c>
      <c r="E6277" s="2" t="s">
        <v>199</v>
      </c>
    </row>
    <row r="6278" spans="1:5" x14ac:dyDescent="0.2">
      <c r="A6278">
        <v>6217</v>
      </c>
      <c r="B6278" s="138">
        <f>'Acct Summary 7-8'!E83</f>
        <v>-0.42192429022082018</v>
      </c>
      <c r="D6278" s="2" t="str">
        <f t="shared" si="97"/>
        <v>Error?</v>
      </c>
      <c r="E6278" s="2" t="s">
        <v>199</v>
      </c>
    </row>
    <row r="6279" spans="1:5" x14ac:dyDescent="0.2">
      <c r="A6279">
        <v>6218</v>
      </c>
      <c r="B6279" s="138" t="e">
        <f>'Acct Summary 7-8'!F83</f>
        <v>#DIV/0!</v>
      </c>
      <c r="D6279" s="2" t="e">
        <f t="shared" si="97"/>
        <v>#DIV/0!</v>
      </c>
      <c r="E6279" s="2" t="s">
        <v>199</v>
      </c>
    </row>
    <row r="6280" spans="1:5" x14ac:dyDescent="0.2">
      <c r="A6280">
        <v>6219</v>
      </c>
      <c r="B6280" s="138">
        <f>'Acct Summary 7-8'!G83</f>
        <v>4.1556510244547255E-2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3.114951008209435E-2</v>
      </c>
      <c r="D6282" s="2" t="str">
        <f t="shared" si="97"/>
        <v>Error?</v>
      </c>
      <c r="E6282" s="2" t="s">
        <v>199</v>
      </c>
    </row>
    <row r="6283" spans="1:5" x14ac:dyDescent="0.2">
      <c r="A6283">
        <v>6222</v>
      </c>
      <c r="B6283" s="138">
        <f>'Acct Summary 7-8'!J83</f>
        <v>0.3556867891513561</v>
      </c>
      <c r="D6283" s="2" t="str">
        <f t="shared" si="97"/>
        <v>Error?</v>
      </c>
      <c r="E6283" s="2" t="s">
        <v>199</v>
      </c>
    </row>
    <row r="6284" spans="1:5" x14ac:dyDescent="0.2">
      <c r="A6284">
        <v>6223</v>
      </c>
      <c r="B6284" s="138">
        <f>'Acct Summary 7-8'!K83</f>
        <v>0.31717485490067848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154368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154368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899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899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2712</v>
      </c>
      <c r="D6350" s="2" t="str">
        <f t="shared" si="98"/>
        <v>Error?</v>
      </c>
      <c r="E6350" s="2" t="s">
        <v>199</v>
      </c>
    </row>
    <row r="6351" spans="1:5" x14ac:dyDescent="0.2">
      <c r="A6351">
        <v>6290</v>
      </c>
      <c r="B6351" s="138">
        <f>'Revenues 9-14'!J108</f>
        <v>2712</v>
      </c>
      <c r="D6351" s="2" t="str">
        <f t="shared" si="98"/>
        <v>Error?</v>
      </c>
      <c r="E6351" s="2" t="s">
        <v>199</v>
      </c>
    </row>
    <row r="6352" spans="1:5" x14ac:dyDescent="0.2">
      <c r="A6352">
        <v>6291</v>
      </c>
      <c r="B6352" s="138">
        <f>'Revenues 9-14'!J109</f>
        <v>157979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79532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3550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118988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3200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6750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6750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84800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157979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19</v>
      </c>
      <c r="D7073" s="2" t="str">
        <f t="shared" si="109"/>
        <v>Error?</v>
      </c>
    </row>
    <row r="7074" spans="1:4" x14ac:dyDescent="0.2">
      <c r="A7074">
        <v>7013</v>
      </c>
      <c r="B7074" s="138">
        <f>'Expenditures 15-22'!K216</f>
        <v>19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11194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11194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29526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29526</v>
      </c>
      <c r="D7153" s="2" t="str">
        <f t="shared" si="110"/>
        <v>Error?</v>
      </c>
    </row>
    <row r="7154" spans="1:4" x14ac:dyDescent="0.2">
      <c r="A7154">
        <v>7093</v>
      </c>
      <c r="B7154" s="138">
        <f>'Expenditures 15-22'!C323</f>
        <v>17164</v>
      </c>
      <c r="D7154" s="2" t="str">
        <f t="shared" si="110"/>
        <v>Error?</v>
      </c>
    </row>
    <row r="7155" spans="1:4" x14ac:dyDescent="0.2">
      <c r="A7155">
        <v>7094</v>
      </c>
      <c r="B7155" s="138">
        <f>'Expenditures 15-22'!D323</f>
        <v>5439</v>
      </c>
      <c r="D7155" s="2" t="str">
        <f t="shared" si="110"/>
        <v>Error?</v>
      </c>
    </row>
    <row r="7156" spans="1:4" x14ac:dyDescent="0.2">
      <c r="A7156">
        <v>7095</v>
      </c>
      <c r="B7156" s="138">
        <f>'Expenditures 15-22'!E323</f>
        <v>3450</v>
      </c>
      <c r="D7156" s="2" t="str">
        <f t="shared" si="110"/>
        <v>Error?</v>
      </c>
    </row>
    <row r="7157" spans="1:4" x14ac:dyDescent="0.2">
      <c r="A7157">
        <v>7096</v>
      </c>
      <c r="B7157" s="138">
        <f>'Expenditures 15-22'!F323</f>
        <v>0</v>
      </c>
      <c r="D7157" s="2" t="str">
        <f t="shared" si="110"/>
        <v>Error?</v>
      </c>
    </row>
    <row r="7158" spans="1:4" x14ac:dyDescent="0.2">
      <c r="A7158">
        <v>7097</v>
      </c>
      <c r="B7158" s="138" t="str">
        <f>'Expenditures 15-22'!G323</f>
        <v xml:space="preserve"> </v>
      </c>
      <c r="D7158" s="2" t="e">
        <f t="shared" si="110"/>
        <v>#VALUE!</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26053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9991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9991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8036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8036</v>
      </c>
      <c r="D7198" s="2" t="str">
        <f t="shared" si="111"/>
        <v>Error?</v>
      </c>
    </row>
    <row r="7199" spans="1:4" x14ac:dyDescent="0.2">
      <c r="A7199">
        <v>7138</v>
      </c>
      <c r="B7199" s="138">
        <f>'Expenditures 15-22'!C330</f>
        <v>17164</v>
      </c>
      <c r="D7199" s="2" t="str">
        <f t="shared" si="111"/>
        <v>Error?</v>
      </c>
    </row>
    <row r="7200" spans="1:4" x14ac:dyDescent="0.2">
      <c r="A7200">
        <v>7139</v>
      </c>
      <c r="B7200" s="138">
        <f>'Expenditures 15-22'!D330</f>
        <v>5439</v>
      </c>
      <c r="D7200" s="2" t="str">
        <f t="shared" si="111"/>
        <v>Error?</v>
      </c>
    </row>
    <row r="7201" spans="1:4" x14ac:dyDescent="0.2">
      <c r="A7201">
        <v>7140</v>
      </c>
      <c r="B7201" s="138">
        <f>'Expenditures 15-22'!E330</f>
        <v>62197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84800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17164</v>
      </c>
      <c r="D7216" s="2" t="str">
        <f t="shared" si="111"/>
        <v>Error?</v>
      </c>
    </row>
    <row r="7217" spans="1:4" x14ac:dyDescent="0.2">
      <c r="A7217">
        <v>7156</v>
      </c>
      <c r="B7217" s="138">
        <f>'Expenditures 15-22'!D342</f>
        <v>5439</v>
      </c>
      <c r="D7217" s="2" t="str">
        <f t="shared" si="111"/>
        <v>Error?</v>
      </c>
    </row>
    <row r="7218" spans="1:4" x14ac:dyDescent="0.2">
      <c r="A7218">
        <v>7157</v>
      </c>
      <c r="B7218" s="138">
        <f>'Expenditures 15-22'!E342</f>
        <v>62197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84800</v>
      </c>
      <c r="D7224" s="2" t="str">
        <f t="shared" si="111"/>
        <v>Error?</v>
      </c>
    </row>
    <row r="7225" spans="1:4" x14ac:dyDescent="0.2">
      <c r="A7225">
        <v>7164</v>
      </c>
      <c r="B7225" s="138">
        <f>'Expenditures 15-22'!K343</f>
        <v>73179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21865</v>
      </c>
      <c r="D7246" s="2" t="str">
        <f t="shared" si="112"/>
        <v>Error?</v>
      </c>
    </row>
    <row r="7247" spans="1:4" x14ac:dyDescent="0.2">
      <c r="A7247">
        <f t="shared" si="113"/>
        <v>7186</v>
      </c>
      <c r="B7247" s="138">
        <f>'Expenditures 15-22'!E7</f>
        <v>7463</v>
      </c>
      <c r="D7247" s="2" t="str">
        <f t="shared" si="112"/>
        <v>Error?</v>
      </c>
    </row>
    <row r="7248" spans="1:4" x14ac:dyDescent="0.2">
      <c r="A7248">
        <f t="shared" si="113"/>
        <v>7187</v>
      </c>
      <c r="B7248" s="138">
        <f>'Expenditures 15-22'!F7</f>
        <v>6578</v>
      </c>
      <c r="D7248" s="2" t="str">
        <f t="shared" si="112"/>
        <v>Error?</v>
      </c>
    </row>
    <row r="7249" spans="1:4" x14ac:dyDescent="0.2">
      <c r="A7249">
        <f t="shared" si="113"/>
        <v>7188</v>
      </c>
      <c r="B7249" s="138" t="str">
        <f>'Expenditures 15-22'!G7</f>
        <v xml:space="preserve"> </v>
      </c>
      <c r="D7249" s="2" t="e">
        <f t="shared" si="112"/>
        <v>#VALUE!</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6750</v>
      </c>
      <c r="D7624" s="2" t="str">
        <f t="shared" si="124"/>
        <v>Error?</v>
      </c>
      <c r="E7624" s="2" t="s">
        <v>19</v>
      </c>
    </row>
    <row r="7625" spans="1:5" x14ac:dyDescent="0.2">
      <c r="A7625">
        <f t="shared" si="123"/>
        <v>7564</v>
      </c>
      <c r="B7625" s="138">
        <f>'Cap Outlay Deprec 26'!I17</f>
        <v>675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79548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9203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313653</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192890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St Anne CCSD 256</v>
      </c>
      <c r="B7" s="2424"/>
      <c r="C7" s="2424"/>
      <c r="D7" s="2425"/>
      <c r="E7" s="2426">
        <f>COVER!A13</f>
        <v>32046256004</v>
      </c>
      <c r="F7" s="2427"/>
      <c r="G7" s="2433" t="str">
        <f>COVER!T23</f>
        <v>065-018319</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Russell Leigh &amp; Associates</v>
      </c>
      <c r="H9" s="2439"/>
      <c r="I9" s="2439"/>
      <c r="J9" s="2439"/>
      <c r="K9" s="2439"/>
      <c r="L9" s="2440"/>
    </row>
    <row r="10" spans="1:29" ht="13.5" customHeight="1" x14ac:dyDescent="0.2">
      <c r="A10" s="2413" t="str">
        <f>COVER!A38</f>
        <v>Charles Stegall</v>
      </c>
      <c r="B10" s="2414"/>
      <c r="C10" s="2414"/>
      <c r="D10" s="2414"/>
      <c r="E10" s="2414"/>
      <c r="F10" s="2415"/>
      <c r="G10" s="2407" t="str">
        <f>COVER!T17</f>
        <v>228 E Main St</v>
      </c>
      <c r="H10" s="2408"/>
      <c r="I10" s="2408"/>
      <c r="J10" s="2408"/>
      <c r="K10" s="2408"/>
      <c r="L10" s="2409"/>
    </row>
    <row r="11" spans="1:29" ht="13.5" customHeight="1" x14ac:dyDescent="0.2">
      <c r="A11" s="1185" t="s">
        <v>1599</v>
      </c>
      <c r="B11" s="1186"/>
      <c r="C11" s="1187"/>
      <c r="D11" s="1192"/>
      <c r="E11" s="1187"/>
      <c r="F11" s="1191"/>
      <c r="G11" s="2407" t="str">
        <f>COVER!T19</f>
        <v>Hoopeston</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addredmin@russleigh.comss:</v>
      </c>
      <c r="J13" s="2420"/>
      <c r="K13" s="2420"/>
      <c r="L13" s="2421"/>
    </row>
    <row r="14" spans="1:29" ht="13.5" customHeight="1" x14ac:dyDescent="0.2">
      <c r="A14" s="2407" t="str">
        <f>COVER!A19</f>
        <v>233 St Louis Ave</v>
      </c>
      <c r="B14" s="2408"/>
      <c r="C14" s="2408"/>
      <c r="D14" s="2408"/>
      <c r="E14" s="2408"/>
      <c r="F14" s="2409"/>
      <c r="G14" s="1196" t="s">
        <v>1247</v>
      </c>
      <c r="H14" s="1194"/>
      <c r="I14" s="1194"/>
      <c r="J14" s="1194"/>
      <c r="K14" s="1194"/>
      <c r="L14" s="1195"/>
    </row>
    <row r="15" spans="1:29" ht="13.5" customHeight="1" x14ac:dyDescent="0.2">
      <c r="A15" s="2407" t="str">
        <f>COVER!A21</f>
        <v>St Anne</v>
      </c>
      <c r="B15" s="2408"/>
      <c r="C15" s="2408"/>
      <c r="D15" s="2408"/>
      <c r="E15" s="2408"/>
      <c r="F15" s="2409"/>
      <c r="G15" s="2404" t="str">
        <f>COVER!T15</f>
        <v>Russ Leigh</v>
      </c>
      <c r="H15" s="2405"/>
      <c r="I15" s="2405"/>
      <c r="J15" s="2405"/>
      <c r="K15" s="2405"/>
      <c r="L15" s="2406"/>
    </row>
    <row r="16" spans="1:29" ht="12.2" customHeight="1" x14ac:dyDescent="0.2">
      <c r="A16" s="2429">
        <f>COVER!A25</f>
        <v>60964</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217-283-9336</v>
      </c>
      <c r="H18" s="2424"/>
      <c r="I18" s="2424"/>
      <c r="J18" s="2424"/>
      <c r="K18" s="2423" t="str">
        <f>COVER!X21</f>
        <v>217-283-9736</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St Anne CCSD 256</v>
      </c>
      <c r="B1" s="2422"/>
      <c r="C1" s="2422"/>
      <c r="D1" s="2422"/>
    </row>
    <row r="2" spans="1:11" s="1215" customFormat="1" ht="12.75" x14ac:dyDescent="0.2">
      <c r="A2" s="2446">
        <f>'Single Audit Cover'!E7</f>
        <v>32046256004</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St Anne CCSD 256</v>
      </c>
      <c r="B1" s="2449"/>
      <c r="C1" s="2449"/>
      <c r="D1" s="2449"/>
      <c r="E1" s="2449"/>
    </row>
    <row r="2" spans="1:5" x14ac:dyDescent="0.2">
      <c r="A2" s="2450">
        <f>'Single Audit Cover'!E7</f>
        <v>32046256004</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319650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-12686</v>
      </c>
    </row>
    <row r="19" spans="1:4" ht="13.5" thickBot="1" x14ac:dyDescent="0.25">
      <c r="A19" s="1265" t="s">
        <v>1297</v>
      </c>
      <c r="D19" s="1266">
        <f>SUM(D10:D17)</f>
        <v>306964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306964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306964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St Anne CCSD 256</v>
      </c>
      <c r="B1" s="2462"/>
      <c r="C1" s="2462"/>
      <c r="D1" s="2462"/>
      <c r="E1" s="2462"/>
      <c r="F1" s="2462"/>
    </row>
    <row r="2" spans="1:7" ht="13.5" customHeight="1" x14ac:dyDescent="0.2">
      <c r="A2" s="2463">
        <f>'Single Audit Cover'!E7</f>
        <v>32046256004</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6">
        <f>+C33+C34</f>
        <v>0</v>
      </c>
      <c r="F34" s="2457"/>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70"/>
      <c r="C50" s="1870"/>
      <c r="D50" s="1870"/>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St Anne CCSD 256</v>
      </c>
      <c r="C1" s="2466"/>
      <c r="D1" s="2466"/>
      <c r="E1" s="2466"/>
      <c r="F1" s="2466"/>
      <c r="G1" s="2466"/>
      <c r="H1" s="2466"/>
      <c r="I1" s="2466"/>
      <c r="J1" s="2466"/>
      <c r="K1" s="2466"/>
      <c r="L1" s="2466"/>
      <c r="M1" s="2466"/>
    </row>
    <row r="2" spans="2:14" ht="15" x14ac:dyDescent="0.2">
      <c r="B2" s="2463">
        <f>'Single Audit Cover'!E7</f>
        <v>32046256004</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St Anne CCSD 256</v>
      </c>
      <c r="C1" s="2481"/>
      <c r="D1" s="2481"/>
      <c r="E1" s="2481"/>
      <c r="F1" s="2481"/>
      <c r="G1" s="2481"/>
      <c r="H1" s="2481"/>
      <c r="I1" s="2481"/>
      <c r="J1" s="1422"/>
    </row>
    <row r="2" spans="2:10" s="317" customFormat="1" ht="12.75" customHeight="1" x14ac:dyDescent="0.2">
      <c r="B2" s="2482">
        <f>'Single Audit Cover'!E7</f>
        <v>32046256004</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1952</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St Anne CCSD 256</v>
      </c>
      <c r="C1" s="2480"/>
      <c r="D1" s="2480"/>
      <c r="E1" s="2480"/>
      <c r="F1" s="2480"/>
      <c r="G1" s="2480"/>
      <c r="H1" s="2480"/>
      <c r="I1" s="2480"/>
      <c r="J1" s="2480"/>
      <c r="K1" s="2480"/>
      <c r="L1" s="1374"/>
      <c r="M1" s="1374"/>
    </row>
    <row r="2" spans="1:13" ht="12" customHeight="1" x14ac:dyDescent="0.2">
      <c r="B2" s="2482">
        <f>'Single Audit Cover'!E7</f>
        <v>32046256004</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St Anne CCSD 256</v>
      </c>
      <c r="C1" s="2503"/>
      <c r="D1" s="2503"/>
      <c r="E1" s="2503"/>
      <c r="F1" s="2503"/>
      <c r="G1" s="2503"/>
      <c r="H1" s="2503"/>
      <c r="I1" s="2503"/>
      <c r="J1" s="2503"/>
      <c r="K1" s="2503"/>
      <c r="L1" s="1465"/>
    </row>
    <row r="2" spans="1:12" ht="12.75" customHeight="1" x14ac:dyDescent="0.2">
      <c r="B2" s="2504">
        <f>'Single Audit Cover'!E7</f>
        <v>32046256004</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St Anne CCSD 256</v>
      </c>
      <c r="C1" s="2480"/>
      <c r="D1" s="2480"/>
      <c r="E1" s="1491"/>
    </row>
    <row r="2" spans="2:5" s="1282" customFormat="1" ht="12.75" customHeight="1" x14ac:dyDescent="0.2">
      <c r="B2" s="2482">
        <f>'Single Audit Cover'!E7</f>
        <v>32046256004</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4F8B6-F742-48D8-9F13-1076A7DC5E6F}">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d21dc803-237d-4c68-8692-8d731fd29118"/>
    <ds:schemaRef ds:uri="4d435f69-8686-490b-bd6d-b153bf22ab50"/>
    <ds:schemaRef ds:uri="http://purl.org/dc/elements/1.1/"/>
    <ds:schemaRef ds:uri="6ce3111e-7420-4802-b50a-75d4e9a0b980"/>
    <ds:schemaRef ds:uri="http://schemas.microsoft.com/sharepoint/v3"/>
    <ds:schemaRef ds:uri="http://purl.org/dc/dcmitype/"/>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2018-09-20T19:23:25Z</cp:lastPrinted>
  <dcterms:created xsi:type="dcterms:W3CDTF">2003-10-29T19:06:34Z</dcterms:created>
  <dcterms:modified xsi:type="dcterms:W3CDTF">2018-11-28T21:51:26Z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