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81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mak">#REF!</definedName>
    <definedName name="mlk" localSheetId="30">#REF!</definedName>
    <definedName name="mlk">#REF!</definedName>
    <definedName name="_xlnm.Print_Area" localSheetId="28">' SEFA'!$B$1:$M$47</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test" localSheetId="30">#REF!</definedName>
    <definedName name="test">#REF!</definedName>
    <definedName name="xxx">#REF!</definedName>
    <definedName name="xxxx">#REF!</definedName>
  </definedNames>
  <calcPr calcId="162913" iterate="1" iterateCount="1" calcOnSave="0"/>
</workbook>
</file>

<file path=xl/calcChain.xml><?xml version="1.0" encoding="utf-8"?>
<calcChain xmlns="http://schemas.openxmlformats.org/spreadsheetml/2006/main">
  <c r="L26" i="179" l="1"/>
  <c r="I23" i="184"/>
  <c r="K23" i="184"/>
  <c r="G23" i="184"/>
  <c r="F23" i="184"/>
  <c r="E23" i="184"/>
  <c r="K18" i="184"/>
  <c r="K24" i="184" s="1"/>
  <c r="I18" i="184"/>
  <c r="I24" i="184" s="1"/>
  <c r="G18" i="184"/>
  <c r="G24" i="184" s="1"/>
  <c r="F18" i="184"/>
  <c r="E18" i="184"/>
  <c r="E24" i="184" s="1"/>
  <c r="F24" i="183"/>
  <c r="G24" i="183"/>
  <c r="I24" i="183"/>
  <c r="K24" i="183"/>
  <c r="E24" i="183"/>
  <c r="K17" i="183"/>
  <c r="I17" i="183"/>
  <c r="G17" i="183"/>
  <c r="F17" i="183"/>
  <c r="E17" i="183"/>
  <c r="F24" i="184" l="1"/>
  <c r="F27" i="179"/>
  <c r="G27" i="179"/>
  <c r="I27" i="179"/>
  <c r="E27" i="179"/>
  <c r="K18" i="179"/>
  <c r="I18" i="179"/>
  <c r="G18" i="179"/>
  <c r="F18" i="179"/>
  <c r="E18" i="179"/>
  <c r="F15" i="179"/>
  <c r="G15" i="179"/>
  <c r="I15" i="179"/>
  <c r="K15" i="179"/>
  <c r="E15" i="179"/>
  <c r="G18" i="183" l="1"/>
  <c r="G12" i="183"/>
  <c r="E12" i="183"/>
  <c r="E18" i="183" s="1"/>
  <c r="F12" i="183"/>
  <c r="I12" i="183"/>
  <c r="I18" i="183" s="1"/>
  <c r="G26" i="184" l="1"/>
  <c r="F18" i="183"/>
  <c r="F26" i="184" s="1"/>
  <c r="D35" i="171" s="1"/>
  <c r="E26" i="184"/>
  <c r="I26" i="184"/>
  <c r="K27" i="179" l="1"/>
  <c r="L27"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7" i="183"/>
  <c r="L16" i="183"/>
  <c r="L15" i="183"/>
  <c r="L14" i="183"/>
  <c r="L13" i="183"/>
  <c r="L11" i="183"/>
  <c r="B4" i="183"/>
  <c r="K12" i="183" l="1"/>
  <c r="K18" i="183" s="1"/>
  <c r="L18" i="183" s="1"/>
  <c r="D182" i="34"/>
  <c r="L12" i="183" l="1"/>
  <c r="K26" i="184"/>
  <c r="L26" i="184"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8"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4"/>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F136" i="34"/>
  <c r="F130" i="34"/>
  <c r="F127" i="34"/>
  <c r="B5847" i="106"/>
  <c r="D5847" i="106" s="1"/>
  <c r="B5752" i="106"/>
  <c r="D5752" i="106" s="1"/>
  <c r="B5599" i="106"/>
  <c r="D5599" i="106" s="1"/>
  <c r="K274" i="5"/>
  <c r="H173" i="5"/>
  <c r="B5906" i="106" s="1"/>
  <c r="D5906" i="106" s="1"/>
  <c r="F106" i="34"/>
  <c r="D7" i="7"/>
  <c r="B1763" i="106" s="1"/>
  <c r="D1763" i="106" s="1"/>
  <c r="H6" i="4"/>
  <c r="B2656" i="106" s="1"/>
  <c r="D2656" i="106" s="1"/>
  <c r="D17" i="7"/>
  <c r="B4104" i="106" s="1"/>
  <c r="D4104" i="106" s="1"/>
  <c r="D12" i="7"/>
  <c r="B1769" i="106" s="1"/>
  <c r="D1769" i="106" s="1"/>
  <c r="D11" i="7"/>
  <c r="B1768" i="106" s="1"/>
  <c r="D1768" i="106" s="1"/>
  <c r="D15" i="7"/>
  <c r="B1772" i="106" s="1"/>
  <c r="D1772" i="106" s="1"/>
  <c r="K173" i="5" l="1"/>
  <c r="K6" i="4" s="1"/>
  <c r="B3570" i="106" s="1"/>
  <c r="D3570" i="106" s="1"/>
  <c r="D109" i="5"/>
  <c r="B5356" i="106" s="1"/>
  <c r="D5356" i="106" s="1"/>
  <c r="F111" i="34"/>
  <c r="F131" i="34"/>
  <c r="B5770" i="106"/>
  <c r="D5770" i="106" s="1"/>
  <c r="K28" i="118"/>
  <c r="O27" i="118" s="1"/>
  <c r="O29" i="118" s="1"/>
  <c r="I173" i="5"/>
  <c r="B4216" i="106" s="1"/>
  <c r="D4216" i="106" s="1"/>
  <c r="F172" i="5"/>
  <c r="B5644" i="106" s="1"/>
  <c r="D5644" i="106" s="1"/>
  <c r="E109" i="5"/>
  <c r="E4" i="4" s="1"/>
  <c r="B2630" i="106" s="1"/>
  <c r="D2630" i="106" s="1"/>
  <c r="H342" i="29"/>
  <c r="D7245" i="106"/>
  <c r="B3649" i="106"/>
  <c r="D3649" i="106" s="1"/>
  <c r="G367" i="29"/>
  <c r="B3621" i="106"/>
  <c r="D3621" i="106" s="1"/>
  <c r="C367" i="29"/>
  <c r="K285" i="29"/>
  <c r="K76" i="4"/>
  <c r="B3586" i="106" s="1"/>
  <c r="D3586" i="106" s="1"/>
  <c r="L13" i="11"/>
  <c r="B2060" i="106" s="1"/>
  <c r="D2060" i="106" s="1"/>
  <c r="F19" i="7"/>
  <c r="B1807" i="106" s="1"/>
  <c r="D1807" i="106" s="1"/>
  <c r="C342" i="29"/>
  <c r="B7216" i="106" s="1"/>
  <c r="D7216" i="106" s="1"/>
  <c r="B1410" i="106"/>
  <c r="D1410" i="106" s="1"/>
  <c r="K184" i="29"/>
  <c r="F13" i="4" s="1"/>
  <c r="B2596" i="106" s="1"/>
  <c r="D2596" i="106" s="1"/>
  <c r="E174" i="29"/>
  <c r="B1309" i="106" s="1"/>
  <c r="D1309" i="106" s="1"/>
  <c r="B1329" i="106"/>
  <c r="D1329" i="106" s="1"/>
  <c r="F61" i="34"/>
  <c r="G30" i="108"/>
  <c r="G29" i="108"/>
  <c r="E29" i="108"/>
  <c r="F38" i="34"/>
  <c r="F34" i="34"/>
  <c r="C172" i="5"/>
  <c r="B5214" i="106" s="1"/>
  <c r="D5214" i="106" s="1"/>
  <c r="C109" i="5"/>
  <c r="B5121" i="106" s="1"/>
  <c r="D5121" i="106" s="1"/>
  <c r="H109" i="5"/>
  <c r="B6025" i="106" s="1"/>
  <c r="D6025" i="106" s="1"/>
  <c r="D9" i="7"/>
  <c r="B1767" i="106" s="1"/>
  <c r="D1767" i="106" s="1"/>
  <c r="G109" i="5"/>
  <c r="B6024" i="106" s="1"/>
  <c r="D6024" i="106" s="1"/>
  <c r="B1746" i="106"/>
  <c r="D1746" i="106" s="1"/>
  <c r="D4" i="4"/>
  <c r="B2564" i="106" s="1"/>
  <c r="D2564" i="106" s="1"/>
  <c r="B5087" i="106"/>
  <c r="D5087" i="106" s="1"/>
  <c r="L367" i="29"/>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F73" i="34" l="1"/>
  <c r="G15" i="4"/>
  <c r="B6032" i="106" s="1"/>
  <c r="D6032" i="106" s="1"/>
  <c r="D44" i="36"/>
  <c r="B3724" i="106"/>
  <c r="D3724" i="106" s="1"/>
  <c r="H367" i="29"/>
  <c r="B3660" i="106" s="1"/>
  <c r="D3660" i="106" s="1"/>
  <c r="D19" i="7"/>
  <c r="B1775" i="106" s="1"/>
  <c r="D1775" i="106" s="1"/>
  <c r="K342" i="29"/>
  <c r="F13" i="34" s="1"/>
  <c r="C114" i="29"/>
  <c r="B757" i="106" s="1"/>
  <c r="D757" i="106" s="1"/>
  <c r="F275" i="5"/>
  <c r="B5653" i="106"/>
  <c r="D5653" i="106" s="1"/>
  <c r="C173" i="5"/>
  <c r="H4" i="4"/>
  <c r="B2655" i="106" s="1"/>
  <c r="D2655" i="106" s="1"/>
  <c r="G4" i="4"/>
  <c r="B2603" i="106" s="1"/>
  <c r="D2603"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J17" i="4" l="1"/>
  <c r="B6227" i="106" s="1"/>
  <c r="D6227" i="106" s="1"/>
  <c r="H8" i="4"/>
  <c r="H10" i="4" s="1"/>
  <c r="B4127" i="106" s="1"/>
  <c r="D4127" i="106" s="1"/>
  <c r="G41" i="108"/>
  <c r="G44" i="108" s="1"/>
  <c r="G45" i="108" s="1"/>
  <c r="E41" i="108"/>
  <c r="E44" i="108" s="1"/>
  <c r="E45" i="108" s="1"/>
  <c r="B5223" i="106"/>
  <c r="D5223" i="106" s="1"/>
  <c r="C6" i="4"/>
  <c r="B2553" i="106" s="1"/>
  <c r="D2553" i="106" s="1"/>
  <c r="B2658" i="106"/>
  <c r="D2658"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7" i="179"/>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<sst xmlns="http://schemas.openxmlformats.org/spreadsheetml/2006/main" count="5394" uniqueCount="2202">
  <si>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</si>
  <si>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</si>
  <si>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</si>
  <si>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</si>
  <si>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</si>
  <si>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</si>
  <si>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</si>
  <si>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</si>
  <si>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</si>
  <si>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</si>
  <si>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</si>
  <si>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</si>
  <si>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</si>
  <si>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</si>
  <si>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</si>
  <si>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</si>
  <si>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</si>
  <si>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</si>
  <si>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</si>
  <si>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</si>
  <si>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</si>
  <si>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</si>
  <si>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</si>
  <si>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</si>
  <si>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</si>
  <si>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</si>
  <si>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</si>
  <si>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</si>
  <si>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</si>
  <si>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</si>
  <si>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</si>
  <si>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</si>
  <si>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</si>
  <si>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</si>
  <si>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</si>
  <si>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</si>
  <si>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</si>
  <si>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</si>
  <si>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</si>
  <si>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</si>
  <si>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</si>
  <si>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</si>
  <si>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</si>
  <si>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</si>
  <si>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</si>
  <si>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</si>
  <si>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</si>
  <si>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</si>
  <si>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</si>
  <si>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</si>
  <si>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</si>
  <si>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</si>
  <si>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</si>
  <si>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</si>
  <si>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</si>
  <si>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</si>
  <si>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</si>
  <si>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</si>
  <si>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</si>
  <si>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</si>
  <si>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</si>
  <si>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</si>
  <si>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</si>
  <si>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</si>
  <si>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</si>
  <si>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</si>
  <si>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</si>
  <si>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</si>
  <si>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</si>
  <si>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</si>
  <si>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</si>
  <si>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</si>
  <si>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</si>
  <si>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</si>
  <si>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</si>
  <si>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</si>
  <si>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</si>
  <si>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</si>
  <si>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</si>
  <si>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</si>
  <si>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</si>
  <si>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</si>
  <si>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</si>
  <si>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</si>
  <si>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</si>
  <si>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</si>
  <si>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</si>
  <si>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</si>
  <si>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</si>
  <si>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</si>
  <si>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</si>
  <si>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</si>
  <si>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</si>
  <si>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</si>
  <si>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</si>
  <si>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</si>
  <si>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</si>
  <si>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</si>
  <si>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</si>
  <si>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</si>
  <si>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</si>
  <si>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</si>
  <si>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</si>
  <si>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</si>
  <si>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</si>
  <si>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</si>
  <si>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</si>
  <si>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</si>
  <si>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</si>
  <si>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</si>
  <si>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</si>
  <si>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</si>
  <si>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</si>
  <si>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</si>
  <si>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</si>
  <si>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</si>
  <si>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</si>
  <si>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</si>
  <si>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</si>
  <si>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</si>
  <si>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</si>
  <si>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</si>
  <si>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</si>
  <si>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</si>
  <si>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</si>
  <si>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</si>
  <si>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</si>
  <si>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</si>
  <si>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</si>
  <si>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</si>
  <si>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</si>
  <si>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</si>
  <si>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</si>
  <si>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</si>
  <si>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</si>
  <si>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</si>
  <si>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</si>
  <si>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</si>
  <si>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</si>
  <si>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</si>
  <si>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</si>
  <si>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</si>
  <si>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</si>
  <si>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</si>
  <si>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</si>
  <si>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</si>
  <si>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</si>
  <si>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</si>
  <si>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</si>
  <si>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</si>
  <si>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</si>
  <si>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</si>
  <si>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</si>
  <si>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</si>
  <si>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</si>
  <si>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</si>
  <si>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</si>
  <si>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</si>
  <si>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</si>
  <si>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</si>
  <si>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</si>
  <si>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</si>
  <si>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</si>
  <si>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</si>
  <si>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</si>
  <si>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</si>
  <si>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</si>
  <si>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</si>
  <si>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</si>
  <si>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</si>
  <si>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</si>
  <si>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</si>
  <si>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</si>
  <si>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</si>
  <si>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</si>
  <si>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</si>
  <si>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</si>
  <si>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</si>
  <si>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</si>
  <si>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</si>
  <si>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</si>
  <si>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</si>
  <si>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</si>
  <si>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</si>
  <si>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</si>
  <si>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</si>
  <si>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</si>
  <si>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</si>
  <si>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</si>
  <si>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</si>
  <si>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</si>
  <si>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</si>
  <si>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</si>
  <si>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</si>
  <si>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</si>
  <si>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</si>
  <si>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</si>
  <si>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</si>
  <si>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</si>
  <si>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</si>
  <si>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</si>
  <si>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</si>
  <si>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</si>
  <si>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</si>
  <si>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</si>
  <si>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</si>
  <si>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</si>
  <si>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</si>
  <si>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</si>
  <si>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</si>
  <si>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</si>
  <si>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</si>
  <si>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</si>
  <si>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</si>
  <si>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</si>
  <si>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</si>
  <si>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</si>
  <si>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</si>
  <si>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</si>
  <si>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</si>
  <si>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</si>
  <si>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</si>
  <si>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</si>
  <si>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</si>
  <si>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</si>
  <si>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</si>
  <si>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</si>
  <si>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</si>
  <si>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</si>
  <si>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</si>
  <si>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</si>
  <si>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</si>
  <si>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</si>
  <si>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</si>
  <si>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</si>
  <si>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</si>
  <si>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</si>
  <si>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</si>
  <si>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</si>
  <si>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</si>
  <si>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</si>
  <si>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</si>
  <si>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</si>
  <si>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</si>
  <si>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</si>
  <si>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</si>
  <si>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</si>
  <si>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</si>
  <si>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</si>
  <si>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</si>
  <si>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</si>
  <si>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</si>
  <si>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</si>
  <si>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</si>
  <si>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</si>
  <si>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</si>
  <si>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</si>
  <si>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</si>
  <si>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</si>
  <si>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</si>
  <si>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</si>
  <si>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</si>
  <si>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</si>
  <si>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</si>
  <si>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</si>
  <si>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</si>
  <si>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</si>
  <si>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</si>
  <si>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</si>
  <si>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</si>
  <si>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</si>
  <si>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</si>
  <si>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</si>
  <si>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</si>
  <si>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</si>
  <si>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</si>
  <si>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</si>
  <si>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</si>
  <si>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</si>
  <si>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</si>
  <si>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</si>
  <si>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</si>
  <si>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</si>
  <si>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</si>
  <si>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</si>
  <si>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</si>
  <si>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</si>
  <si>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</si>
  <si>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</si>
  <si>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</si>
  <si>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</si>
  <si>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</si>
  <si>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</si>
  <si>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</si>
  <si>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</si>
  <si>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</si>
  <si>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</si>
  <si>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</si>
  <si>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</si>
  <si>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</si>
  <si>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</si>
  <si>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</si>
  <si>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</si>
  <si>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</si>
  <si>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</si>
  <si>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</si>
  <si>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</si>
  <si>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</si>
  <si>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</si>
  <si>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</si>
  <si>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</si>
  <si>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</si>
  <si>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</si>
  <si>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</si>
  <si>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</si>
  <si>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</si>
  <si>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</si>
  <si>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</si>
  <si>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</si>
  <si>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</si>
  <si>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</si>
  <si>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</si>
  <si>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</si>
  <si>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</si>
  <si>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</si>
  <si>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</si>
  <si>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</si>
  <si>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</si>
  <si>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</si>
  <si>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</si>
  <si>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</si>
  <si>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</si>
  <si>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</si>
  <si>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</si>
  <si>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</si>
  <si>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</si>
  <si>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</si>
  <si>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</si>
  <si>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</si>
  <si>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</si>
  <si>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</si>
  <si>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</si>
  <si>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</si>
  <si>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</si>
  <si>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</si>
  <si>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</si>
  <si>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</si>
  <si>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</si>
  <si>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</si>
  <si>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</si>
  <si>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</si>
  <si>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</si>
  <si>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</si>
  <si>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</si>
  <si>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</si>
  <si>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</si>
  <si>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</si>
  <si>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</si>
  <si>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</si>
  <si>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</si>
  <si>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</si>
  <si>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</si>
  <si>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</si>
  <si>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</si>
  <si>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</si>
  <si>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</si>
  <si>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</si>
  <si>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</si>
  <si>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</si>
  <si>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</si>
  <si>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</si>
  <si>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</si>
  <si>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</si>
  <si>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</si>
  <si>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</si>
  <si>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</si>
  <si>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</si>
  <si>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</si>
  <si>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</si>
  <si>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</si>
  <si>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</si>
  <si>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</si>
  <si>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</si>
  <si>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</si>
  <si>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</si>
  <si>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</si>
  <si>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</si>
  <si>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</si>
  <si>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</si>
  <si>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</si>
  <si>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</si>
  <si>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</si>
  <si>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</si>
  <si>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</si>
  <si>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</si>
  <si>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</si>
  <si>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</si>
  <si>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</si>
  <si>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</si>
  <si>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</si>
  <si>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</si>
  <si>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</si>
  <si>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</si>
  <si>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</si>
  <si>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</si>
  <si>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</si>
  <si>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</si>
  <si>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</si>
  <si>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</si>
  <si>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</si>
  <si>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</si>
  <si>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</si>
  <si>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</si>
  <si>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</si>
  <si>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</si>
  <si>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</si>
  <si>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</si>
  <si>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</si>
  <si>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</si>
  <si>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</si>
  <si>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</si>
  <si>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</si>
  <si>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</si>
  <si>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</si>
  <si>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</si>
  <si>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</si>
  <si>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</si>
  <si>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</si>
  <si>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</si>
  <si>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</si>
  <si>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</si>
  <si>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</si>
  <si>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</si>
  <si>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</si>
  <si>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</si>
  <si>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</si>
  <si>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</si>
  <si>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</si>
  <si>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</si>
  <si>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</si>
  <si>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</si>
  <si>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</si>
  <si>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</si>
  <si>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</si>
  <si>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</si>
  <si>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</si>
  <si>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</si>
  <si>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</si>
  <si>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</si>
  <si>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</si>
  <si>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</si>
  <si>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</si>
  <si>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</si>
  <si>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</si>
  <si>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</si>
  <si>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</si>
  <si>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</si>
  <si>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</si>
  <si>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</si>
  <si>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</si>
  <si>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</si>
  <si>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</si>
  <si>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</si>
  <si>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</si>
  <si>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</si>
  <si>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</si>
  <si>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</si>
  <si>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</si>
  <si>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</si>
  <si>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</si>
  <si>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</si>
  <si>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</si>
  <si>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</si>
  <si>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</si>
  <si>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</si>
  <si>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</si>
  <si>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</si>
  <si>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</si>
  <si>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</si>
  <si>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</si>
  <si>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</si>
  <si>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</si>
  <si>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</si>
  <si>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</si>
  <si>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</si>
  <si>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</si>
  <si>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</si>
  <si>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</si>
  <si>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</si>
  <si>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</si>
  <si>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</si>
  <si>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</si>
  <si>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</si>
  <si>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</si>
  <si>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</si>
  <si>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</si>
  <si>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</si>
  <si>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</si>
  <si>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</si>
  <si>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</si>
  <si>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</si>
  <si>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</si>
  <si>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</si>
  <si>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</si>
  <si>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</si>
  <si>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</si>
  <si>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</si>
  <si>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</si>
  <si>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</si>
  <si>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</si>
  <si>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</si>
  <si>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</si>
  <si>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</si>
  <si>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</si>
  <si>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</si>
  <si>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</si>
  <si>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</si>
  <si>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</si>
  <si>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</si>
  <si>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</si>
  <si>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</si>
  <si>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</si>
  <si>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</si>
  <si>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</si>
  <si>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</si>
  <si>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</si>
  <si>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</si>
  <si>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</si>
  <si>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</si>
  <si>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</si>
  <si>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</si>
  <si>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</si>
  <si>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</si>
  <si>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</si>
  <si>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</si>
  <si>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</si>
  <si>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</si>
  <si>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</si>
  <si>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</si>
  <si>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</si>
  <si>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</si>
  <si>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</si>
  <si>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</si>
  <si>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</si>
  <si>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</si>
  <si>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</si>
  <si>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</si>
  <si>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</si>
  <si>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</si>
  <si>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</si>
  <si>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</si>
  <si>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</si>
  <si>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</si>
  <si>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</si>
  <si>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</si>
  <si>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</si>
  <si>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</si>
  <si>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</si>
  <si>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</si>
  <si>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</si>
  <si>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</si>
  <si>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</si>
  <si>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</si>
  <si>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</si>
  <si>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</si>
  <si>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</si>
  <si>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</si>
  <si>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</si>
  <si>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</si>
  <si>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</si>
  <si>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</si>
  <si>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</si>
  <si>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</si>
  <si>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</si>
  <si>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</si>
  <si>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</si>
  <si>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</si>
  <si>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</si>
  <si>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</si>
  <si>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</si>
  <si>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</si>
  <si>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</si>
  <si>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</si>
  <si>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</si>
  <si>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</si>
  <si>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</si>
  <si>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</si>
  <si>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</si>
  <si>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</si>
  <si>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</si>
  <si>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</si>
  <si>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</si>
  <si>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</si>
  <si>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</si>
  <si>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</si>
  <si>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</si>
  <si>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</si>
  <si>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</si>
  <si>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</si>
  <si>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</si>
  <si>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</si>
  <si>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</si>
  <si>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</si>
  <si>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</si>
  <si>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</si>
  <si>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</si>
  <si>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</si>
  <si>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</si>
  <si>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</si>
  <si>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</si>
  <si>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</si>
  <si>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</si>
  <si>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</si>
  <si>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</si>
  <si>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</si>
  <si>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</si>
  <si>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</si>
  <si>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</si>
  <si>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</si>
  <si>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</si>
  <si>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</si>
  <si>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</si>
  <si>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</si>
  <si>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</si>
  <si>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</si>
  <si>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</si>
  <si>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</si>
  <si>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</si>
  <si>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</si>
  <si>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</si>
  <si>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</si>
  <si>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</si>
  <si>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</si>
  <si>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</si>
  <si>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</si>
  <si>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</si>
  <si>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</si>
  <si>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</si>
  <si>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</si>
  <si>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</si>
  <si>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</si>
  <si>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</si>
  <si>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</si>
  <si>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</si>
  <si>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</si>
  <si>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</si>
  <si>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</si>
  <si>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</si>
  <si>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</si>
  <si>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</si>
  <si>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</si>
  <si>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</si>
  <si>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</si>
  <si>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</si>
  <si>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</si>
  <si>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</si>
  <si>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</si>
  <si>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</si>
  <si>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</si>
  <si>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</si>
  <si>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</si>
  <si>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</si>
  <si>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</si>
  <si>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</si>
  <si>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</si>
  <si>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</si>
  <si>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</si>
  <si>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</si>
  <si>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</si>
  <si>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</si>
  <si>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</si>
  <si>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</si>
  <si>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</si>
  <si>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</si>
  <si>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</si>
  <si>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</si>
  <si>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</si>
  <si>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</si>
  <si>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</si>
  <si>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</si>
  <si>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</si>
  <si>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</si>
  <si>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</si>
  <si>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</si>
  <si>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</si>
  <si>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</si>
  <si>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</si>
  <si>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</si>
  <si>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</si>
  <si>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</si>
  <si>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</si>
  <si>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</si>
  <si>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</si>
  <si>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</si>
  <si>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</si>
  <si>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</si>
  <si>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</si>
  <si>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</si>
  <si>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</si>
  <si>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</si>
  <si>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</si>
  <si>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</si>
  <si>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</si>
  <si>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</si>
  <si>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</si>
  <si>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</si>
  <si>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</si>
  <si>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</si>
  <si>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</si>
  <si>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</si>
  <si>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</si>
  <si>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</si>
  <si>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</si>
  <si>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</si>
  <si>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</si>
  <si>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</si>
  <si>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</si>
  <si>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</si>
  <si>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</si>
  <si>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</si>
  <si>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</si>
  <si>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</si>
  <si>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</si>
  <si>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</si>
  <si>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</si>
  <si>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</si>
  <si>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</si>
  <si>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</si>
  <si>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</si>
  <si>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</si>
  <si>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</si>
  <si>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</si>
  <si>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</si>
  <si>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</si>
  <si>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</si>
  <si>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</si>
  <si>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</si>
  <si>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</si>
  <si>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</si>
  <si>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</si>
  <si>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</si>
  <si>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</si>
  <si>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</si>
  <si>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</si>
  <si>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</si>
  <si>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</si>
  <si>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</si>
  <si>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</si>
  <si>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</si>
  <si>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</si>
  <si>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</si>
  <si>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</si>
  <si>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</si>
  <si>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</si>
  <si>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</si>
  <si>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</si>
  <si>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</si>
  <si>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</si>
  <si>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</si>
  <si>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</si>
  <si>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</si>
  <si>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</si>
  <si>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</si>
  <si>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</si>
  <si>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</si>
  <si>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</si>
  <si>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</si>
  <si>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</si>
  <si>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</si>
  <si>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</si>
  <si>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</si>
  <si>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</si>
  <si>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</si>
  <si>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</si>
  <si>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</si>
  <si>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</si>
  <si>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</si>
  <si>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</si>
  <si>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</si>
  <si>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</si>
  <si>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</si>
  <si>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</si>
  <si>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</si>
  <si>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</si>
  <si>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</si>
  <si>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</si>
  <si>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</si>
  <si>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</si>
  <si>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</si>
  <si>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</si>
  <si>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</si>
  <si>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</si>
  <si>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</si>
  <si>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</si>
  <si>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</si>
  <si>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</si>
  <si>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</si>
  <si>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</si>
  <si>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</si>
  <si>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</si>
  <si>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</si>
  <si>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</si>
  <si>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</si>
  <si>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</si>
  <si>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</si>
  <si>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</si>
  <si>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</si>
  <si>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</si>
  <si>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</si>
  <si>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</si>
  <si>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</si>
  <si>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</si>
  <si>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</si>
  <si>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</si>
  <si>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</si>
  <si>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</si>
  <si>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</si>
  <si>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</si>
  <si>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</si>
  <si>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</si>
  <si>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</si>
  <si>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</si>
  <si>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</si>
  <si>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</si>
  <si>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</si>
  <si>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</si>
  <si>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</si>
  <si>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</si>
  <si>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</si>
  <si>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</si>
  <si>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</si>
  <si>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</si>
  <si>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</si>
  <si>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</si>
  <si>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</si>
  <si>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</si>
  <si>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</si>
  <si>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</si>
  <si>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</si>
  <si>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</si>
  <si>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</si>
  <si>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</si>
  <si>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</si>
  <si>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</si>
  <si>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</si>
  <si>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</si>
  <si>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</si>
  <si>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</si>
  <si>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</si>
  <si>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</si>
  <si>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</si>
  <si>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</si>
  <si>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</si>
  <si>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</si>
  <si>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</si>
  <si>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</si>
  <si>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</si>
  <si>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</si>
  <si>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</si>
  <si>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</si>
  <si>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</si>
  <si>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</si>
  <si>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</si>
  <si>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</si>
  <si>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</si>
  <si>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</si>
  <si>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</si>
  <si>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</si>
  <si>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</si>
  <si>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</si>
  <si>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</si>
  <si>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</si>
  <si>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</si>
  <si>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</si>
  <si>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</si>
  <si>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</si>
  <si>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</si>
  <si>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</si>
  <si>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</si>
  <si>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</si>
  <si>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</si>
  <si>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</si>
  <si>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</si>
  <si>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</si>
  <si>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</si>
  <si>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</si>
  <si>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</si>
  <si>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</si>
  <si>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</si>
  <si>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</si>
  <si>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</si>
  <si>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</si>
  <si>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</si>
  <si>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</si>
  <si>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</si>
  <si>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</si>
  <si>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</si>
  <si>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</si>
  <si>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</si>
  <si>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</si>
  <si>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</si>
  <si>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</si>
  <si>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</si>
  <si>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</si>
  <si>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</si>
  <si>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</si>
  <si>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</si>
  <si>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</si>
  <si>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</si>
  <si>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</si>
  <si>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</si>
  <si>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</si>
  <si>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</si>
  <si>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</si>
  <si>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</si>
  <si>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</si>
  <si>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</si>
  <si>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</si>
  <si>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</si>
  <si>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</si>
  <si>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</si>
  <si>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</si>
  <si>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</si>
  <si>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</si>
  <si>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</si>
  <si>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</si>
  <si>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</si>
  <si>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</si>
  <si>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</si>
  <si>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</si>
  <si>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</si>
  <si>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</si>
  <si>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</si>
  <si>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</si>
  <si>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</si>
  <si>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</si>
  <si>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</si>
  <si>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</si>
  <si>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</si>
  <si>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</si>
  <si>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</si>
  <si>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</si>
  <si>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</si>
  <si>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</si>
  <si>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</si>
  <si>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</si>
  <si>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</si>
  <si>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</si>
  <si>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</si>
  <si>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</si>
  <si>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</si>
  <si>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</si>
  <si>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</si>
  <si>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</si>
  <si>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</si>
  <si>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</si>
  <si>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</si>
  <si>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</si>
  <si>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</si>
  <si>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</si>
  <si>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</si>
  <si>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</si>
  <si>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</si>
  <si>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</si>
  <si>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</si>
  <si>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</si>
  <si>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</si>
  <si>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</si>
  <si>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</si>
  <si>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</si>
  <si>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</si>
  <si>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</si>
  <si>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</si>
  <si>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</si>
  <si>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</si>
  <si>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</si>
  <si>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</si>
  <si>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</si>
  <si>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</si>
  <si>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</si>
  <si>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</si>
  <si>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</si>
  <si>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</si>
  <si>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</si>
  <si>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</si>
  <si>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</si>
  <si>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</si>
  <si>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</si>
  <si>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</si>
  <si>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</si>
  <si>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</si>
  <si>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</si>
  <si>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</si>
  <si>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</si>
  <si>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</si>
  <si>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</si>
  <si>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</si>
  <si>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</si>
  <si>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</si>
  <si>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</si>
  <si>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</si>
  <si>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</si>
  <si>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</si>
  <si>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</si>
  <si>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</si>
  <si>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</si>
  <si>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</si>
  <si>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</si>
  <si>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</si>
  <si>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</si>
  <si>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</si>
  <si>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</si>
  <si>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</si>
  <si>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</si>
  <si>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</si>
  <si>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</si>
  <si>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</si>
  <si>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</si>
  <si>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</si>
  <si>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</si>
  <si>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</si>
  <si>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</si>
  <si>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</si>
  <si>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</si>
  <si>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</si>
  <si>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</si>
  <si>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</si>
  <si>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</si>
  <si>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</si>
  <si>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</si>
  <si>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</si>
  <si>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</si>
  <si>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</si>
  <si>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</si>
  <si>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</si>
  <si>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</si>
  <si>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</si>
  <si>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</si>
  <si>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</si>
  <si>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</si>
  <si>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</si>
  <si>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</si>
  <si>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</si>
  <si>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</si>
  <si>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</si>
  <si>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</si>
  <si>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</si>
  <si>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</si>
  <si>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</si>
  <si>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</si>
  <si>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</si>
  <si>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</si>
  <si>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</si>
  <si>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</si>
  <si>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</si>
  <si>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</si>
  <si>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</si>
  <si>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</si>
  <si>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</si>
  <si>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</si>
  <si>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</si>
  <si>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</si>
  <si>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</si>
  <si>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</si>
  <si>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</si>
  <si>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</si>
  <si>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</si>
  <si>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</si>
  <si>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</si>
  <si>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</si>
  <si>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</si>
  <si>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</si>
  <si>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</si>
  <si>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</si>
  <si>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</si>
  <si>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</si>
  <si>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</si>
  <si>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</si>
  <si>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</si>
  <si>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</si>
  <si>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</si>
  <si>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</si>
  <si>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</si>
  <si>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</si>
  <si>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</si>
  <si>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</si>
  <si>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</si>
  <si>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</si>
  <si>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</si>
  <si>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</si>
  <si>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</si>
  <si>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</si>
  <si>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</si>
  <si>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</si>
  <si>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</si>
  <si>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</si>
  <si>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</si>
  <si>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</si>
  <si>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</si>
  <si>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</si>
  <si>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</si>
  <si>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</si>
  <si>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</si>
  <si>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</si>
  <si>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</si>
  <si>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</si>
  <si>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</si>
  <si>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</si>
  <si>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</si>
  <si>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</si>
  <si>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</si>
  <si>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</si>
  <si>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</si>
  <si>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</si>
  <si>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</si>
  <si>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</si>
  <si>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</si>
  <si>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</si>
  <si>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</si>
  <si>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</si>
  <si>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</si>
  <si>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</si>
  <si>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</si>
  <si>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</si>
  <si>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</si>
  <si>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</si>
  <si>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</si>
  <si>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</si>
  <si>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</si>
  <si>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</si>
  <si>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</si>
  <si>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</si>
  <si>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</si>
  <si>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</si>
  <si>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</si>
  <si>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</si>
  <si>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</si>
  <si>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</si>
  <si>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</si>
  <si>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</si>
  <si>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</si>
  <si>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</si>
  <si>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</si>
  <si>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</si>
  <si>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</si>
  <si>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</si>
  <si>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</si>
  <si>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</si>
  <si>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</si>
  <si>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</si>
  <si>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</si>
  <si>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</si>
  <si>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</si>
  <si>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</si>
  <si>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</si>
  <si>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</si>
  <si>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</si>
  <si>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</si>
  <si>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</si>
  <si>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</si>
  <si>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</si>
  <si>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</si>
  <si>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</si>
  <si>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</si>
  <si>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</si>
  <si>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</si>
  <si>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</si>
  <si>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</si>
  <si>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</si>
  <si>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</si>
  <si>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</si>
  <si>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</si>
  <si>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</si>
  <si>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</si>
  <si>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</si>
  <si>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</si>
  <si>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</si>
  <si>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</si>
  <si>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</si>
  <si>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</si>
  <si>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</si>
  <si>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</si>
  <si>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</si>
  <si>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</si>
  <si>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</si>
  <si>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</si>
  <si>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</si>
  <si>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</si>
  <si>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</si>
  <si>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</si>
  <si>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</si>
  <si>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</si>
  <si>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</si>
  <si>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</si>
  <si>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</si>
  <si>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</si>
  <si>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</si>
  <si>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</si>
  <si>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</si>
  <si>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</si>
  <si>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</si>
  <si>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</si>
  <si>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</si>
  <si>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</si>
  <si>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</si>
  <si>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</si>
  <si>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</si>
  <si>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</si>
  <si>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</si>
  <si>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</si>
  <si>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</si>
  <si>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</si>
  <si>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</si>
  <si>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</si>
  <si>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</si>
  <si>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</si>
  <si>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</si>
  <si>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</si>
  <si>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</si>
  <si>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</si>
  <si>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</si>
  <si>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</si>
  <si>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</si>
  <si>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</si>
  <si>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</si>
  <si>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</si>
  <si>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</si>
  <si>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</si>
  <si>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</si>
  <si>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</si>
  <si>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</si>
  <si>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</si>
  <si>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</si>
  <si>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</si>
  <si>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</si>
  <si>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</si>
  <si>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</si>
  <si>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</si>
  <si>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</si>
  <si>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</si>
  <si>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</si>
  <si>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</si>
  <si>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</si>
  <si>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</si>
  <si>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</si>
  <si>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</si>
  <si>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</si>
  <si>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</si>
  <si>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</si>
  <si>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</si>
  <si>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</si>
  <si>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</si>
  <si>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</si>
  <si>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</si>
  <si>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</si>
  <si>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</si>
  <si>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</si>
  <si>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</si>
  <si>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</si>
  <si>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</si>
  <si>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</si>
  <si>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</si>
  <si>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</si>
  <si>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</si>
  <si>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</si>
  <si>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</si>
  <si>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</si>
  <si>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</si>
  <si>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</si>
  <si>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</si>
  <si>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</si>
  <si>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</si>
  <si>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</si>
  <si>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</si>
  <si>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</si>
  <si>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</si>
  <si>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</si>
  <si>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</si>
  <si>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</si>
  <si>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</si>
  <si>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</si>
  <si>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</si>
  <si>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</si>
  <si>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</si>
  <si>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</si>
  <si>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</si>
  <si>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</si>
  <si>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</si>
  <si>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</si>
  <si>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</si>
  <si>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</si>
  <si>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</si>
  <si>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</si>
  <si>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</si>
  <si>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</si>
  <si>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</si>
  <si>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</si>
  <si>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</si>
  <si>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</si>
  <si>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</si>
  <si>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</si>
  <si>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</si>
  <si>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</si>
  <si>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</si>
  <si>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</si>
  <si>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</si>
  <si>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</si>
  <si>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</si>
  <si>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</si>
  <si>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</si>
  <si>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</si>
  <si>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</si>
  <si>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</si>
  <si>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</si>
  <si>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</si>
  <si>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</si>
  <si>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</si>
  <si>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</si>
  <si>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</si>
  <si>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</si>
  <si>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</si>
  <si>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</si>
  <si>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</si>
  <si>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</si>
  <si>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</si>
  <si>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</si>
  <si>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</si>
  <si>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</si>
  <si>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</si>
  <si>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</si>
  <si>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</si>
  <si>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</si>
  <si>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</si>
  <si>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</si>
  <si>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</si>
  <si>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</si>
  <si>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</si>
  <si>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</si>
  <si>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</si>
  <si>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</si>
  <si>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</si>
  <si>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</si>
  <si>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</si>
  <si>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</si>
  <si>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</si>
  <si>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</si>
  <si>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</si>
  <si>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</si>
  <si>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</si>
  <si>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</si>
  <si>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</si>
  <si>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</si>
  <si>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</si>
  <si>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</si>
  <si>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</si>
  <si>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</si>
  <si>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</si>
  <si>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</si>
  <si>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</si>
  <si>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</si>
  <si>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</si>
  <si>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</si>
  <si>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</si>
  <si>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</si>
  <si>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</si>
  <si>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</si>
  <si>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</si>
  <si>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</si>
  <si>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</si>
  <si>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</si>
  <si>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</si>
  <si>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</si>
  <si>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</si>
  <si>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</si>
  <si>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</si>
  <si>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</si>
  <si>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</si>
  <si>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</si>
  <si>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</si>
  <si>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</si>
  <si>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</si>
  <si>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</si>
  <si>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</si>
  <si>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</si>
  <si>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</si>
  <si>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</si>
  <si>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</si>
  <si>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</si>
  <si>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</si>
  <si>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</si>
  <si>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</si>
  <si>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</si>
  <si>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</si>
  <si>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</si>
  <si>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</si>
  <si>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</si>
  <si>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</si>
  <si>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</si>
  <si>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</si>
  <si>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</si>
  <si>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</si>
  <si>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</si>
  <si>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</si>
  <si>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</si>
  <si>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</si>
  <si>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</si>
  <si>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</si>
  <si>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</si>
  <si>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</si>
  <si>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</si>
  <si>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</si>
  <si>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</si>
  <si>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</si>
  <si>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</si>
  <si>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</si>
  <si>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</si>
  <si>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</si>
  <si>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</si>
  <si>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</si>
  <si>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</si>
  <si>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</si>
  <si>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</si>
  <si>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</si>
  <si>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</si>
  <si>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</si>
  <si>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</si>
  <si>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</si>
  <si>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</si>
  <si>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</si>
  <si>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</si>
  <si>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</si>
  <si>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</si>
  <si>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</si>
  <si>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</si>
  <si>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</si>
  <si>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</si>
  <si>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</si>
  <si>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</si>
  <si>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</si>
  <si>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</si>
  <si>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</si>
  <si>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</si>
  <si>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</si>
  <si>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</si>
  <si>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</si>
  <si>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</si>
  <si>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</si>
  <si>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</si>
  <si>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</si>
  <si>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</si>
  <si>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</si>
  <si>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</si>
  <si>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</si>
  <si>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</si>
  <si>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</si>
  <si>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</si>
  <si>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</si>
  <si>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</si>
  <si>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</si>
  <si>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</si>
  <si>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</si>
  <si>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</si>
  <si>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</si>
  <si>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</si>
  <si>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</si>
  <si>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</si>
  <si>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</si>
  <si>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</si>
  <si>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</si>
  <si>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</si>
  <si>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</si>
  <si>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</si>
  <si>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</si>
  <si>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</si>
  <si>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</si>
  <si>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</si>
  <si>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</si>
  <si>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</si>
  <si>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</si>
  <si>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</si>
  <si>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</si>
  <si>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</si>
  <si>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</si>
  <si>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</si>
  <si>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</si>
  <si>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</si>
  <si>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</si>
  <si>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</si>
  <si>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</si>
  <si>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</si>
  <si>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</si>
  <si>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</si>
  <si>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</si>
  <si>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</si>
  <si>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</si>
  <si>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</si>
  <si>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</si>
  <si>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</si>
  <si>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</si>
  <si>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</si>
  <si>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</si>
  <si>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</si>
  <si>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</si>
  <si>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</si>
  <si>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</si>
  <si>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</si>
  <si>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</si>
  <si>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</si>
  <si>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</si>
  <si>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</si>
  <si>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</si>
  <si>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</si>
  <si>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</si>
  <si>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</si>
  <si>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</si>
  <si>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</si>
  <si>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</si>
  <si>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</si>
  <si>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</si>
  <si>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</si>
  <si>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</si>
  <si>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</si>
  <si>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</si>
  <si>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</si>
  <si>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</si>
  <si>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</si>
  <si>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</si>
  <si>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</si>
  <si>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</si>
  <si>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</si>
  <si>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</si>
  <si>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</si>
  <si>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</si>
  <si>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</si>
  <si>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</si>
  <si>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</si>
  <si>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</si>
  <si>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</si>
  <si>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</si>
  <si>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</si>
  <si>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</si>
  <si>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</si>
  <si>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</si>
  <si>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</si>
  <si>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</si>
  <si>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</si>
  <si>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</si>
  <si>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</si>
  <si>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</si>
  <si>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</si>
  <si>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</si>
  <si>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</si>
  <si>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</si>
  <si>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</si>
  <si>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</si>
  <si>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</si>
  <si>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</si>
  <si>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</si>
  <si>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</si>
  <si>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</si>
  <si>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</si>
  <si>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</si>
  <si>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</si>
  <si>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</si>
  <si>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</si>
  <si>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</si>
  <si>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</si>
  <si>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</si>
  <si>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</si>
  <si>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</si>
  <si>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</si>
  <si>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</si>
  <si>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</si>
  <si>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</si>
  <si>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</si>
  <si>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</si>
  <si>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</si>
  <si>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</si>
  <si>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</si>
  <si>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</si>
  <si>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</si>
  <si>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</si>
  <si>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</si>
  <si>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</si>
  <si>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</si>
  <si>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</si>
  <si>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</si>
  <si>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</si>
  <si>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</si>
  <si>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</si>
  <si>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</si>
  <si>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</si>
  <si>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</si>
  <si>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</si>
  <si>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</si>
  <si>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</si>
  <si>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</si>
  <si>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</si>
  <si>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</si>
  <si>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</si>
  <si>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</si>
  <si>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</si>
  <si>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</si>
  <si>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</si>
  <si>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</si>
  <si>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</si>
  <si>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</si>
  <si>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</si>
  <si>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</si>
  <si>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</si>
  <si>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</si>
  <si>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</si>
  <si>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</si>
  <si>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</si>
  <si>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</si>
  <si>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</si>
  <si>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</si>
  <si>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</si>
  <si>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</si>
  <si>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</si>
  <si>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</si>
  <si>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</si>
  <si>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</si>
  <si>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</si>
  <si>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</si>
  <si>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</si>
  <si>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</si>
  <si>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</si>
  <si>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</si>
  <si>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</si>
  <si>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</si>
  <si>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</si>
  <si>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</si>
  <si>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</si>
  <si>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</si>
  <si>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</si>
  <si>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</si>
  <si>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</si>
  <si>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</si>
  <si>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</si>
  <si>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</si>
  <si>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</si>
  <si>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</si>
  <si>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</si>
  <si>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</si>
  <si>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</si>
  <si>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</si>
  <si>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</si>
  <si>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</si>
  <si>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</si>
  <si>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</si>
  <si>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</si>
  <si>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</si>
  <si>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</si>
  <si>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</si>
  <si>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</si>
  <si>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</si>
  <si>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</si>
  <si>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</si>
  <si>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</si>
  <si>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</si>
  <si>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</si>
  <si>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</si>
  <si>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</si>
  <si>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</si>
  <si>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</si>
  <si>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</si>
  <si>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</si>
  <si>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</si>
  <si>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</si>
  <si>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</si>
  <si>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</si>
  <si>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</si>
  <si>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</si>
  <si>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</si>
  <si>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</si>
  <si>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</si>
  <si>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</si>
  <si>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</si>
  <si>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</si>
  <si>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</si>
  <si>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</si>
  <si>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</si>
  <si>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</si>
  <si>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</si>
  <si>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</si>
  <si>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</si>
  <si>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</si>
  <si>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</si>
  <si>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</si>
  <si>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</si>
  <si>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</si>
  <si>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</si>
  <si>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</si>
  <si>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</si>
  <si>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</si>
  <si>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</si>
  <si>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</si>
  <si>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</si>
  <si>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</si>
  <si>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</si>
  <si>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</si>
  <si>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</si>
  <si>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</si>
  <si>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</si>
  <si>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</si>
  <si>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</si>
  <si>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</si>
  <si>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</si>
  <si>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</si>
  <si>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</si>
  <si>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</si>
  <si>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</si>
  <si>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</si>
  <si>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</si>
  <si>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</si>
  <si>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</si>
  <si>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</si>
  <si>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</si>
  <si>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</si>
  <si>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</si>
  <si>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</si>
  <si>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</si>
  <si>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</si>
  <si>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</si>
  <si>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</si>
  <si>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</si>
  <si>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</si>
  <si>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</si>
  <si>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</si>
  <si>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</si>
  <si>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</si>
  <si>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</si>
  <si>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</si>
  <si>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</si>
  <si>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</si>
  <si>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</si>
  <si>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</si>
  <si>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</si>
  <si>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</si>
  <si>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</si>
  <si>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</si>
  <si>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</si>
  <si>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</si>
  <si>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</si>
  <si>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</si>
  <si>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</si>
  <si>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</si>
  <si>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</si>
  <si>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</si>
  <si>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</si>
  <si>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</si>
  <si>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</si>
  <si>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</si>
  <si>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</si>
  <si>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</si>
  <si>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</si>
  <si>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</si>
  <si>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</si>
  <si>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</si>
  <si>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</si>
  <si>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</si>
  <si>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</si>
  <si>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</si>
  <si>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</si>
  <si>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</si>
  <si>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</si>
  <si>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</si>
  <si>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</si>
  <si>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</si>
  <si>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</si>
  <si>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</si>
  <si>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</si>
  <si>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</si>
  <si>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</si>
  <si>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</si>
  <si>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</si>
  <si>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</si>
  <si>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</si>
  <si>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</si>
  <si>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</si>
  <si>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</si>
  <si>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</si>
  <si>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</si>
  <si>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</si>
  <si>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</si>
  <si>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</si>
  <si>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</si>
  <si>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</si>
  <si>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</si>
  <si>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</si>
  <si>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</si>
  <si>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</si>
  <si>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</si>
  <si>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</si>
  <si>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</si>
  <si>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</si>
  <si>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</si>
  <si>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</si>
  <si>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</si>
  <si>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</si>
  <si>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</si>
  <si>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</si>
  <si>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</si>
  <si>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</si>
  <si>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</si>
  <si>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</si>
  <si>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</si>
  <si>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</si>
  <si>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</si>
  <si>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</si>
  <si>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</si>
  <si>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</si>
  <si>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</si>
  <si>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</si>
  <si>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</si>
  <si>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</si>
  <si>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</si>
  <si>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</si>
  <si>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</si>
  <si>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</si>
  <si>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</si>
  <si>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</si>
  <si>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</si>
  <si>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</si>
  <si>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</si>
  <si>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</si>
  <si>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</si>
  <si>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</si>
  <si>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</si>
  <si>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</si>
  <si>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</si>
  <si>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</si>
  <si>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</si>
  <si>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</si>
  <si>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</si>
  <si>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</si>
  <si>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</si>
  <si>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</si>
  <si>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</si>
  <si>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</si>
  <si>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</si>
  <si>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</si>
  <si>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</si>
  <si>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</si>
  <si>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</si>
  <si>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</si>
  <si>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</si>
  <si>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</si>
  <si>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</si>
  <si>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</si>
  <si>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</si>
  <si>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</si>
  <si>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</si>
  <si>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</si>
  <si>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</si>
  <si>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</si>
  <si>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</si>
  <si>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</si>
  <si>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</si>
  <si>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</si>
  <si>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</si>
  <si>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</si>
  <si>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</si>
  <si>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</si>
  <si>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</si>
  <si>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</si>
  <si>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</si>
  <si>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</si>
  <si>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</si>
  <si>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</si>
  <si>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</si>
  <si>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</si>
  <si>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</si>
  <si>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</si>
  <si>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</si>
  <si>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</si>
  <si>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</si>
  <si>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</si>
  <si>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</si>
  <si>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</si>
  <si>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</si>
  <si>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</si>
  <si>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</si>
  <si>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</si>
  <si>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</si>
  <si>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</si>
  <si>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</si>
  <si>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</si>
  <si>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</si>
  <si>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</si>
  <si>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</si>
  <si>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</si>
  <si>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</si>
  <si>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</si>
  <si>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</si>
  <si>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</si>
  <si>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</si>
  <si>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</si>
  <si>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</si>
  <si>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</si>
  <si>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</si>
  <si>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</si>
  <si>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</si>
  <si>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</si>
  <si>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</si>
  <si>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</si>
  <si>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</si>
  <si>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</si>
  <si>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</si>
  <si>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</si>
  <si>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</si>
  <si>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</si>
  <si>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</si>
  <si>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</si>
  <si>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</si>
  <si>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</si>
  <si>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</si>
  <si>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</si>
  <si>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</si>
  <si>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</si>
  <si>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</si>
  <si>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</si>
  <si>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</si>
  <si>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</si>
  <si>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</si>
  <si>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</si>
  <si>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</si>
  <si>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</si>
  <si>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</si>
  <si>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</si>
  <si>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</si>
  <si>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</si>
  <si>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</si>
  <si>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</si>
  <si>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</si>
  <si>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</si>
  <si>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</si>
  <si>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</si>
  <si>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</si>
  <si>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</si>
  <si>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</si>
  <si>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</si>
  <si>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</si>
  <si>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</si>
  <si>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</si>
  <si>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</si>
  <si>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</si>
  <si>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</si>
  <si>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</si>
  <si>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</si>
  <si>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</si>
  <si>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</si>
  <si>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</si>
  <si>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</si>
  <si>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</si>
  <si>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</si>
  <si>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</si>
  <si>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</si>
  <si>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</si>
  <si>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</si>
  <si>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</si>
  <si>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</si>
  <si>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</si>
  <si>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</si>
  <si>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</si>
  <si>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</si>
  <si>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</si>
  <si>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</si>
  <si>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</si>
  <si>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</si>
  <si>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</si>
  <si>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</si>
  <si>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</si>
  <si>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</si>
  <si>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</si>
  <si>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</si>
  <si>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</si>
  <si>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</si>
  <si>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</si>
  <si>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</si>
  <si>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</si>
  <si>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</si>
  <si>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</si>
  <si>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</si>
  <si>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</si>
  <si>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</si>
  <si>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</si>
  <si>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</si>
  <si>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</si>
  <si>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</si>
  <si>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</si>
  <si>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</si>
  <si>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</si>
  <si>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</si>
  <si>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</si>
  <si>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</si>
  <si>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</si>
  <si>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</si>
  <si>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</si>
  <si>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</si>
  <si>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</si>
  <si>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</si>
  <si>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</si>
  <si>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</si>
  <si>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</si>
  <si>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</si>
  <si>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</si>
  <si>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</si>
  <si>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</si>
  <si>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</si>
  <si>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</si>
  <si>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</si>
  <si>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</si>
  <si>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</si>
  <si>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</si>
  <si>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</si>
  <si>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</si>
  <si>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</si>
  <si>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</si>
  <si>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</si>
  <si>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</si>
  <si>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</si>
  <si>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</si>
  <si>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</si>
  <si>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</si>
  <si>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</si>
  <si>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</si>
  <si>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</si>
  <si>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</si>
  <si>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</si>
  <si>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</si>
  <si>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</si>
  <si>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</si>
  <si>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</si>
  <si>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</si>
  <si>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</si>
  <si>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</si>
  <si>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</si>
  <si>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</si>
  <si>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</si>
  <si>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</si>
  <si>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</si>
  <si>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</si>
  <si>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</si>
  <si>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</si>
  <si>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</si>
  <si>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</si>
  <si>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</si>
  <si>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</si>
  <si>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</si>
  <si>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</si>
  <si>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</si>
  <si>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</si>
  <si>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</si>
  <si>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</si>
  <si>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</si>
  <si>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</si>
  <si>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</si>
  <si>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</si>
  <si>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</si>
  <si>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</si>
  <si>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</si>
  <si>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</si>
  <si>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</si>
  <si>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</si>
  <si>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</si>
  <si>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</si>
  <si>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</si>
  <si>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</si>
  <si>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</si>
  <si>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</si>
  <si>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</si>
  <si>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</si>
  <si>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</si>
  <si>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Marcie Meents Kolberg</t>
  </si>
  <si>
    <t>1605 North Convent</t>
  </si>
  <si>
    <t>Bourbonnais</t>
  </si>
  <si>
    <t>IL</t>
  </si>
  <si>
    <t>815-937-1997</t>
  </si>
  <si>
    <t>815-935-0360</t>
  </si>
  <si>
    <t>marciek@skdocpa.com</t>
  </si>
  <si>
    <t>X</t>
  </si>
  <si>
    <t>Dr. Gregg Murphy</t>
  </si>
  <si>
    <t>gmurphy@i-kan.org</t>
  </si>
  <si>
    <t>815-937-2950</t>
  </si>
  <si>
    <t>815-937-2921</t>
  </si>
  <si>
    <t>Kankakee</t>
  </si>
  <si>
    <t>84 North Oak Street</t>
  </si>
  <si>
    <t>Manteno</t>
  </si>
  <si>
    <t>Mrs. Lisa Harrod</t>
  </si>
  <si>
    <t>lharrod@manteno5.org</t>
  </si>
  <si>
    <t>815-928-7000</t>
  </si>
  <si>
    <t>815-468-6439</t>
  </si>
  <si>
    <t>2011A</t>
  </si>
  <si>
    <t>3, 6</t>
  </si>
  <si>
    <t>Grant Park, St. Anne, Pembroke, St. George</t>
  </si>
  <si>
    <t>Education Cooperative</t>
  </si>
  <si>
    <t>x</t>
  </si>
  <si>
    <t>HPS</t>
  </si>
  <si>
    <t>Collective Liability Insurance Cooperative</t>
  </si>
  <si>
    <t>Kankakee, BBCHS, St. George, Central SD</t>
  </si>
  <si>
    <t>US Commodities</t>
  </si>
  <si>
    <t>Kankakee Area Career Center</t>
  </si>
  <si>
    <t>I-Kan Regional Office of Education</t>
  </si>
  <si>
    <t>066-005281</t>
  </si>
  <si>
    <t>US DEPARTMENT OF EDUCATION:</t>
  </si>
  <si>
    <t>Pass through from Illinois State Board of Education</t>
  </si>
  <si>
    <t>Title I - Low income (M)</t>
  </si>
  <si>
    <t>Total CFDA 84.010</t>
  </si>
  <si>
    <t>Total CFDA 84.367</t>
  </si>
  <si>
    <t>2017-4300</t>
  </si>
  <si>
    <t>2018-4300</t>
  </si>
  <si>
    <t>2017-4932</t>
  </si>
  <si>
    <t>na</t>
  </si>
  <si>
    <t>Special Education Cluster  - IDEA:</t>
  </si>
  <si>
    <t>Special Ed - Preschool Flowthrough</t>
  </si>
  <si>
    <t>Special Ed - IDEA Flowthrough</t>
  </si>
  <si>
    <t>Total Special Education Cluster - IDEA</t>
  </si>
  <si>
    <t>2017-4600</t>
  </si>
  <si>
    <t>2018-4600</t>
  </si>
  <si>
    <t>2017-4620</t>
  </si>
  <si>
    <t>2018-4620</t>
  </si>
  <si>
    <t>Special Education IDEA Room and Board</t>
  </si>
  <si>
    <t>2016-4625</t>
  </si>
  <si>
    <t>2017-4625</t>
  </si>
  <si>
    <t>Pass through from Illinois Department of Human Services</t>
  </si>
  <si>
    <t>Vocational Rehabilitation Grants-STEP</t>
  </si>
  <si>
    <t>Total pass through from Illinois Department of Human Services</t>
  </si>
  <si>
    <t>746CVF03131</t>
  </si>
  <si>
    <t>846CWF03131</t>
  </si>
  <si>
    <t>Title IVA Student Support &amp; Academic Enrich</t>
  </si>
  <si>
    <t>2018-4400</t>
  </si>
  <si>
    <t>Total pass through from Illinois State Board of Edcuation</t>
  </si>
  <si>
    <t>Total US Department of Education</t>
  </si>
  <si>
    <t>US DEPARTMENT OF HEALTH AND HUMAN SERVICES:</t>
  </si>
  <si>
    <t>Pass through from Illinois Department of Healthcare and Family Services</t>
  </si>
  <si>
    <t>Medical Assistance Program</t>
  </si>
  <si>
    <t>Total US Department of Health and Human Services</t>
  </si>
  <si>
    <t>US DEPARTMENT OF AGRICULTURE:</t>
  </si>
  <si>
    <t>Total US Department of Agriculture</t>
  </si>
  <si>
    <t>US DEPARTMENT OF DEFENSE:</t>
  </si>
  <si>
    <t>Total US Department of Defense</t>
  </si>
  <si>
    <t>Child Nutrition Cluster (M):</t>
  </si>
  <si>
    <t>National School Lunch Program (M)</t>
  </si>
  <si>
    <t>Commodities (non cash) (M)</t>
  </si>
  <si>
    <t>2017-4210</t>
  </si>
  <si>
    <t>2018-4210</t>
  </si>
  <si>
    <t>TOTAL FEDERAL AWARDS</t>
  </si>
  <si>
    <t>Adminstrative fee related to Medical Assistance Program</t>
  </si>
  <si>
    <t>Adverse (GAAP), Unmodified (Reg Basis)</t>
  </si>
  <si>
    <t>Unmodified</t>
  </si>
  <si>
    <t>Child Nutrition Cluster</t>
  </si>
  <si>
    <t>Title I</t>
  </si>
  <si>
    <t>Treasurer's bond was inadequate to cover the bank balances during September to November 2017. The District has increased its insurance coverage.</t>
  </si>
  <si>
    <t>Santander Leasing</t>
  </si>
  <si>
    <t>Ed-Instruction-P/S</t>
  </si>
  <si>
    <t>ATI - Physical Therapy</t>
  </si>
  <si>
    <t>Trans.-Support Services-P/S</t>
  </si>
  <si>
    <t>Ed-Support Services-P/S</t>
  </si>
  <si>
    <t>Bushue Background Screening</t>
  </si>
  <si>
    <t>O&amp;M-Support Services-P/S</t>
  </si>
  <si>
    <t>Heritage FS</t>
  </si>
  <si>
    <t>Illinois Association of School Boards</t>
  </si>
  <si>
    <t>Public Consulting Group</t>
  </si>
  <si>
    <t>Protection Associates</t>
  </si>
  <si>
    <t>Riverside Audiology</t>
  </si>
  <si>
    <t>Industrial Appraisal</t>
  </si>
  <si>
    <t>School In Sites</t>
  </si>
  <si>
    <t>Simplex Grinnell</t>
  </si>
  <si>
    <t>Smith,Koelling,Dykstra,and Ohm</t>
  </si>
  <si>
    <t>Crystal Financial Consultants</t>
  </si>
  <si>
    <t>Therapy Care</t>
  </si>
  <si>
    <t>10-1000-300</t>
  </si>
  <si>
    <t>40-2550-300</t>
  </si>
  <si>
    <t>10-2640-300</t>
  </si>
  <si>
    <t>20-2540-300</t>
  </si>
  <si>
    <t>10-2300-300</t>
  </si>
  <si>
    <t>10-2100-300</t>
  </si>
  <si>
    <t>10-2200-300</t>
  </si>
  <si>
    <t>The accompanying Schedule of Expenditures of Federal Awards includes the federal grant activity of Manteno CUSD # 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</si>
  <si>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Manteno CUSD # 5 provided federal awards to subrecipients as follows:</t>
  </si>
  <si>
    <t>None</t>
  </si>
  <si>
    <r>
      <t xml:space="preserve">The following amounts were expended in the form of non-cash assistance by Manteno CUSD #5 and </t>
    </r>
    <r>
      <rPr>
        <b/>
        <sz val="9"/>
        <rFont val="Calibri"/>
        <family val="2"/>
        <scheme val="minor"/>
      </rPr>
      <t>should be</t>
    </r>
    <r>
      <rPr>
        <sz val="9"/>
        <rFont val="Calibri"/>
        <family val="2"/>
        <scheme val="minor"/>
      </rPr>
      <t xml:space="preserve"> included in the Schedule of Expenditures of Federal Awards:</t>
    </r>
  </si>
  <si>
    <t>none</t>
  </si>
  <si>
    <t>no</t>
  </si>
  <si>
    <t>NA</t>
  </si>
  <si>
    <t>#1790 - Other District/School Activity Revenue: Ed Fund: $1,550 Other; $654 Technology Fee = $2,204</t>
  </si>
  <si>
    <t>#1999 - Other Local Revenues: Ed Fund: $3,251 Other</t>
  </si>
  <si>
    <t>#1999 - Other Local Revenues: O&amp;M Fund: Other General $366; Expense Reimbursement $238 = $604</t>
  </si>
  <si>
    <t>#3999 - Other Restricted Revenue from State Sources: Ed Fund: Library Per Capita Grant $2,704</t>
  </si>
  <si>
    <t>#4999 - Other Restricted Revenue from Federal Sources: Ed Fund: STEP Grant $30,696</t>
  </si>
  <si>
    <t>#2190 - Ed Fund: Other Support Services-Pupils: (1) OT/Assistant Salaries $47,427; OT/Salaries $15,654; VI-HI-BC-AUD/Purchased Services</t>
  </si>
  <si>
    <t>$7,959 = $71,040;    (2) OT/Medical Insurance $2,701;   (3) OT/Purchased Services $1,473;   (4) OT/Supplies $4,329</t>
  </si>
  <si>
    <t>#2900 - Ed Fund: Other Support Services: (3) Other Support Services/Purchased Services $18,273</t>
  </si>
  <si>
    <t>#5400 - Debt Services Fund: Debt Services Other: (3) Other Professional and Technical Services $2,625</t>
  </si>
  <si>
    <t>#2190 - MR/SS Fund: Other Support Services-Pupils:  (2) OT/Municipal Retirement $3,868; OT/Fed Ins Cont Act Social Security $2,941;</t>
  </si>
  <si>
    <t>OT/Medicare Only $688; PT/Social Security $971; PT/Medicare Only $227 = $8,695</t>
  </si>
  <si>
    <t>2018-4932</t>
  </si>
  <si>
    <t>Total Child Nutrition Cluster (M)</t>
  </si>
  <si>
    <t>Illinois School District Liquid Asset Fund</t>
  </si>
  <si>
    <t>Manteno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</si>
</sst>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61" fillId="0" borderId="22" xfId="3" applyNumberFormat="1" applyFont="1" applyBorder="1" applyAlignment="1" applyProtection="1">
      <alignment horizontal="left" vertical="center" wrapText="1"/>
      <protection locked="0"/>
    </xf>
    <xf numFmtId="3" fontId="95"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indent="1"/>
      <protection locked="0"/>
    </xf>
    <xf numFmtId="3" fontId="70" fillId="0" borderId="22" xfId="3" applyNumberFormat="1" applyFont="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3" fontId="95" fillId="0" borderId="22" xfId="3" applyNumberFormat="1" applyFont="1" applyBorder="1" applyAlignment="1" applyProtection="1">
      <alignment horizontal="center"/>
      <protection locked="0"/>
    </xf>
    <xf numFmtId="1" fontId="59" fillId="0" borderId="22" xfId="3" applyNumberFormat="1" applyFont="1" applyFill="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84"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0" fontId="59" fillId="0" borderId="0" xfId="3" applyFont="1" applyFill="1" applyProtection="1"/>
    <xf numFmtId="0" fontId="54" fillId="0" borderId="0" xfId="3" applyFont="1" applyFill="1" applyAlignment="1" applyProtection="1">
      <alignment horizontal="center"/>
    </xf>
    <xf numFmtId="0" fontId="0" fillId="0" borderId="0" xfId="0" applyProtection="1">
      <protection locked="0"/>
    </xf>
    <xf numFmtId="181" fontId="0" fillId="0" borderId="0" xfId="0" applyNumberFormat="1" applyProtection="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9966"/>
      <color rgb="FFFFFFCC"/>
      <color rgb="FFFDDFC7"/>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199159</xdr:colOff>
          <xdr:row>3</xdr:row>
          <xdr:rowOff>25978</xdr:rowOff>
        </xdr:from>
        <xdr:to>
          <xdr:col>0</xdr:col>
          <xdr:colOff>1065934</xdr:colOff>
          <xdr:row>7</xdr:row>
          <xdr:rowOff>83128</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1226127</xdr:colOff>
          <xdr:row>3</xdr:row>
          <xdr:rowOff>43295</xdr:rowOff>
        </xdr:from>
        <xdr:to>
          <xdr:col>1</xdr:col>
          <xdr:colOff>206952</xdr:colOff>
          <xdr:row>7</xdr:row>
          <xdr:rowOff>100445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311728</xdr:colOff>
          <xdr:row>3</xdr:row>
          <xdr:rowOff>51955</xdr:rowOff>
        </xdr:from>
        <xdr:to>
          <xdr:col>2</xdr:col>
          <xdr:colOff>6062</xdr:colOff>
          <xdr:row>7</xdr:row>
          <xdr:rowOff>109105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112569</xdr:colOff>
          <xdr:row>3</xdr:row>
          <xdr:rowOff>25977</xdr:rowOff>
        </xdr:from>
        <xdr:to>
          <xdr:col>4</xdr:col>
          <xdr:colOff>101312</xdr:colOff>
          <xdr:row>7</xdr:row>
          <xdr:rowOff>83127</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2082</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2082</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32046005026</v>
      </c>
      <c r="B13" s="2045"/>
      <c r="C13" s="2045"/>
      <c r="D13" s="2045"/>
      <c r="E13" s="2045"/>
      <c r="F13" s="2045"/>
      <c r="G13" s="2045"/>
      <c r="H13" s="2046"/>
      <c r="I13" s="31"/>
      <c r="J13" s="30"/>
      <c r="K13" s="28"/>
      <c r="L13" s="30"/>
      <c r="M13" s="30"/>
      <c r="N13" s="30"/>
      <c r="O13" s="30"/>
      <c r="P13" s="30"/>
      <c r="Q13" s="30"/>
      <c r="R13" s="30"/>
      <c r="S13" s="30"/>
      <c r="T13" s="2049" t="s">
        <v>2074</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2087</v>
      </c>
      <c r="B15" s="2047"/>
      <c r="C15" s="2047"/>
      <c r="D15" s="2047"/>
      <c r="E15" s="2047"/>
      <c r="F15" s="2047"/>
      <c r="G15" s="2047"/>
      <c r="H15" s="2048"/>
      <c r="T15" s="2053" t="s">
        <v>2075</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2201</v>
      </c>
      <c r="B17" s="2004"/>
      <c r="C17" s="2004"/>
      <c r="D17" s="2004"/>
      <c r="E17" s="2004"/>
      <c r="F17" s="2004"/>
      <c r="G17" s="2004"/>
      <c r="H17" s="2029"/>
      <c r="T17" s="2060" t="s">
        <v>2076</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2088</v>
      </c>
      <c r="B19" s="1989"/>
      <c r="C19" s="1989"/>
      <c r="D19" s="1989"/>
      <c r="E19" s="1989"/>
      <c r="F19" s="1989"/>
      <c r="G19" s="1989"/>
      <c r="H19" s="1969"/>
      <c r="I19" s="30"/>
      <c r="J19" s="99"/>
      <c r="K19" s="40"/>
      <c r="L19" s="38"/>
      <c r="M19" s="112" t="s">
        <v>333</v>
      </c>
      <c r="P19" s="27"/>
      <c r="Q19" s="27"/>
      <c r="R19" s="27"/>
      <c r="S19" s="31"/>
      <c r="T19" s="2043" t="s">
        <v>2077</v>
      </c>
      <c r="U19" s="1968"/>
      <c r="V19" s="1968"/>
      <c r="W19" s="1969"/>
      <c r="X19" s="2058" t="s">
        <v>2078</v>
      </c>
      <c r="Y19" s="2059"/>
      <c r="Z19" s="2056">
        <v>60914</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2089</v>
      </c>
      <c r="B21" s="1968"/>
      <c r="C21" s="1968"/>
      <c r="D21" s="1968"/>
      <c r="E21" s="1968"/>
      <c r="F21" s="1968"/>
      <c r="G21" s="1968"/>
      <c r="H21" s="1969"/>
      <c r="I21" s="2023" t="s">
        <v>699</v>
      </c>
      <c r="J21" s="2018"/>
      <c r="K21" s="2018"/>
      <c r="L21" s="2018"/>
      <c r="M21" s="2018"/>
      <c r="N21" s="2018"/>
      <c r="O21" s="2018"/>
      <c r="P21" s="2018"/>
      <c r="Q21" s="2018"/>
      <c r="R21" s="2018"/>
      <c r="S21" s="2024"/>
      <c r="T21" s="2067" t="s">
        <v>2079</v>
      </c>
      <c r="U21" s="2068"/>
      <c r="V21" s="2068"/>
      <c r="W21" s="2068"/>
      <c r="X21" s="2073" t="s">
        <v>2080</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c r="B23" s="2021"/>
      <c r="C23" s="2021"/>
      <c r="D23" s="2021"/>
      <c r="E23" s="2021"/>
      <c r="F23" s="2021"/>
      <c r="G23" s="2021"/>
      <c r="H23" s="2022"/>
      <c r="T23" s="2003" t="s">
        <v>2105</v>
      </c>
      <c r="U23" s="2066"/>
      <c r="V23" s="2066"/>
      <c r="W23" s="2066"/>
      <c r="X23" s="2070">
        <v>43434</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v>60950</v>
      </c>
      <c r="B25" s="1968"/>
      <c r="C25" s="1968"/>
      <c r="D25" s="1968"/>
      <c r="E25" s="1968"/>
      <c r="F25" s="1968"/>
      <c r="G25" s="1968"/>
      <c r="H25" s="1969"/>
      <c r="I25" s="113"/>
      <c r="J25" s="1992"/>
      <c r="K25" s="1992"/>
      <c r="L25" s="1992"/>
      <c r="M25" s="1992"/>
      <c r="N25" s="1992"/>
      <c r="O25" s="1992"/>
      <c r="P25" s="1992"/>
      <c r="Q25" s="1992"/>
      <c r="R25" s="1992"/>
      <c r="S25" s="1993"/>
      <c r="T25" s="2063" t="s">
        <v>2081</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2090</v>
      </c>
      <c r="B38" s="2004"/>
      <c r="C38" s="2004"/>
      <c r="D38" s="2004"/>
      <c r="E38" s="2004"/>
      <c r="F38" s="1968"/>
      <c r="G38" s="1968"/>
      <c r="H38" s="1969"/>
      <c r="I38" s="1996"/>
      <c r="J38" s="1997"/>
      <c r="K38" s="1997"/>
      <c r="L38" s="1997"/>
      <c r="M38" s="1997"/>
      <c r="N38" s="1997"/>
      <c r="O38" s="1997"/>
      <c r="P38" s="1998"/>
      <c r="Q38" s="1998"/>
      <c r="R38" s="1998"/>
      <c r="S38" s="1999"/>
      <c r="T38" s="2053" t="s">
        <v>2083</v>
      </c>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2091</v>
      </c>
      <c r="B40" s="1982"/>
      <c r="C40" s="1983"/>
      <c r="D40" s="1983"/>
      <c r="E40" s="1983"/>
      <c r="F40" s="1984"/>
      <c r="G40" s="1984"/>
      <c r="H40" s="1985"/>
      <c r="I40" s="2006"/>
      <c r="J40" s="2007"/>
      <c r="K40" s="2007"/>
      <c r="L40" s="2007"/>
      <c r="M40" s="2007"/>
      <c r="N40" s="2007"/>
      <c r="O40" s="2007"/>
      <c r="P40" s="2007"/>
      <c r="Q40" s="2007"/>
      <c r="R40" s="2007"/>
      <c r="S40" s="2008"/>
      <c r="T40" s="2006" t="s">
        <v>2084</v>
      </c>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2092</v>
      </c>
      <c r="B42" s="1987"/>
      <c r="C42" s="1988"/>
      <c r="D42" s="1986" t="s">
        <v>2093</v>
      </c>
      <c r="E42" s="1987"/>
      <c r="F42" s="1987"/>
      <c r="G42" s="1987"/>
      <c r="H42" s="1988"/>
      <c r="I42" s="1970"/>
      <c r="J42" s="1971"/>
      <c r="K42" s="1971"/>
      <c r="L42" s="1971"/>
      <c r="M42" s="1971"/>
      <c r="N42" s="1971"/>
      <c r="O42" s="1972"/>
      <c r="P42" s="2005"/>
      <c r="Q42" s="1971"/>
      <c r="R42" s="1971"/>
      <c r="S42" s="1972"/>
      <c r="T42" s="1970" t="s">
        <v>2085</v>
      </c>
      <c r="U42" s="1971"/>
      <c r="V42" s="1971"/>
      <c r="W42" s="1972"/>
      <c r="X42" s="2005" t="s">
        <v>2086</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1" t="s">
        <v>1902</v>
      </c>
      <c r="B2" s="1550" t="s">
        <v>2034</v>
      </c>
      <c r="C2" s="715" t="s">
        <v>1907</v>
      </c>
      <c r="D2" s="715" t="s">
        <v>1908</v>
      </c>
      <c r="E2" s="715" t="s">
        <v>1909</v>
      </c>
      <c r="F2" s="715" t="s">
        <v>1910</v>
      </c>
    </row>
    <row r="3" spans="1:6" ht="12" customHeight="1" x14ac:dyDescent="0.2">
      <c r="A3" s="2212"/>
      <c r="B3" s="1547"/>
      <c r="C3" s="1548"/>
      <c r="D3" s="1549" t="s">
        <v>274</v>
      </c>
      <c r="E3" s="1548"/>
      <c r="F3" s="1549" t="s">
        <v>275</v>
      </c>
    </row>
    <row r="4" spans="1:6" ht="13.7" customHeight="1" x14ac:dyDescent="0.2">
      <c r="A4" s="716" t="s">
        <v>1217</v>
      </c>
      <c r="B4" s="1771">
        <f>'Revenues 9-14'!C5</f>
        <v>8605731</v>
      </c>
      <c r="C4" s="1546">
        <v>27364</v>
      </c>
      <c r="D4" s="1774">
        <f>B4-C4</f>
        <v>8578367</v>
      </c>
      <c r="E4" s="1546">
        <v>9474968</v>
      </c>
      <c r="F4" s="1774">
        <f>E4-C4</f>
        <v>9447604</v>
      </c>
    </row>
    <row r="5" spans="1:6" ht="13.7" customHeight="1" x14ac:dyDescent="0.2">
      <c r="A5" s="716" t="s">
        <v>925</v>
      </c>
      <c r="B5" s="1772">
        <f>'Revenues 9-14'!D5</f>
        <v>1658042</v>
      </c>
      <c r="C5" s="585">
        <v>5093</v>
      </c>
      <c r="D5" s="1775">
        <f t="shared" ref="D5:D18" si="0">B5-C5</f>
        <v>1652949</v>
      </c>
      <c r="E5" s="585">
        <v>1763493</v>
      </c>
      <c r="F5" s="1775">
        <f>E5-C5</f>
        <v>1758400</v>
      </c>
    </row>
    <row r="6" spans="1:6" ht="13.7" customHeight="1" x14ac:dyDescent="0.2">
      <c r="A6" s="716" t="s">
        <v>431</v>
      </c>
      <c r="B6" s="1772">
        <f>'Revenues 9-14'!E5</f>
        <v>4071260</v>
      </c>
      <c r="C6" s="585">
        <v>12385</v>
      </c>
      <c r="D6" s="1775">
        <f t="shared" si="0"/>
        <v>4058875</v>
      </c>
      <c r="E6" s="585">
        <v>4288321</v>
      </c>
      <c r="F6" s="1775">
        <f t="shared" ref="F6:F18" si="1">E6-C6</f>
        <v>4275936</v>
      </c>
    </row>
    <row r="7" spans="1:6" ht="13.7" customHeight="1" x14ac:dyDescent="0.2">
      <c r="A7" s="716" t="s">
        <v>157</v>
      </c>
      <c r="B7" s="1772">
        <f>'Revenues 9-14'!F5</f>
        <v>562857</v>
      </c>
      <c r="C7" s="585">
        <v>1696</v>
      </c>
      <c r="D7" s="1775">
        <f t="shared" si="0"/>
        <v>561161</v>
      </c>
      <c r="E7" s="585">
        <v>587106</v>
      </c>
      <c r="F7" s="1775">
        <f t="shared" si="1"/>
        <v>585410</v>
      </c>
    </row>
    <row r="8" spans="1:6" ht="13.7" customHeight="1" x14ac:dyDescent="0.2">
      <c r="A8" s="716" t="s">
        <v>1241</v>
      </c>
      <c r="B8" s="1772">
        <f>'Revenues 9-14'!G5</f>
        <v>239858</v>
      </c>
      <c r="C8" s="585">
        <v>724</v>
      </c>
      <c r="D8" s="1775">
        <f t="shared" si="0"/>
        <v>239134</v>
      </c>
      <c r="E8" s="585">
        <v>250607</v>
      </c>
      <c r="F8" s="1775">
        <f t="shared" si="1"/>
        <v>249883</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5196</v>
      </c>
      <c r="C10" s="585">
        <v>15</v>
      </c>
      <c r="D10" s="1775">
        <f t="shared" si="0"/>
        <v>5181</v>
      </c>
      <c r="E10" s="585">
        <v>5164</v>
      </c>
      <c r="F10" s="1775">
        <f t="shared" si="1"/>
        <v>5149</v>
      </c>
    </row>
    <row r="11" spans="1:6" x14ac:dyDescent="0.2">
      <c r="A11" s="716" t="s">
        <v>429</v>
      </c>
      <c r="B11" s="1772">
        <f>'Revenues 9-14'!J5</f>
        <v>283864</v>
      </c>
      <c r="C11" s="585">
        <v>830</v>
      </c>
      <c r="D11" s="1775">
        <f t="shared" si="0"/>
        <v>283034</v>
      </c>
      <c r="E11" s="585">
        <v>287301</v>
      </c>
      <c r="F11" s="1775">
        <f t="shared" si="1"/>
        <v>286471</v>
      </c>
    </row>
    <row r="12" spans="1:6" ht="13.7" customHeight="1" x14ac:dyDescent="0.2">
      <c r="A12" s="716" t="s">
        <v>159</v>
      </c>
      <c r="B12" s="1772">
        <f>'Revenues 9-14'!K5</f>
        <v>49350</v>
      </c>
      <c r="C12" s="585">
        <v>0</v>
      </c>
      <c r="D12" s="1775">
        <f t="shared" si="0"/>
        <v>49350</v>
      </c>
      <c r="E12" s="585">
        <v>0</v>
      </c>
      <c r="F12" s="1775">
        <f t="shared" si="1"/>
        <v>0</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536626</v>
      </c>
      <c r="C14" s="585">
        <v>0</v>
      </c>
      <c r="D14" s="1775">
        <f t="shared" si="0"/>
        <v>536626</v>
      </c>
      <c r="E14" s="585">
        <v>0</v>
      </c>
      <c r="F14" s="1775">
        <f t="shared" si="1"/>
        <v>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391635</v>
      </c>
      <c r="C16" s="585">
        <v>1167</v>
      </c>
      <c r="D16" s="1775">
        <f t="shared" si="0"/>
        <v>390468</v>
      </c>
      <c r="E16" s="585">
        <v>404179</v>
      </c>
      <c r="F16" s="1775">
        <f t="shared" si="1"/>
        <v>403012</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16404419</v>
      </c>
      <c r="C19" s="1773">
        <f>SUM(C4:C18)</f>
        <v>49274</v>
      </c>
      <c r="D19" s="1773">
        <f>SUM(D4:D18)</f>
        <v>16355145</v>
      </c>
      <c r="E19" s="1773">
        <f>SUM(E4:E18)</f>
        <v>17061139</v>
      </c>
      <c r="F19" s="1773">
        <f>SUM(F4:F18)</f>
        <v>17011865</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650</v>
      </c>
      <c r="B1" s="2231"/>
      <c r="C1" s="722"/>
    </row>
    <row r="2" spans="1:7" ht="33.75" x14ac:dyDescent="0.2">
      <c r="A2" s="2238" t="s">
        <v>1902</v>
      </c>
      <c r="B2" s="2239"/>
      <c r="C2" s="1908" t="s">
        <v>2035</v>
      </c>
      <c r="D2" s="724" t="s">
        <v>2042</v>
      </c>
      <c r="E2" s="724" t="s">
        <v>2043</v>
      </c>
      <c r="F2" s="1908" t="s">
        <v>2036</v>
      </c>
    </row>
    <row r="3" spans="1:7" ht="15.75" customHeight="1" x14ac:dyDescent="0.2">
      <c r="A3" s="2240" t="s">
        <v>1176</v>
      </c>
      <c r="B3" s="2241"/>
      <c r="C3" s="2234"/>
      <c r="D3" s="2235"/>
      <c r="E3" s="2235"/>
      <c r="F3" s="2236"/>
    </row>
    <row r="4" spans="1:7" ht="12.75" customHeight="1" thickBot="1" x14ac:dyDescent="0.25">
      <c r="A4" s="2228" t="s">
        <v>651</v>
      </c>
      <c r="B4" s="2229"/>
      <c r="C4" s="581"/>
      <c r="D4" s="581"/>
      <c r="E4" s="581"/>
      <c r="F4" s="1777">
        <f>SUM(C4+D4)-E4</f>
        <v>0</v>
      </c>
    </row>
    <row r="5" spans="1:7" ht="15.75" customHeight="1" thickTop="1" x14ac:dyDescent="0.2">
      <c r="A5" s="2232" t="s">
        <v>1172</v>
      </c>
      <c r="B5" s="2227"/>
      <c r="C5" s="2221"/>
      <c r="D5" s="2222"/>
      <c r="E5" s="2222"/>
      <c r="F5" s="222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4" t="s">
        <v>652</v>
      </c>
      <c r="B15" s="2225"/>
      <c r="C15" s="1777">
        <f>SUM(C6:C14)</f>
        <v>0</v>
      </c>
      <c r="D15" s="1777">
        <f>SUM(D6:D14)</f>
        <v>0</v>
      </c>
      <c r="E15" s="1777">
        <f>SUM(E6:E14)</f>
        <v>0</v>
      </c>
      <c r="F15" s="1777">
        <f>SUM(F6:F14)</f>
        <v>0</v>
      </c>
      <c r="G15" s="552"/>
    </row>
    <row r="16" spans="1:7" s="202" customFormat="1" ht="15.75" customHeight="1" thickTop="1" x14ac:dyDescent="0.2">
      <c r="A16" s="2237" t="s">
        <v>1173</v>
      </c>
      <c r="B16" s="2227"/>
      <c r="C16" s="2221"/>
      <c r="D16" s="2222"/>
      <c r="E16" s="2222"/>
      <c r="F16" s="2223"/>
    </row>
    <row r="17" spans="1:11" ht="12.75" customHeight="1" thickBot="1" x14ac:dyDescent="0.25">
      <c r="A17" s="2219" t="s">
        <v>66</v>
      </c>
      <c r="B17" s="2220"/>
      <c r="C17" s="727"/>
      <c r="D17" s="585"/>
      <c r="E17" s="727"/>
      <c r="F17" s="1777">
        <f>SUM(C17+D17)-E17</f>
        <v>0</v>
      </c>
    </row>
    <row r="18" spans="1:11" ht="12.75" customHeight="1" thickTop="1" thickBot="1" x14ac:dyDescent="0.25">
      <c r="A18" s="2219" t="s">
        <v>6</v>
      </c>
      <c r="B18" s="2220"/>
      <c r="C18" s="727"/>
      <c r="D18" s="585"/>
      <c r="E18" s="727"/>
      <c r="F18" s="1777">
        <f>SUM(C18+D18)-E18</f>
        <v>0</v>
      </c>
    </row>
    <row r="19" spans="1:11" ht="12.75" customHeight="1" thickTop="1" thickBot="1" x14ac:dyDescent="0.25">
      <c r="A19" s="2219" t="s">
        <v>406</v>
      </c>
      <c r="B19" s="2220"/>
      <c r="C19" s="727"/>
      <c r="D19" s="585"/>
      <c r="E19" s="727"/>
      <c r="F19" s="1777">
        <f>SUM(C19+D19)-E19</f>
        <v>0</v>
      </c>
    </row>
    <row r="20" spans="1:11" ht="12.75" customHeight="1" thickTop="1" thickBot="1" x14ac:dyDescent="0.25">
      <c r="A20" s="2219" t="s">
        <v>468</v>
      </c>
      <c r="B20" s="2220"/>
      <c r="C20" s="727"/>
      <c r="D20" s="585"/>
      <c r="E20" s="727"/>
      <c r="F20" s="1777">
        <f>SUM(C20+D20)-E20</f>
        <v>0</v>
      </c>
    </row>
    <row r="21" spans="1:11" ht="14.25" thickTop="1" thickBot="1" x14ac:dyDescent="0.25">
      <c r="A21" s="2224" t="s">
        <v>653</v>
      </c>
      <c r="B21" s="2225"/>
      <c r="C21" s="1777">
        <f>SUM(C17:C20)</f>
        <v>0</v>
      </c>
      <c r="D21" s="1777">
        <f>SUM(D17:D20)</f>
        <v>0</v>
      </c>
      <c r="E21" s="1777">
        <f>SUM(E17:E20)</f>
        <v>0</v>
      </c>
      <c r="F21" s="1777">
        <f>SUM(F17:F20)</f>
        <v>0</v>
      </c>
      <c r="G21" s="552"/>
    </row>
    <row r="22" spans="1:11" ht="15.75" customHeight="1" thickTop="1" x14ac:dyDescent="0.2">
      <c r="A22" s="2226" t="s">
        <v>1174</v>
      </c>
      <c r="B22" s="2227"/>
      <c r="C22" s="2221"/>
      <c r="D22" s="2222"/>
      <c r="E22" s="2222"/>
      <c r="F22" s="2223"/>
    </row>
    <row r="23" spans="1:11" ht="13.5" thickBot="1" x14ac:dyDescent="0.25">
      <c r="A23" s="2228" t="s">
        <v>654</v>
      </c>
      <c r="B23" s="2229"/>
      <c r="C23" s="581"/>
      <c r="D23" s="581"/>
      <c r="E23" s="581"/>
      <c r="F23" s="1777">
        <f>SUM(C23+D23)-E23</f>
        <v>0</v>
      </c>
      <c r="G23" s="552"/>
    </row>
    <row r="24" spans="1:11" ht="15.75" customHeight="1" thickTop="1" x14ac:dyDescent="0.2">
      <c r="A24" s="2226" t="s">
        <v>1175</v>
      </c>
      <c r="B24" s="2227"/>
      <c r="C24" s="2221"/>
      <c r="D24" s="2222"/>
      <c r="E24" s="2222"/>
      <c r="F24" s="2223"/>
    </row>
    <row r="25" spans="1:11" ht="13.5" thickBot="1" x14ac:dyDescent="0.25">
      <c r="A25" s="2228" t="s">
        <v>655</v>
      </c>
      <c r="B25" s="2229"/>
      <c r="C25" s="581"/>
      <c r="D25" s="581"/>
      <c r="E25" s="581"/>
      <c r="F25" s="1777">
        <f>SUM(C25+D25)-E25</f>
        <v>0</v>
      </c>
      <c r="G25" s="552"/>
    </row>
    <row r="26" spans="1:11" ht="15.75" customHeight="1" thickTop="1" x14ac:dyDescent="0.2">
      <c r="A26" s="2232" t="s">
        <v>678</v>
      </c>
      <c r="B26" s="2227"/>
      <c r="C26" s="728"/>
      <c r="D26" s="728"/>
      <c r="E26" s="728"/>
      <c r="F26" s="729"/>
    </row>
    <row r="27" spans="1:11" ht="13.5" thickBot="1" x14ac:dyDescent="0.25">
      <c r="A27" s="2224" t="s">
        <v>1130</v>
      </c>
      <c r="B27" s="2225"/>
      <c r="C27" s="585"/>
      <c r="D27" s="585"/>
      <c r="E27" s="585"/>
      <c r="F27" s="1777">
        <f>SUM(C27+D27)-E27</f>
        <v>0</v>
      </c>
      <c r="G27" s="552"/>
    </row>
    <row r="28" spans="1:11" ht="7.5" customHeight="1" thickTop="1" x14ac:dyDescent="0.2">
      <c r="A28" s="594"/>
    </row>
    <row r="29" spans="1:11" ht="23.25" customHeight="1" x14ac:dyDescent="0.2">
      <c r="A29" s="2230" t="s">
        <v>603</v>
      </c>
      <c r="B29" s="2231"/>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v>2006</v>
      </c>
      <c r="B31" s="734">
        <v>38862</v>
      </c>
      <c r="C31" s="735">
        <v>16698578</v>
      </c>
      <c r="D31" s="736">
        <v>6</v>
      </c>
      <c r="E31" s="735">
        <v>4679723</v>
      </c>
      <c r="F31" s="735"/>
      <c r="G31" s="735"/>
      <c r="H31" s="735">
        <v>293790</v>
      </c>
      <c r="I31" s="1778">
        <f>((E31+F31)-H31)+G31</f>
        <v>4385933</v>
      </c>
      <c r="J31" s="735">
        <v>4385934</v>
      </c>
      <c r="K31" s="737"/>
    </row>
    <row r="32" spans="1:11" ht="12" customHeight="1" x14ac:dyDescent="0.2">
      <c r="A32" s="733" t="s">
        <v>2094</v>
      </c>
      <c r="B32" s="734">
        <v>40620</v>
      </c>
      <c r="C32" s="735">
        <v>5900000</v>
      </c>
      <c r="D32" s="736" t="s">
        <v>2095</v>
      </c>
      <c r="E32" s="735">
        <v>5900000</v>
      </c>
      <c r="F32" s="735"/>
      <c r="G32" s="735"/>
      <c r="H32" s="735">
        <v>390000</v>
      </c>
      <c r="I32" s="1778">
        <f>((E32+F32)-H32)+G32</f>
        <v>5510000</v>
      </c>
      <c r="J32" s="735">
        <v>5510000</v>
      </c>
      <c r="K32" s="737"/>
    </row>
    <row r="33" spans="1:11" ht="12" customHeight="1" x14ac:dyDescent="0.2">
      <c r="A33" s="733">
        <v>2012</v>
      </c>
      <c r="B33" s="734">
        <v>41032</v>
      </c>
      <c r="C33" s="735">
        <v>5770000</v>
      </c>
      <c r="D33" s="736" t="s">
        <v>2095</v>
      </c>
      <c r="E33" s="735">
        <v>4475000</v>
      </c>
      <c r="F33" s="735"/>
      <c r="G33" s="735"/>
      <c r="H33" s="735">
        <v>350000</v>
      </c>
      <c r="I33" s="1778">
        <f t="shared" ref="I33:I48" si="1">((E33+F33)-H33)+G33</f>
        <v>4125000</v>
      </c>
      <c r="J33" s="735">
        <v>3989879</v>
      </c>
      <c r="K33" s="737"/>
    </row>
    <row r="34" spans="1:11" ht="12" customHeight="1" x14ac:dyDescent="0.2">
      <c r="A34" s="733">
        <v>2015</v>
      </c>
      <c r="B34" s="734">
        <v>42061</v>
      </c>
      <c r="C34" s="735">
        <v>8975000</v>
      </c>
      <c r="D34" s="736">
        <v>3</v>
      </c>
      <c r="E34" s="735">
        <v>8945000</v>
      </c>
      <c r="F34" s="735"/>
      <c r="G34" s="735"/>
      <c r="H34" s="735"/>
      <c r="I34" s="1778">
        <f t="shared" si="1"/>
        <v>8945000</v>
      </c>
      <c r="J34" s="735">
        <v>8945000</v>
      </c>
      <c r="K34" s="738"/>
    </row>
    <row r="35" spans="1:11" ht="12" customHeight="1" x14ac:dyDescent="0.2">
      <c r="A35" s="733">
        <v>2016</v>
      </c>
      <c r="B35" s="734">
        <v>42444</v>
      </c>
      <c r="C35" s="739">
        <v>5805000</v>
      </c>
      <c r="D35" s="736">
        <v>3</v>
      </c>
      <c r="E35" s="739">
        <v>4530000</v>
      </c>
      <c r="F35" s="739"/>
      <c r="G35" s="739"/>
      <c r="H35" s="739">
        <v>1350000</v>
      </c>
      <c r="I35" s="1778">
        <f t="shared" si="1"/>
        <v>3180000</v>
      </c>
      <c r="J35" s="739">
        <v>3180000</v>
      </c>
      <c r="K35" s="738"/>
    </row>
    <row r="36" spans="1:11" ht="12" customHeight="1" x14ac:dyDescent="0.2">
      <c r="A36" s="733">
        <v>2017</v>
      </c>
      <c r="B36" s="734">
        <v>42831</v>
      </c>
      <c r="C36" s="735">
        <v>4055000</v>
      </c>
      <c r="D36" s="736">
        <v>3</v>
      </c>
      <c r="E36" s="735">
        <v>4055000</v>
      </c>
      <c r="F36" s="735"/>
      <c r="G36" s="735"/>
      <c r="H36" s="735">
        <v>115000</v>
      </c>
      <c r="I36" s="1778">
        <f t="shared" si="1"/>
        <v>3940000</v>
      </c>
      <c r="J36" s="735">
        <v>3940000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47203578</v>
      </c>
      <c r="D49" s="746"/>
      <c r="E49" s="1778">
        <f t="shared" ref="E49:J49" si="2">SUM(E31:E48)</f>
        <v>32584723</v>
      </c>
      <c r="F49" s="1778">
        <f t="shared" si="2"/>
        <v>0</v>
      </c>
      <c r="G49" s="1778">
        <f t="shared" si="2"/>
        <v>0</v>
      </c>
      <c r="H49" s="1778">
        <f t="shared" si="2"/>
        <v>2498790</v>
      </c>
      <c r="I49" s="1778">
        <f t="shared" si="2"/>
        <v>30085933</v>
      </c>
      <c r="J49" s="1778">
        <f t="shared" si="2"/>
        <v>29950813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552"/>
      <c r="I1" s="761"/>
      <c r="J1" s="433"/>
    </row>
    <row r="2" spans="1:11" ht="26.25" x14ac:dyDescent="0.2">
      <c r="A2" s="2261" t="s">
        <v>1776</v>
      </c>
      <c r="B2" s="2262"/>
      <c r="C2" s="2262"/>
      <c r="D2" s="2262"/>
      <c r="E2" s="2263"/>
      <c r="F2" s="762" t="s">
        <v>960</v>
      </c>
      <c r="G2" s="763" t="s">
        <v>1773</v>
      </c>
      <c r="H2" s="763" t="s">
        <v>430</v>
      </c>
      <c r="I2" s="763" t="s">
        <v>1220</v>
      </c>
      <c r="J2" s="763" t="s">
        <v>1916</v>
      </c>
      <c r="K2" s="763" t="s">
        <v>140</v>
      </c>
    </row>
    <row r="3" spans="1:11" x14ac:dyDescent="0.2">
      <c r="A3" s="2264" t="s">
        <v>1698</v>
      </c>
      <c r="B3" s="2265"/>
      <c r="C3" s="2265"/>
      <c r="D3" s="2265"/>
      <c r="E3" s="2266"/>
      <c r="F3" s="764"/>
      <c r="G3" s="765"/>
      <c r="H3" s="765"/>
      <c r="I3" s="765"/>
      <c r="J3" s="766"/>
      <c r="K3" s="766"/>
    </row>
    <row r="4" spans="1:11" x14ac:dyDescent="0.2">
      <c r="A4" s="2267" t="s">
        <v>387</v>
      </c>
      <c r="B4" s="2268"/>
      <c r="C4" s="2268"/>
      <c r="D4" s="2268"/>
      <c r="E4" s="2214"/>
      <c r="F4" s="767"/>
      <c r="G4" s="768"/>
      <c r="H4" s="769"/>
      <c r="I4" s="768"/>
      <c r="J4" s="770"/>
      <c r="K4" s="770"/>
    </row>
    <row r="5" spans="1:11" x14ac:dyDescent="0.2">
      <c r="A5" s="2245" t="s">
        <v>1129</v>
      </c>
      <c r="B5" s="2246"/>
      <c r="C5" s="2246"/>
      <c r="D5" s="2246"/>
      <c r="E5" s="224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5" t="s">
        <v>1917</v>
      </c>
      <c r="B10" s="2246"/>
      <c r="C10" s="2246"/>
      <c r="D10" s="2246"/>
      <c r="E10" s="2248"/>
      <c r="F10" s="784" t="s">
        <v>917</v>
      </c>
      <c r="G10" s="783"/>
      <c r="H10" s="785"/>
      <c r="I10" s="765"/>
      <c r="J10" s="766"/>
      <c r="K10" s="766"/>
    </row>
    <row r="11" spans="1:11" x14ac:dyDescent="0.2">
      <c r="A11" s="2245" t="s">
        <v>162</v>
      </c>
      <c r="B11" s="2246"/>
      <c r="C11" s="2246"/>
      <c r="D11" s="2246"/>
      <c r="E11" s="2247"/>
      <c r="F11" s="771" t="s">
        <v>907</v>
      </c>
      <c r="G11" s="772"/>
      <c r="H11" s="765"/>
      <c r="I11" s="765"/>
      <c r="J11" s="766"/>
      <c r="K11" s="774"/>
    </row>
    <row r="12" spans="1:11" ht="13.5" thickBot="1" x14ac:dyDescent="0.25">
      <c r="A12" s="2272" t="s">
        <v>961</v>
      </c>
      <c r="B12" s="2273"/>
      <c r="C12" s="2273"/>
      <c r="D12" s="2273"/>
      <c r="E12" s="2274"/>
      <c r="F12" s="1779"/>
      <c r="G12" s="1780">
        <f>SUM(G5:G11)</f>
        <v>0</v>
      </c>
      <c r="H12" s="1780">
        <f>SUM(H5:H11)</f>
        <v>0</v>
      </c>
      <c r="I12" s="1780">
        <f>SUM(I5:I11)</f>
        <v>0</v>
      </c>
      <c r="J12" s="1780">
        <f>SUM(J5:J11)</f>
        <v>0</v>
      </c>
      <c r="K12" s="1780">
        <f>SUM(K5:K11)</f>
        <v>0</v>
      </c>
    </row>
    <row r="13" spans="1:11" ht="13.5" thickTop="1" x14ac:dyDescent="0.2">
      <c r="A13" s="2269" t="s">
        <v>388</v>
      </c>
      <c r="B13" s="2270"/>
      <c r="C13" s="2270"/>
      <c r="D13" s="2270"/>
      <c r="E13" s="2271"/>
      <c r="F13" s="786"/>
      <c r="G13" s="787"/>
      <c r="H13" s="788"/>
      <c r="I13" s="789"/>
      <c r="J13" s="789"/>
      <c r="K13" s="789"/>
    </row>
    <row r="14" spans="1:11" x14ac:dyDescent="0.2">
      <c r="A14" s="2252" t="s">
        <v>476</v>
      </c>
      <c r="B14" s="2252"/>
      <c r="C14" s="2252"/>
      <c r="D14" s="2252"/>
      <c r="E14" s="2253"/>
      <c r="F14" s="790" t="s">
        <v>909</v>
      </c>
      <c r="G14" s="783"/>
      <c r="H14" s="765"/>
      <c r="I14" s="772"/>
      <c r="J14" s="774"/>
      <c r="K14" s="766"/>
    </row>
    <row r="15" spans="1:11" x14ac:dyDescent="0.2">
      <c r="A15" s="2246" t="s">
        <v>4</v>
      </c>
      <c r="B15" s="2246"/>
      <c r="C15" s="2246"/>
      <c r="D15" s="2246"/>
      <c r="E15" s="2247"/>
      <c r="F15" s="790" t="s">
        <v>910</v>
      </c>
      <c r="G15" s="772"/>
      <c r="H15" s="765"/>
      <c r="I15" s="765"/>
      <c r="J15" s="766"/>
      <c r="K15" s="766"/>
    </row>
    <row r="16" spans="1:11" x14ac:dyDescent="0.2">
      <c r="A16" s="2246" t="s">
        <v>316</v>
      </c>
      <c r="B16" s="2246"/>
      <c r="C16" s="2246"/>
      <c r="D16" s="2246"/>
      <c r="E16" s="2247"/>
      <c r="F16" s="790" t="s">
        <v>980</v>
      </c>
      <c r="G16" s="773"/>
      <c r="H16" s="768"/>
      <c r="I16" s="768"/>
      <c r="J16" s="770"/>
      <c r="K16" s="770"/>
    </row>
    <row r="17" spans="1:11" x14ac:dyDescent="0.2">
      <c r="A17" s="2277" t="s">
        <v>992</v>
      </c>
      <c r="B17" s="2277"/>
      <c r="C17" s="2277"/>
      <c r="D17" s="2277"/>
      <c r="E17" s="2278"/>
      <c r="F17" s="791"/>
      <c r="G17" s="792"/>
      <c r="H17" s="793"/>
      <c r="I17" s="793"/>
      <c r="J17" s="794"/>
      <c r="K17" s="795"/>
    </row>
    <row r="18" spans="1:11" x14ac:dyDescent="0.2">
      <c r="A18" s="2256" t="s">
        <v>386</v>
      </c>
      <c r="B18" s="2257"/>
      <c r="C18" s="2257"/>
      <c r="D18" s="2257"/>
      <c r="E18" s="2258"/>
      <c r="F18" s="790" t="s">
        <v>989</v>
      </c>
      <c r="G18" s="783"/>
      <c r="H18" s="783"/>
      <c r="I18" s="783"/>
      <c r="J18" s="766"/>
      <c r="K18" s="796"/>
    </row>
    <row r="19" spans="1:11" ht="21.75" customHeight="1" x14ac:dyDescent="0.2">
      <c r="A19" s="2254" t="s">
        <v>1913</v>
      </c>
      <c r="B19" s="2254"/>
      <c r="C19" s="2254"/>
      <c r="D19" s="2254"/>
      <c r="E19" s="2255"/>
      <c r="F19" s="790" t="s">
        <v>990</v>
      </c>
      <c r="G19" s="783"/>
      <c r="H19" s="783"/>
      <c r="I19" s="783"/>
      <c r="J19" s="766"/>
      <c r="K19" s="796"/>
    </row>
    <row r="20" spans="1:11" x14ac:dyDescent="0.2">
      <c r="A20" s="2256" t="s">
        <v>1918</v>
      </c>
      <c r="B20" s="2257"/>
      <c r="C20" s="2257"/>
      <c r="D20" s="2257"/>
      <c r="E20" s="2258"/>
      <c r="F20" s="790" t="s">
        <v>991</v>
      </c>
      <c r="G20" s="783"/>
      <c r="H20" s="783"/>
      <c r="I20" s="783"/>
      <c r="J20" s="766"/>
      <c r="K20" s="796"/>
    </row>
    <row r="21" spans="1:11" ht="13.5" thickBot="1" x14ac:dyDescent="0.25">
      <c r="A21" s="2275" t="s">
        <v>659</v>
      </c>
      <c r="B21" s="2275"/>
      <c r="C21" s="2275"/>
      <c r="D21" s="2275"/>
      <c r="E21" s="2275"/>
      <c r="F21" s="1781"/>
      <c r="G21" s="793"/>
      <c r="H21" s="797"/>
      <c r="I21" s="797"/>
      <c r="J21" s="1782">
        <f>SUM(J18:J20)</f>
        <v>0</v>
      </c>
      <c r="K21" s="794"/>
    </row>
    <row r="22" spans="1:11" ht="13.5" thickTop="1" x14ac:dyDescent="0.2">
      <c r="A22" s="2246" t="s">
        <v>1919</v>
      </c>
      <c r="B22" s="2246"/>
      <c r="C22" s="2246"/>
      <c r="D22" s="2246"/>
      <c r="E22" s="2247"/>
      <c r="F22" s="790" t="s">
        <v>917</v>
      </c>
      <c r="G22" s="783"/>
      <c r="H22" s="765"/>
      <c r="I22" s="765"/>
      <c r="J22" s="798"/>
      <c r="K22" s="766"/>
    </row>
    <row r="23" spans="1:11" ht="13.5" thickBot="1" x14ac:dyDescent="0.25">
      <c r="A23" s="2276" t="s">
        <v>962</v>
      </c>
      <c r="B23" s="2275"/>
      <c r="C23" s="2275"/>
      <c r="D23" s="2275"/>
      <c r="E23" s="2275"/>
      <c r="F23" s="1783"/>
      <c r="G23" s="1780">
        <f>SUM(G14:G16,G21,G22)</f>
        <v>0</v>
      </c>
      <c r="H23" s="1780">
        <f>SUM(H14:H16,H21,H22)</f>
        <v>0</v>
      </c>
      <c r="I23" s="1780">
        <f>SUM(I14:I16,I21,I22)</f>
        <v>0</v>
      </c>
      <c r="J23" s="1780">
        <f>SUM(J14:J16,J21,J22)</f>
        <v>0</v>
      </c>
      <c r="K23" s="1780">
        <f>SUM(K14:K16,K21,K22)</f>
        <v>0</v>
      </c>
    </row>
    <row r="24" spans="1:11" ht="14.25" thickTop="1" thickBot="1" x14ac:dyDescent="0.25">
      <c r="A24" s="2276" t="s">
        <v>2023</v>
      </c>
      <c r="B24" s="2275"/>
      <c r="C24" s="2275"/>
      <c r="D24" s="2275"/>
      <c r="E24" s="227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9"/>
      <c r="I31" s="2250"/>
      <c r="J31" s="2250"/>
      <c r="K31" s="2250"/>
    </row>
    <row r="32" spans="1:11" x14ac:dyDescent="0.2">
      <c r="A32" s="810"/>
      <c r="B32" s="237"/>
      <c r="C32" s="237"/>
      <c r="D32" s="237"/>
      <c r="E32" s="806"/>
      <c r="F32" s="812" t="s">
        <v>561</v>
      </c>
      <c r="G32" s="765"/>
      <c r="H32" s="2251"/>
      <c r="I32" s="2250"/>
      <c r="J32" s="2250"/>
      <c r="K32" s="2250"/>
    </row>
    <row r="33" spans="1:11" ht="1.5" customHeight="1" x14ac:dyDescent="0.2">
      <c r="A33" s="813" t="s">
        <v>1231</v>
      </c>
      <c r="B33" s="364"/>
      <c r="C33" s="364"/>
      <c r="D33" s="364"/>
      <c r="E33" s="364"/>
      <c r="F33" s="364"/>
      <c r="G33" s="814"/>
      <c r="H33" s="2251"/>
      <c r="I33" s="2250"/>
      <c r="J33" s="2250"/>
      <c r="K33" s="225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59"/>
      <c r="C41" s="2259"/>
      <c r="D41" s="2259"/>
      <c r="E41" s="2259"/>
      <c r="F41" s="226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2032</v>
      </c>
      <c r="B1" s="2282"/>
      <c r="C1" s="2283"/>
      <c r="D1" s="827"/>
      <c r="E1" s="828"/>
      <c r="F1" s="828"/>
      <c r="G1" s="829"/>
      <c r="H1" s="830"/>
      <c r="I1" s="831"/>
      <c r="J1" s="2279"/>
      <c r="K1" s="2280"/>
      <c r="L1" s="228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5726534</v>
      </c>
      <c r="D5" s="842"/>
      <c r="E5" s="842"/>
      <c r="F5" s="1782">
        <f>(C5+D5)-E5</f>
        <v>5726534</v>
      </c>
      <c r="G5" s="838"/>
      <c r="H5" s="843"/>
      <c r="I5" s="843"/>
      <c r="J5" s="843"/>
      <c r="K5" s="794"/>
      <c r="L5" s="1791">
        <f>F5-K5</f>
        <v>5726534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49737984</v>
      </c>
      <c r="D8" s="845"/>
      <c r="E8" s="845"/>
      <c r="F8" s="1782">
        <f>(C8+D8)-E8</f>
        <v>49737984</v>
      </c>
      <c r="G8" s="844">
        <v>50</v>
      </c>
      <c r="H8" s="766">
        <v>13791674</v>
      </c>
      <c r="I8" s="766">
        <v>986177</v>
      </c>
      <c r="J8" s="766"/>
      <c r="K8" s="1791">
        <f>(H8+I8)-J8</f>
        <v>14777851</v>
      </c>
      <c r="L8" s="1791">
        <f>F8-K8</f>
        <v>34960133</v>
      </c>
    </row>
    <row r="9" spans="1:14" ht="14.25" thickTop="1" thickBot="1" x14ac:dyDescent="0.25">
      <c r="A9" s="779" t="s">
        <v>1181</v>
      </c>
      <c r="B9" s="841">
        <v>232</v>
      </c>
      <c r="C9" s="766">
        <v>34494</v>
      </c>
      <c r="D9" s="766"/>
      <c r="E9" s="766"/>
      <c r="F9" s="1782">
        <f>(C9+D9)-E9</f>
        <v>34494</v>
      </c>
      <c r="G9" s="844">
        <v>20</v>
      </c>
      <c r="H9" s="766">
        <v>9544</v>
      </c>
      <c r="I9" s="766">
        <v>1379</v>
      </c>
      <c r="J9" s="766"/>
      <c r="K9" s="1791">
        <f>(H9+I9)-J9</f>
        <v>10923</v>
      </c>
      <c r="L9" s="1791">
        <f>F9-K9</f>
        <v>23571</v>
      </c>
    </row>
    <row r="10" spans="1:14" ht="24" thickTop="1" thickBot="1" x14ac:dyDescent="0.25">
      <c r="A10" s="846" t="s">
        <v>1182</v>
      </c>
      <c r="B10" s="841">
        <v>240</v>
      </c>
      <c r="C10" s="847">
        <v>1287114</v>
      </c>
      <c r="D10" s="847"/>
      <c r="E10" s="847"/>
      <c r="F10" s="1786">
        <f>(C10+D10)-E10</f>
        <v>1287114</v>
      </c>
      <c r="G10" s="844">
        <v>20</v>
      </c>
      <c r="H10" s="848">
        <v>865632</v>
      </c>
      <c r="I10" s="848">
        <v>13026</v>
      </c>
      <c r="J10" s="848"/>
      <c r="K10" s="1791">
        <f>(H10+I10)-J10</f>
        <v>878658</v>
      </c>
      <c r="L10" s="1791">
        <f>F10-K10</f>
        <v>408456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7958598</v>
      </c>
      <c r="D12" s="845">
        <v>351386</v>
      </c>
      <c r="E12" s="845">
        <v>173368</v>
      </c>
      <c r="F12" s="1782">
        <f>(C12+D12)-E12</f>
        <v>8136616</v>
      </c>
      <c r="G12" s="844">
        <v>10</v>
      </c>
      <c r="H12" s="766">
        <v>6497488</v>
      </c>
      <c r="I12" s="766">
        <v>28216</v>
      </c>
      <c r="J12" s="766">
        <v>78930</v>
      </c>
      <c r="K12" s="1791">
        <f>(H12+I12)-J12</f>
        <v>6446774</v>
      </c>
      <c r="L12" s="1791">
        <f>F12-K12</f>
        <v>1689842</v>
      </c>
    </row>
    <row r="13" spans="1:14" ht="14.25" thickTop="1" thickBot="1" x14ac:dyDescent="0.25">
      <c r="A13" s="849" t="s">
        <v>1184</v>
      </c>
      <c r="B13" s="841">
        <v>252</v>
      </c>
      <c r="C13" s="845">
        <v>820423</v>
      </c>
      <c r="D13" s="845">
        <v>2743</v>
      </c>
      <c r="E13" s="845"/>
      <c r="F13" s="1782">
        <f>(C13+D13)-E13</f>
        <v>823166</v>
      </c>
      <c r="G13" s="844">
        <v>5</v>
      </c>
      <c r="H13" s="766">
        <v>662208</v>
      </c>
      <c r="I13" s="766">
        <v>47053</v>
      </c>
      <c r="J13" s="766"/>
      <c r="K13" s="1791">
        <f>(H13+I13)-J13</f>
        <v>709261</v>
      </c>
      <c r="L13" s="1791">
        <f>F13-K13</f>
        <v>113905</v>
      </c>
    </row>
    <row r="14" spans="1:14" ht="14.25" thickTop="1" thickBot="1" x14ac:dyDescent="0.25">
      <c r="A14" s="849" t="s">
        <v>1185</v>
      </c>
      <c r="B14" s="841">
        <v>253</v>
      </c>
      <c r="C14" s="766">
        <v>82823</v>
      </c>
      <c r="D14" s="766"/>
      <c r="E14" s="766"/>
      <c r="F14" s="1782">
        <f>(C14+D14)-E14</f>
        <v>82823</v>
      </c>
      <c r="G14" s="844">
        <v>3</v>
      </c>
      <c r="H14" s="766">
        <v>82823</v>
      </c>
      <c r="I14" s="766"/>
      <c r="J14" s="766"/>
      <c r="K14" s="1791">
        <f>(H14+I14)-J14</f>
        <v>82823</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65647970</v>
      </c>
      <c r="D16" s="1782">
        <f>SUM(D3,D5:D6,D8:D10,D12:D15)</f>
        <v>354129</v>
      </c>
      <c r="E16" s="1782">
        <f>SUM(E3,E5:E6,E8:E10,E12:E15)</f>
        <v>173368</v>
      </c>
      <c r="F16" s="1782">
        <f>SUM(F3,F5:F6,F8:F10,F12:F15)</f>
        <v>65828731</v>
      </c>
      <c r="G16" s="844"/>
      <c r="H16" s="1782">
        <f>SUM(H3,H6,H8:H10,H12:H14,)</f>
        <v>21909369</v>
      </c>
      <c r="I16" s="1782">
        <f>SUM(I3,I6,I8:I10,I12:I14,)</f>
        <v>1075851</v>
      </c>
      <c r="J16" s="1782">
        <f>SUM(J3,J6,J8:J10,J12:J14,)</f>
        <v>78930</v>
      </c>
      <c r="K16" s="1782">
        <f>(H16+I16)-J16</f>
        <v>22906290</v>
      </c>
      <c r="L16" s="1782">
        <f>F16-K16</f>
        <v>42922441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1075851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15240361</v>
      </c>
      <c r="G8" s="866"/>
    </row>
    <row r="9" spans="1:7" x14ac:dyDescent="0.2">
      <c r="A9" s="870" t="s">
        <v>480</v>
      </c>
      <c r="B9" s="871" t="s">
        <v>1986</v>
      </c>
      <c r="C9" s="872"/>
      <c r="D9" s="870" t="s">
        <v>522</v>
      </c>
      <c r="E9" s="869"/>
      <c r="F9" s="1934">
        <f>'Expenditures 15-22'!K151</f>
        <v>1762589</v>
      </c>
      <c r="G9" s="873"/>
    </row>
    <row r="10" spans="1:7" x14ac:dyDescent="0.2">
      <c r="A10" s="870" t="s">
        <v>520</v>
      </c>
      <c r="B10" s="871" t="s">
        <v>1987</v>
      </c>
      <c r="C10" s="872"/>
      <c r="D10" s="870" t="s">
        <v>522</v>
      </c>
      <c r="E10" s="869"/>
      <c r="F10" s="1934">
        <f>'Expenditures 15-22'!K174</f>
        <v>4101763</v>
      </c>
      <c r="G10" s="873"/>
    </row>
    <row r="11" spans="1:7" x14ac:dyDescent="0.2">
      <c r="A11" s="870" t="s">
        <v>481</v>
      </c>
      <c r="B11" s="871" t="s">
        <v>1988</v>
      </c>
      <c r="C11" s="872"/>
      <c r="D11" s="870" t="s">
        <v>522</v>
      </c>
      <c r="E11" s="869"/>
      <c r="F11" s="1934">
        <f>'Expenditures 15-22'!K210</f>
        <v>973753</v>
      </c>
      <c r="G11" s="873"/>
    </row>
    <row r="12" spans="1:7" x14ac:dyDescent="0.2">
      <c r="A12" s="870" t="s">
        <v>482</v>
      </c>
      <c r="B12" s="871" t="s">
        <v>1989</v>
      </c>
      <c r="C12" s="872"/>
      <c r="D12" s="870" t="s">
        <v>522</v>
      </c>
      <c r="E12" s="869"/>
      <c r="F12" s="1934">
        <f>'Expenditures 15-22'!K295</f>
        <v>520811</v>
      </c>
      <c r="G12" s="873"/>
    </row>
    <row r="13" spans="1:7" x14ac:dyDescent="0.2">
      <c r="A13" s="870" t="s">
        <v>108</v>
      </c>
      <c r="B13" s="871" t="s">
        <v>1990</v>
      </c>
      <c r="C13" s="872"/>
      <c r="D13" s="870" t="s">
        <v>522</v>
      </c>
      <c r="E13" s="869"/>
      <c r="F13" s="1934">
        <f>'Expenditures 15-22'!K342</f>
        <v>363660</v>
      </c>
      <c r="G13" s="874"/>
    </row>
    <row r="14" spans="1:7" ht="12" customHeight="1" thickBot="1" x14ac:dyDescent="0.25">
      <c r="A14" s="1792"/>
      <c r="B14" s="1793"/>
      <c r="C14" s="1794"/>
      <c r="D14" s="1795" t="s">
        <v>522</v>
      </c>
      <c r="E14" s="1796" t="s">
        <v>1015</v>
      </c>
      <c r="F14" s="1797">
        <f>SUM(F8:F13)</f>
        <v>22962937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162106</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26799</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1193</v>
      </c>
      <c r="G52" s="866"/>
    </row>
    <row r="53" spans="1:7" x14ac:dyDescent="0.2">
      <c r="A53" s="870" t="s">
        <v>479</v>
      </c>
      <c r="B53" s="870" t="s">
        <v>1551</v>
      </c>
      <c r="C53" s="890">
        <f>'Expenditures 15-22'!B102</f>
        <v>4000</v>
      </c>
      <c r="D53" s="889" t="str">
        <f>'Expenditures 15-22'!A102</f>
        <v>Total Payments to Other Govt Units</v>
      </c>
      <c r="E53" s="869"/>
      <c r="F53" s="1938">
        <f>'Expenditures 15-22'!K102</f>
        <v>812980</v>
      </c>
      <c r="G53" s="866"/>
    </row>
    <row r="54" spans="1:7" x14ac:dyDescent="0.2">
      <c r="A54" s="870" t="s">
        <v>479</v>
      </c>
      <c r="B54" s="870" t="s">
        <v>1552</v>
      </c>
      <c r="C54" s="890" t="s">
        <v>1039</v>
      </c>
      <c r="D54" s="886" t="s">
        <v>1157</v>
      </c>
      <c r="E54" s="869"/>
      <c r="F54" s="1938">
        <f>'Expenditures 15-22'!G114</f>
        <v>312697</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41433</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2498790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3554</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1290</v>
      </c>
      <c r="G71" s="866"/>
    </row>
    <row r="72" spans="1:8" x14ac:dyDescent="0.2">
      <c r="A72" s="870" t="s">
        <v>482</v>
      </c>
      <c r="B72" s="870" t="s">
        <v>2005</v>
      </c>
      <c r="C72" s="887">
        <f>'Expenditures 15-22'!B280</f>
        <v>3000</v>
      </c>
      <c r="D72" s="877" t="s">
        <v>469</v>
      </c>
      <c r="E72" s="869"/>
      <c r="F72" s="1938">
        <f>'Expenditures 15-22'!K280</f>
        <v>7</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3860849</v>
      </c>
      <c r="G76" s="866"/>
    </row>
    <row r="77" spans="1:8" s="894" customFormat="1" ht="12" customHeight="1" thickTop="1" thickBot="1" x14ac:dyDescent="0.25">
      <c r="A77" s="1801"/>
      <c r="B77" s="1798"/>
      <c r="C77" s="1794"/>
      <c r="D77" s="1799" t="s">
        <v>2009</v>
      </c>
      <c r="E77" s="1796"/>
      <c r="F77" s="1802">
        <f>(F14-F76)</f>
        <v>19102088</v>
      </c>
      <c r="G77" s="870"/>
    </row>
    <row r="78" spans="1:8" s="894" customFormat="1" ht="12" customHeight="1" thickTop="1" x14ac:dyDescent="0.2">
      <c r="A78" s="1803"/>
      <c r="B78" s="1798"/>
      <c r="C78" s="1794"/>
      <c r="D78" s="1799" t="s">
        <v>2056</v>
      </c>
      <c r="E78" s="1796"/>
      <c r="F78" s="899">
        <v>1810.65</v>
      </c>
      <c r="G78" s="900"/>
      <c r="H78" s="870"/>
    </row>
    <row r="79" spans="1:8" s="894" customFormat="1" ht="12" customHeight="1" thickBot="1" x14ac:dyDescent="0.25">
      <c r="A79" s="1804"/>
      <c r="B79" s="1798"/>
      <c r="C79" s="1794"/>
      <c r="D79" s="1799" t="s">
        <v>2010</v>
      </c>
      <c r="E79" s="1796" t="s">
        <v>1015</v>
      </c>
      <c r="F79" s="1805">
        <f>IF(F78&gt;0,F77/F78," Complete Line 78")</f>
        <v>10549.851158423769</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296361</v>
      </c>
      <c r="G94" s="913"/>
    </row>
    <row r="95" spans="1:7" x14ac:dyDescent="0.2">
      <c r="A95" s="909" t="s">
        <v>142</v>
      </c>
      <c r="B95" s="909" t="s">
        <v>177</v>
      </c>
      <c r="C95" s="911">
        <v>1700</v>
      </c>
      <c r="D95" s="919" t="str">
        <f>'Revenues 9-14'!A82</f>
        <v>Total District/School Activity Income</v>
      </c>
      <c r="E95" s="907"/>
      <c r="F95" s="1811">
        <f>SUM('Revenues 9-14'!C82,'Revenues 9-14'!D82)</f>
        <v>80285</v>
      </c>
      <c r="G95" s="913"/>
    </row>
    <row r="96" spans="1:7" x14ac:dyDescent="0.2">
      <c r="A96" s="909" t="s">
        <v>479</v>
      </c>
      <c r="B96" s="909" t="s">
        <v>178</v>
      </c>
      <c r="C96" s="911">
        <f>'Revenues 9-14'!B84</f>
        <v>1811</v>
      </c>
      <c r="D96" s="912" t="str">
        <f>'Revenues 9-14'!A84</f>
        <v>Rentals - Regular Textbooks</v>
      </c>
      <c r="E96" s="907"/>
      <c r="F96" s="1811">
        <f>'Revenues 9-14'!C84</f>
        <v>173468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37714</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1871728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3419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3183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28992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479000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2704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221573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151954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6950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404984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2199</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34273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57148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29574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30696</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3916205</v>
      </c>
    </row>
    <row r="179" spans="1:7" ht="12" customHeight="1" x14ac:dyDescent="0.2">
      <c r="A179" s="1792"/>
      <c r="B179" s="1806"/>
      <c r="C179" s="1807"/>
      <c r="D179" s="1808" t="s">
        <v>2012</v>
      </c>
      <c r="E179" s="1809"/>
      <c r="F179" s="1811">
        <f>'PCTC-OEPP 27-28'!F77-F178</f>
        <v>15185883</v>
      </c>
    </row>
    <row r="180" spans="1:7" ht="12" customHeight="1" x14ac:dyDescent="0.2">
      <c r="A180" s="1792"/>
      <c r="B180" s="1806"/>
      <c r="C180" s="1807"/>
      <c r="D180" s="1808" t="s">
        <v>1921</v>
      </c>
      <c r="E180" s="1809"/>
      <c r="F180" s="1811">
        <f>'Cap Outlay Deprec 26'!I18</f>
        <v>1075851</v>
      </c>
    </row>
    <row r="181" spans="1:7" ht="12" customHeight="1" x14ac:dyDescent="0.2">
      <c r="A181" s="1792"/>
      <c r="B181" s="1806"/>
      <c r="C181" s="1807"/>
      <c r="D181" s="1808" t="s">
        <v>2013</v>
      </c>
      <c r="E181" s="1809"/>
      <c r="F181" s="1811">
        <f>F179+F180</f>
        <v>16261734</v>
      </c>
    </row>
    <row r="182" spans="1:7" ht="12" customHeight="1" x14ac:dyDescent="0.2">
      <c r="A182" s="1792"/>
      <c r="B182" s="1812"/>
      <c r="C182" s="1807"/>
      <c r="D182" s="1808" t="str">
        <f>D78</f>
        <v>9 Month ADA from District Average Daily Attendance/Prior General State Aid Inquiry 2017-2018</v>
      </c>
      <c r="E182" s="1809"/>
      <c r="F182" s="1813">
        <f>'PCTC-OEPP 27-28'!F78</f>
        <v>1810.65</v>
      </c>
      <c r="G182" s="931"/>
    </row>
    <row r="183" spans="1:7" ht="12" customHeight="1" thickBot="1" x14ac:dyDescent="0.25">
      <c r="A183" s="1792"/>
      <c r="B183" s="1812"/>
      <c r="C183" s="1807"/>
      <c r="D183" s="1808" t="s">
        <v>2014</v>
      </c>
      <c r="E183" s="1809" t="s">
        <v>1626</v>
      </c>
      <c r="F183" s="1814">
        <f>F181/F182</f>
        <v>8981.1581476265419</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sqref="A1:F1"/>
      <selection pane="bottomLeft"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8" t="s">
        <v>1922</v>
      </c>
      <c r="B4" s="2299"/>
      <c r="C4" s="2299"/>
      <c r="D4" s="2299"/>
      <c r="E4" s="2299"/>
      <c r="F4" s="2299"/>
      <c r="G4" s="2300"/>
    </row>
    <row r="5" spans="1:7" x14ac:dyDescent="0.25">
      <c r="A5" s="2301"/>
      <c r="B5" s="2302"/>
      <c r="C5" s="2302"/>
      <c r="D5" s="2302"/>
      <c r="E5" s="2302"/>
      <c r="F5" s="2302"/>
      <c r="G5" s="2303"/>
    </row>
    <row r="6" spans="1:7" ht="18.75" x14ac:dyDescent="0.25">
      <c r="A6" s="1556" t="s">
        <v>1923</v>
      </c>
      <c r="B6" s="1557"/>
      <c r="C6" s="1557"/>
      <c r="D6" s="1557"/>
      <c r="E6" s="1557"/>
      <c r="F6" s="1557"/>
      <c r="G6" s="1558"/>
    </row>
    <row r="7" spans="1:7" ht="30.75" customHeight="1" x14ac:dyDescent="0.25">
      <c r="A7" s="2304" t="s">
        <v>2072</v>
      </c>
      <c r="B7" s="2305"/>
      <c r="C7" s="2305"/>
      <c r="D7" s="2305"/>
      <c r="E7" s="2305"/>
      <c r="F7" s="2305"/>
      <c r="G7" s="2306"/>
    </row>
    <row r="8" spans="1:7" ht="15.75" customHeight="1" x14ac:dyDescent="0.25">
      <c r="A8" s="2307" t="s">
        <v>2021</v>
      </c>
      <c r="B8" s="2308"/>
      <c r="C8" s="2308"/>
      <c r="D8" s="2308"/>
      <c r="E8" s="2308"/>
      <c r="F8" s="2308"/>
      <c r="G8" s="2309"/>
    </row>
    <row r="9" spans="1:7" ht="35.25" customHeight="1" x14ac:dyDescent="0.25">
      <c r="A9" s="2304" t="s">
        <v>2020</v>
      </c>
      <c r="B9" s="2305"/>
      <c r="C9" s="2305"/>
      <c r="D9" s="2305"/>
      <c r="E9" s="2305"/>
      <c r="F9" s="2305"/>
      <c r="G9" s="2306"/>
    </row>
    <row r="10" spans="1:7" ht="15" customHeight="1" x14ac:dyDescent="0.25">
      <c r="A10" s="1559" t="s">
        <v>1924</v>
      </c>
      <c r="B10" s="1560"/>
      <c r="C10" s="1560"/>
      <c r="D10" s="1560"/>
      <c r="E10" s="1560"/>
      <c r="F10" s="1560"/>
      <c r="G10" s="1561"/>
    </row>
    <row r="11" spans="1:7" ht="17.25" customHeight="1" x14ac:dyDescent="0.25">
      <c r="A11" s="2304" t="s">
        <v>1938</v>
      </c>
      <c r="B11" s="2305"/>
      <c r="C11" s="2305"/>
      <c r="D11" s="2305"/>
      <c r="E11" s="2305"/>
      <c r="F11" s="2305"/>
      <c r="G11" s="2306"/>
    </row>
    <row r="12" spans="1:7" ht="15" customHeight="1" x14ac:dyDescent="0.25">
      <c r="A12" s="1559" t="s">
        <v>1929</v>
      </c>
      <c r="B12" s="1560"/>
      <c r="C12" s="1560"/>
      <c r="D12" s="1560"/>
      <c r="E12" s="1560"/>
      <c r="F12" s="1560"/>
      <c r="G12" s="1561"/>
    </row>
    <row r="13" spans="1:7" ht="32.25" customHeight="1" x14ac:dyDescent="0.25">
      <c r="A13" s="2295" t="s">
        <v>1930</v>
      </c>
      <c r="B13" s="2296"/>
      <c r="C13" s="2296"/>
      <c r="D13" s="2296"/>
      <c r="E13" s="2296"/>
      <c r="F13" s="2296"/>
      <c r="G13" s="229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5" t="s">
        <v>2156</v>
      </c>
      <c r="B17" s="1965" t="s">
        <v>2173</v>
      </c>
      <c r="C17" s="1965" t="s">
        <v>2157</v>
      </c>
      <c r="D17" s="1966">
        <v>19500</v>
      </c>
      <c r="E17" s="1562">
        <f t="shared" ref="E17:E141" si="1">IF(D17&lt;=25000,D17,IF(D17&gt;25000,25000,0))</f>
        <v>19500</v>
      </c>
      <c r="F17" s="1815">
        <f t="shared" si="0"/>
        <v>19500</v>
      </c>
      <c r="G17" s="1816">
        <f>IF(F17=0,0,D17-F17)</f>
        <v>0</v>
      </c>
      <c r="H17" s="1669"/>
    </row>
    <row r="18" spans="1:8" x14ac:dyDescent="0.25">
      <c r="A18" s="1965" t="s">
        <v>2158</v>
      </c>
      <c r="B18" s="1965" t="s">
        <v>2174</v>
      </c>
      <c r="C18" s="1965" t="s">
        <v>2155</v>
      </c>
      <c r="D18" s="1966">
        <v>259021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234021</v>
      </c>
    </row>
    <row r="19" spans="1:8" x14ac:dyDescent="0.25">
      <c r="A19" s="1965" t="s">
        <v>2159</v>
      </c>
      <c r="B19" s="1965" t="s">
        <v>2175</v>
      </c>
      <c r="C19" s="1965" t="s">
        <v>2160</v>
      </c>
      <c r="D19" s="1966">
        <v>6084</v>
      </c>
      <c r="E19" s="1562">
        <f t="shared" si="2"/>
        <v>6084</v>
      </c>
      <c r="F19" s="1815">
        <f t="shared" si="3"/>
        <v>6084</v>
      </c>
      <c r="G19" s="1816">
        <f t="shared" si="4"/>
        <v>0</v>
      </c>
    </row>
    <row r="20" spans="1:8" x14ac:dyDescent="0.25">
      <c r="A20" s="1965" t="s">
        <v>2161</v>
      </c>
      <c r="B20" s="1965" t="s">
        <v>2176</v>
      </c>
      <c r="C20" s="1965" t="s">
        <v>2162</v>
      </c>
      <c r="D20" s="1966">
        <v>1410</v>
      </c>
      <c r="E20" s="1562">
        <f t="shared" si="2"/>
        <v>1410</v>
      </c>
      <c r="F20" s="1815">
        <f t="shared" si="3"/>
        <v>1410</v>
      </c>
      <c r="G20" s="1816">
        <f t="shared" si="4"/>
        <v>0</v>
      </c>
    </row>
    <row r="21" spans="1:8" x14ac:dyDescent="0.25">
      <c r="A21" s="1965" t="s">
        <v>2159</v>
      </c>
      <c r="B21" s="1965" t="s">
        <v>2177</v>
      </c>
      <c r="C21" s="1965" t="s">
        <v>2163</v>
      </c>
      <c r="D21" s="1966">
        <v>7050</v>
      </c>
      <c r="E21" s="1562">
        <f t="shared" si="2"/>
        <v>7050</v>
      </c>
      <c r="F21" s="1815">
        <f t="shared" si="3"/>
        <v>7050</v>
      </c>
      <c r="G21" s="1816">
        <f t="shared" si="4"/>
        <v>0</v>
      </c>
    </row>
    <row r="22" spans="1:8" x14ac:dyDescent="0.25">
      <c r="A22" s="1965" t="s">
        <v>2156</v>
      </c>
      <c r="B22" s="1965" t="s">
        <v>2173</v>
      </c>
      <c r="C22" s="1965" t="s">
        <v>2164</v>
      </c>
      <c r="D22" s="1966">
        <v>1138.5899999999999</v>
      </c>
      <c r="E22" s="1562">
        <f t="shared" si="2"/>
        <v>1138.5899999999999</v>
      </c>
      <c r="F22" s="1815">
        <f t="shared" si="3"/>
        <v>1138.5899999999999</v>
      </c>
      <c r="G22" s="1816">
        <f t="shared" si="4"/>
        <v>0</v>
      </c>
    </row>
    <row r="23" spans="1:8" x14ac:dyDescent="0.25">
      <c r="A23" s="1965" t="s">
        <v>2161</v>
      </c>
      <c r="B23" s="1965" t="s">
        <v>2176</v>
      </c>
      <c r="C23" s="1965" t="s">
        <v>2165</v>
      </c>
      <c r="D23" s="1966">
        <v>5717.38</v>
      </c>
      <c r="E23" s="1562">
        <f t="shared" si="2"/>
        <v>5717.38</v>
      </c>
      <c r="F23" s="1815">
        <f t="shared" si="3"/>
        <v>5717.38</v>
      </c>
      <c r="G23" s="1816">
        <f t="shared" si="4"/>
        <v>0</v>
      </c>
    </row>
    <row r="24" spans="1:8" x14ac:dyDescent="0.25">
      <c r="A24" s="1965" t="s">
        <v>2159</v>
      </c>
      <c r="B24" s="1965" t="s">
        <v>2178</v>
      </c>
      <c r="C24" s="1965" t="s">
        <v>2166</v>
      </c>
      <c r="D24" s="1966">
        <v>1806</v>
      </c>
      <c r="E24" s="1562">
        <f t="shared" si="2"/>
        <v>1806</v>
      </c>
      <c r="F24" s="1815">
        <f t="shared" si="3"/>
        <v>1806</v>
      </c>
      <c r="G24" s="1816">
        <f t="shared" si="4"/>
        <v>0</v>
      </c>
    </row>
    <row r="25" spans="1:8" x14ac:dyDescent="0.25">
      <c r="A25" s="1965" t="s">
        <v>2159</v>
      </c>
      <c r="B25" s="1965" t="s">
        <v>2177</v>
      </c>
      <c r="C25" s="1965" t="s">
        <v>2167</v>
      </c>
      <c r="D25" s="1966">
        <v>325</v>
      </c>
      <c r="E25" s="1562">
        <f t="shared" si="2"/>
        <v>325</v>
      </c>
      <c r="F25" s="1815">
        <f t="shared" si="3"/>
        <v>325</v>
      </c>
      <c r="G25" s="1816">
        <f t="shared" si="4"/>
        <v>0</v>
      </c>
    </row>
    <row r="26" spans="1:8" x14ac:dyDescent="0.25">
      <c r="A26" s="1965" t="s">
        <v>2159</v>
      </c>
      <c r="B26" s="1965" t="s">
        <v>2179</v>
      </c>
      <c r="C26" s="1965" t="s">
        <v>2168</v>
      </c>
      <c r="D26" s="1966">
        <v>3000</v>
      </c>
      <c r="E26" s="1562">
        <f t="shared" si="2"/>
        <v>3000</v>
      </c>
      <c r="F26" s="1815">
        <f t="shared" si="3"/>
        <v>3000</v>
      </c>
      <c r="G26" s="1816">
        <f t="shared" si="4"/>
        <v>0</v>
      </c>
    </row>
    <row r="27" spans="1:8" x14ac:dyDescent="0.25">
      <c r="A27" s="1965" t="s">
        <v>2161</v>
      </c>
      <c r="B27" s="1965" t="s">
        <v>2176</v>
      </c>
      <c r="C27" s="1965" t="s">
        <v>2169</v>
      </c>
      <c r="D27" s="1966">
        <v>12908.92</v>
      </c>
      <c r="E27" s="1562">
        <f t="shared" si="2"/>
        <v>12908.92</v>
      </c>
      <c r="F27" s="1815">
        <f t="shared" si="3"/>
        <v>12908.92</v>
      </c>
      <c r="G27" s="1816">
        <f t="shared" si="4"/>
        <v>0</v>
      </c>
    </row>
    <row r="28" spans="1:8" x14ac:dyDescent="0.25">
      <c r="A28" s="1965" t="s">
        <v>2159</v>
      </c>
      <c r="B28" s="1965" t="s">
        <v>2177</v>
      </c>
      <c r="C28" s="1965" t="s">
        <v>2170</v>
      </c>
      <c r="D28" s="1966">
        <v>9600</v>
      </c>
      <c r="E28" s="1562">
        <f t="shared" si="2"/>
        <v>9600</v>
      </c>
      <c r="F28" s="1815">
        <f t="shared" si="3"/>
        <v>9600</v>
      </c>
      <c r="G28" s="1816">
        <f t="shared" si="4"/>
        <v>0</v>
      </c>
    </row>
    <row r="29" spans="1:8" x14ac:dyDescent="0.25">
      <c r="A29" s="1965" t="s">
        <v>2159</v>
      </c>
      <c r="B29" s="1965" t="s">
        <v>2177</v>
      </c>
      <c r="C29" s="1965" t="s">
        <v>2171</v>
      </c>
      <c r="D29" s="1966">
        <v>5000</v>
      </c>
      <c r="E29" s="1562">
        <f t="shared" si="2"/>
        <v>5000</v>
      </c>
      <c r="F29" s="1815">
        <f t="shared" si="3"/>
        <v>5000</v>
      </c>
      <c r="G29" s="1816">
        <f t="shared" si="4"/>
        <v>0</v>
      </c>
    </row>
    <row r="30" spans="1:8" x14ac:dyDescent="0.25">
      <c r="A30" s="1965" t="s">
        <v>2159</v>
      </c>
      <c r="B30" s="1965" t="s">
        <v>2178</v>
      </c>
      <c r="C30" s="1965" t="s">
        <v>2172</v>
      </c>
      <c r="D30" s="1966">
        <v>88428</v>
      </c>
      <c r="E30" s="1562">
        <f t="shared" si="2"/>
        <v>25000</v>
      </c>
      <c r="F30" s="1815">
        <f t="shared" si="3"/>
        <v>25000</v>
      </c>
      <c r="G30" s="1816">
        <f t="shared" si="4"/>
        <v>63428</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420988.89</v>
      </c>
      <c r="E141" s="1563">
        <f t="shared" si="1"/>
        <v>25000</v>
      </c>
      <c r="F141" s="1817">
        <f>SUM(F17:F140)</f>
        <v>123539.89</v>
      </c>
      <c r="G141" s="1818">
        <f>SUM(G17:G140)</f>
        <v>297449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221573</v>
      </c>
      <c r="F10" s="975"/>
      <c r="G10" s="976"/>
      <c r="H10" s="162"/>
      <c r="I10" s="162"/>
    </row>
    <row r="11" spans="1:9" s="669" customFormat="1" ht="22.5" customHeight="1" x14ac:dyDescent="0.2">
      <c r="A11" s="2315" t="s">
        <v>1942</v>
      </c>
      <c r="B11" s="2316"/>
      <c r="C11" s="2316"/>
      <c r="D11" s="2317"/>
      <c r="E11" s="978">
        <v>50214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10051434</v>
      </c>
      <c r="F19" s="1822"/>
      <c r="G19" s="1824">
        <f>'Expenditures 15-22'!K33-SUM('Expenditures 15-22'!G33,'Expenditures 15-22'!I33)+'Expenditures 15-22'!D229</f>
        <v>10051434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1094419</v>
      </c>
      <c r="F21" s="1825"/>
      <c r="G21" s="1828">
        <f>'Expenditures 15-22'!K42-SUM('Expenditures 15-22'!G42,'Expenditures 15-22'!I42)+'Expenditures 15-22'!K120-SUM('Expenditures 15-22'!G120,'Expenditures 15-22'!I120)+'Expenditures 15-22'!K180-SUM('Expenditures 15-22'!G180,'Expenditures 15-22'!I180)+'Expenditures 15-22'!D238</f>
        <v>1094419</v>
      </c>
      <c r="H21" s="988"/>
      <c r="I21" s="162"/>
    </row>
    <row r="22" spans="1:9" s="669" customFormat="1" ht="12" customHeight="1" x14ac:dyDescent="0.2">
      <c r="A22" s="995" t="s">
        <v>585</v>
      </c>
      <c r="B22" s="996"/>
      <c r="C22" s="994">
        <v>2200</v>
      </c>
      <c r="D22" s="1825"/>
      <c r="E22" s="1827">
        <f>'Expenditures 15-22'!K47-SUM('Expenditures 15-22'!G47,'Expenditures 15-22'!I47)+'Expenditures 15-22'!D243</f>
        <v>1026292</v>
      </c>
      <c r="F22" s="1825"/>
      <c r="G22" s="1828">
        <f>'Expenditures 15-22'!K47-SUM('Expenditures 15-22'!G47,'Expenditures 15-22'!I47)+'Expenditures 15-22'!D243</f>
        <v>1026292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782700</v>
      </c>
      <c r="F23" s="1825"/>
      <c r="G23" s="1827">
        <f>'Expenditures 15-22'!K53-SUM('Expenditures 15-22'!G53,'Expenditures 15-22'!I53)+'Expenditures 15-22'!D257+'Expenditures 15-22'!K330-SUM('Expenditures 15-22'!G330,'Expenditures 15-22'!I330)</f>
        <v>782700</v>
      </c>
      <c r="H23" s="988"/>
      <c r="I23" s="162"/>
    </row>
    <row r="24" spans="1:9" s="669" customFormat="1" ht="12" customHeight="1" x14ac:dyDescent="0.2">
      <c r="A24" s="995" t="s">
        <v>587</v>
      </c>
      <c r="B24" s="996"/>
      <c r="C24" s="994">
        <v>2400</v>
      </c>
      <c r="D24" s="1825"/>
      <c r="E24" s="1827">
        <f>'Expenditures 15-22'!K57-SUM('Expenditures 15-22'!G57,'Expenditures 15-22'!I57)+'Expenditures 15-22'!D261</f>
        <v>1026563</v>
      </c>
      <c r="F24" s="1825"/>
      <c r="G24" s="1828">
        <f>'Expenditures 15-22'!K57-SUM('Expenditures 15-22'!G57,'Expenditures 15-22'!I57)+'Expenditures 15-22'!D261</f>
        <v>1026563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181232</v>
      </c>
      <c r="E27" s="1827">
        <f>E8</f>
        <v>0</v>
      </c>
      <c r="F27" s="1827">
        <f>'Expenditures 15-22'!K60-SUM('Expenditures 15-22'!G60,'Expenditures 15-22'!I60)+'Expenditures 15-22'!D264-E8</f>
        <v>181232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1805889</v>
      </c>
      <c r="F28" s="1829">
        <f>'Expenditures 15-22'!K61-SUM('Expenditures 15-22'!G61,'Expenditures 15-22'!I61)+'Expenditures 15-22'!K124-SUM('Expenditures 15-22'!G124,'Expenditures 15-22'!I124)+'Expenditures 15-22'!D266-E9</f>
        <v>1805889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1052058</v>
      </c>
      <c r="F29" s="1825"/>
      <c r="G29" s="1828">
        <f>'Expenditures 15-22'!K62-SUM('Expenditures 15-22'!G62,'Expenditures 15-22'!I62)+'Expenditures 15-22'!K125-SUM('Expenditures 15-22'!G125,'Expenditures 15-22'!I125)+'Expenditures 15-22'!K182-SUM('Expenditures 15-22'!G182,'Expenditures 15-22'!I182)+'Expenditures 15-22'!D267</f>
        <v>1052058</v>
      </c>
      <c r="H29" s="986"/>
    </row>
    <row r="30" spans="1:9" ht="12" customHeight="1" x14ac:dyDescent="0.2">
      <c r="A30" s="995" t="s">
        <v>102</v>
      </c>
      <c r="B30" s="998"/>
      <c r="C30" s="994">
        <v>2560</v>
      </c>
      <c r="D30" s="1825"/>
      <c r="E30" s="1827">
        <f>'Expenditures 15-22'!K63-SUM('Expenditures 15-22'!G63,'Expenditures 15-22'!I63)+'Expenditures 15-22'!D268-E10</f>
        <v>325787</v>
      </c>
      <c r="F30" s="1825"/>
      <c r="G30" s="1827">
        <f>'Expenditures 15-22'!K63-SUM('Expenditures 15-22'!G63,'Expenditures 15-22'!I63)+'Expenditures 15-22'!D268-E10</f>
        <v>325787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84728</v>
      </c>
      <c r="E36" s="1827">
        <f>E13</f>
        <v>0</v>
      </c>
      <c r="F36" s="1827">
        <f>'Expenditures 15-22'!K70-SUM('Expenditures 15-22'!G70,'Expenditures 15-22'!I70)+'Expenditures 15-22'!D275-E13</f>
        <v>84728</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18273</v>
      </c>
      <c r="F38" s="1825"/>
      <c r="G38" s="1827">
        <f>'Expenditures 15-22'!K73-SUM('Expenditures 15-22'!G73,'Expenditures 15-22'!I73)+'Expenditures 15-22'!K128-SUM('Expenditures 15-22'!G128,'Expenditures 15-22'!I128)+'Expenditures 15-22'!K183-SUM('Expenditures 15-22'!G183,'Expenditures 15-22'!I183)+'Expenditures 15-22'!D278</f>
        <v>18273</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1200</v>
      </c>
      <c r="F39" s="1825"/>
      <c r="G39" s="1827">
        <f>'Expenditures 15-22'!K75-SUM('Expenditures 15-22'!G75,'Expenditures 15-22'!I75)+'Expenditures 15-22'!K130-SUM('Expenditures 15-22'!G130,'Expenditures 15-22'!I130)+'Expenditures 15-22'!K185-SUM('Expenditures 15-22'!G185,'Expenditures 15-22'!I185)+'Expenditures 15-22'!D280</f>
        <v>1200</v>
      </c>
    </row>
    <row r="40" spans="1:7" ht="12" customHeight="1" x14ac:dyDescent="0.2">
      <c r="A40" s="991" t="s">
        <v>1927</v>
      </c>
      <c r="B40" s="992"/>
      <c r="C40" s="994"/>
      <c r="D40" s="1825"/>
      <c r="E40" s="1829">
        <f>-'Contracts Paid in CY 29'!G141</f>
        <v>-297449</v>
      </c>
      <c r="F40" s="1825"/>
      <c r="G40" s="1829">
        <f>-'Contracts Paid in CY 29'!G141</f>
        <v>-297449</v>
      </c>
    </row>
    <row r="41" spans="1:7" ht="12" customHeight="1" x14ac:dyDescent="0.2">
      <c r="A41" s="999" t="s">
        <v>158</v>
      </c>
      <c r="B41" s="1000"/>
      <c r="C41" s="1001"/>
      <c r="D41" s="1829">
        <f>SUM(D19:D39)</f>
        <v>265960</v>
      </c>
      <c r="E41" s="1829">
        <f>SUM(E19:E40)</f>
        <v>16887166</v>
      </c>
      <c r="F41" s="1829">
        <f>SUM(F19:F39)</f>
        <v>2071849</v>
      </c>
      <c r="G41" s="1829">
        <f>SUM(G19:G40)</f>
        <v>15081277</v>
      </c>
    </row>
    <row r="42" spans="1:7" x14ac:dyDescent="0.2">
      <c r="A42" s="988"/>
      <c r="B42" s="162"/>
      <c r="C42" s="1002"/>
      <c r="D42" s="2313" t="s">
        <v>543</v>
      </c>
      <c r="E42" s="2314"/>
      <c r="F42" s="1003" t="s">
        <v>544</v>
      </c>
      <c r="G42" s="1004"/>
    </row>
    <row r="43" spans="1:7" ht="12" customHeight="1" x14ac:dyDescent="0.2">
      <c r="A43" s="988"/>
      <c r="B43" s="162"/>
      <c r="C43" s="1002"/>
      <c r="D43" s="1830" t="s">
        <v>493</v>
      </c>
      <c r="E43" s="1831">
        <f>D41</f>
        <v>265960</v>
      </c>
      <c r="F43" s="1830" t="s">
        <v>495</v>
      </c>
      <c r="G43" s="1831">
        <f>F41</f>
        <v>2071849</v>
      </c>
    </row>
    <row r="44" spans="1:7" ht="12" customHeight="1" x14ac:dyDescent="0.2">
      <c r="A44" s="988"/>
      <c r="B44" s="162"/>
      <c r="C44" s="1002"/>
      <c r="D44" s="1830" t="s">
        <v>494</v>
      </c>
      <c r="E44" s="1831">
        <f>E41</f>
        <v>16887166</v>
      </c>
      <c r="F44" s="1830" t="s">
        <v>494</v>
      </c>
      <c r="G44" s="1831">
        <f>G41</f>
        <v>15081277</v>
      </c>
    </row>
    <row r="45" spans="1:7" ht="12" customHeight="1" x14ac:dyDescent="0.2">
      <c r="A45" s="988"/>
      <c r="B45" s="162"/>
      <c r="C45" s="162"/>
      <c r="D45" s="1832" t="s">
        <v>1063</v>
      </c>
      <c r="E45" s="1833">
        <f>(E43/E44)</f>
        <v>1.5749238208471451E-2</v>
      </c>
      <c r="F45" s="1832" t="s">
        <v>1063</v>
      </c>
      <c r="G45" s="1833">
        <f>(G43/G44)</f>
        <v>0.137378883764286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2" t="s">
        <v>1446</v>
      </c>
      <c r="B1" s="2332"/>
      <c r="C1" s="2332"/>
      <c r="D1" s="2332"/>
      <c r="E1" s="2332"/>
      <c r="F1" s="2332"/>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3" t="s">
        <v>1627</v>
      </c>
      <c r="B5" s="2334"/>
      <c r="C5" s="2335"/>
      <c r="D5" s="2335"/>
      <c r="E5" s="2335"/>
      <c r="F5" s="2335"/>
    </row>
    <row r="6" spans="1:10" ht="12" customHeight="1" x14ac:dyDescent="0.25">
      <c r="A6" s="1874"/>
      <c r="B6" s="1875"/>
      <c r="C6" s="2336" t="str">
        <f>COVER!A17</f>
        <v>Manteno CUSD 5</v>
      </c>
      <c r="D6" s="2336"/>
      <c r="E6" s="2336"/>
      <c r="F6" s="1876"/>
    </row>
    <row r="7" spans="1:10" ht="11.25" customHeight="1" thickBot="1" x14ac:dyDescent="0.3">
      <c r="A7" s="1874"/>
      <c r="B7" s="1875"/>
      <c r="C7" s="2337">
        <f>COVER!A13</f>
        <v>32046005026</v>
      </c>
      <c r="D7" s="2337"/>
      <c r="E7" s="2337"/>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2098</v>
      </c>
      <c r="D13" s="1889"/>
      <c r="E13" s="1892"/>
      <c r="F13" s="1891" t="s">
        <v>2096</v>
      </c>
      <c r="H13" s="1902">
        <f t="shared" si="0"/>
        <v>5</v>
      </c>
      <c r="I13" s="1902">
        <f t="shared" si="1"/>
        <v>0</v>
      </c>
      <c r="J13" s="1902">
        <f t="shared" si="2"/>
        <v>0</v>
      </c>
    </row>
    <row r="14" spans="1:10" ht="12" customHeight="1" x14ac:dyDescent="0.2">
      <c r="A14" s="1887" t="s">
        <v>1453</v>
      </c>
      <c r="B14" s="1888"/>
      <c r="C14" s="1889" t="s">
        <v>2098</v>
      </c>
      <c r="D14" s="1889"/>
      <c r="E14" s="1892"/>
      <c r="F14" s="1891" t="s">
        <v>2097</v>
      </c>
      <c r="H14" s="1902">
        <f t="shared" si="0"/>
        <v>5</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2098</v>
      </c>
      <c r="D16" s="1889"/>
      <c r="E16" s="1892"/>
      <c r="F16" s="1891" t="s">
        <v>2099</v>
      </c>
      <c r="H16" s="1902">
        <f t="shared" si="0"/>
        <v>5</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2098</v>
      </c>
      <c r="D19" s="1889"/>
      <c r="E19" s="1892"/>
      <c r="F19" s="1891" t="s">
        <v>2100</v>
      </c>
      <c r="H19" s="1902">
        <f t="shared" si="0"/>
        <v>5</v>
      </c>
      <c r="I19" s="1902">
        <f t="shared" si="1"/>
        <v>0</v>
      </c>
      <c r="J19" s="1902">
        <f t="shared" si="2"/>
        <v>0</v>
      </c>
    </row>
    <row r="20" spans="1:12" ht="12" customHeight="1" x14ac:dyDescent="0.2">
      <c r="A20" s="1887" t="s">
        <v>1609</v>
      </c>
      <c r="B20" s="1888"/>
      <c r="C20" s="1889" t="s">
        <v>2098</v>
      </c>
      <c r="D20" s="1889"/>
      <c r="E20" s="1892"/>
      <c r="F20" s="1891" t="s">
        <v>2200</v>
      </c>
      <c r="H20" s="1902">
        <f t="shared" si="0"/>
        <v>5</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2098</v>
      </c>
      <c r="D24" s="1889"/>
      <c r="E24" s="1892"/>
      <c r="F24" s="1891" t="s">
        <v>2101</v>
      </c>
      <c r="H24" s="1902">
        <f t="shared" si="0"/>
        <v>5</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2098</v>
      </c>
      <c r="D28" s="1889"/>
      <c r="E28" s="1892"/>
      <c r="F28" s="1891" t="s">
        <v>2102</v>
      </c>
      <c r="H28" s="1902">
        <f t="shared" si="0"/>
        <v>5</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2098</v>
      </c>
      <c r="D30" s="1889"/>
      <c r="E30" s="1892"/>
      <c r="F30" s="1891" t="s">
        <v>2103</v>
      </c>
      <c r="H30" s="1902">
        <f t="shared" si="0"/>
        <v>5</v>
      </c>
      <c r="I30" s="1902">
        <f t="shared" si="1"/>
        <v>0</v>
      </c>
      <c r="J30" s="1902">
        <f t="shared" si="2"/>
        <v>0</v>
      </c>
    </row>
    <row r="31" spans="1:12" ht="12" customHeight="1" x14ac:dyDescent="0.2">
      <c r="A31" s="1887" t="s">
        <v>1620</v>
      </c>
      <c r="B31" s="1888"/>
      <c r="C31" s="1889" t="s">
        <v>2098</v>
      </c>
      <c r="D31" s="1889"/>
      <c r="E31" s="1892"/>
      <c r="F31" s="1891" t="s">
        <v>2103</v>
      </c>
      <c r="H31" s="1902">
        <f t="shared" si="0"/>
        <v>5</v>
      </c>
      <c r="I31" s="1902">
        <f t="shared" si="1"/>
        <v>0</v>
      </c>
      <c r="J31" s="1902">
        <f t="shared" si="2"/>
        <v>0</v>
      </c>
      <c r="L31" s="1893"/>
    </row>
    <row r="32" spans="1:12" ht="12" customHeight="1" x14ac:dyDescent="0.2">
      <c r="A32" s="1887" t="s">
        <v>1621</v>
      </c>
      <c r="B32" s="1888"/>
      <c r="C32" s="1889" t="s">
        <v>2098</v>
      </c>
      <c r="D32" s="1889"/>
      <c r="E32" s="1892"/>
      <c r="F32" s="1891" t="s">
        <v>2104</v>
      </c>
      <c r="H32" s="1902">
        <f t="shared" si="0"/>
        <v>5</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50</v>
      </c>
      <c r="I34" s="1902">
        <f>SUM(I11:I32)</f>
        <v>0</v>
      </c>
      <c r="J34" s="1902">
        <f>SUM(J11:J32)</f>
        <v>0</v>
      </c>
      <c r="K34" s="1902">
        <f>SUM(H34:J34)</f>
        <v>50</v>
      </c>
    </row>
    <row r="35" spans="1:11" ht="12" customHeight="1" x14ac:dyDescent="0.2">
      <c r="A35" s="1895" t="s">
        <v>1459</v>
      </c>
      <c r="B35" s="1896"/>
      <c r="C35" s="2338"/>
      <c r="D35" s="2338"/>
      <c r="E35" s="2338"/>
      <c r="F35" s="2339"/>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c r="B41" s="2330"/>
      <c r="C41" s="2330"/>
      <c r="D41" s="2330"/>
      <c r="E41" s="2330"/>
      <c r="F41" s="2331"/>
      <c r="H41" s="1903"/>
      <c r="I41" s="1903"/>
      <c r="J41" s="1903"/>
      <c r="K41" s="1903"/>
    </row>
    <row r="42" spans="1:11" s="1894" customFormat="1" ht="12" customHeight="1" x14ac:dyDescent="0.25">
      <c r="A42" s="2329"/>
      <c r="B42" s="2330"/>
      <c r="C42" s="2330"/>
      <c r="D42" s="2330"/>
      <c r="E42" s="2330"/>
      <c r="F42" s="2331"/>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45" t="str">
        <f>COVER!A17</f>
        <v>Manteno CUSD 5</v>
      </c>
      <c r="J6" s="2346"/>
      <c r="Q6" s="1686"/>
    </row>
    <row r="7" spans="1:17" x14ac:dyDescent="0.2">
      <c r="A7" s="2347" t="s">
        <v>924</v>
      </c>
      <c r="B7" s="2348"/>
      <c r="C7" s="2348"/>
      <c r="D7" s="2348"/>
      <c r="E7" s="2349"/>
      <c r="F7" s="1018"/>
      <c r="G7" s="1010"/>
      <c r="H7" s="1017" t="s">
        <v>390</v>
      </c>
      <c r="I7" s="2350">
        <f>COVER!A13</f>
        <v>32046005026</v>
      </c>
      <c r="J7" s="235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1" t="s">
        <v>502</v>
      </c>
      <c r="B11" s="2352"/>
      <c r="C11" s="235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286578</v>
      </c>
      <c r="F12" s="1040"/>
      <c r="G12" s="1834">
        <f t="shared" ref="G12:G18" si="0">SUM(E12:F12)</f>
        <v>286578</v>
      </c>
      <c r="H12" s="1041">
        <v>314550</v>
      </c>
      <c r="I12" s="1040"/>
      <c r="J12" s="1834">
        <f t="shared" ref="J12:J18" si="1">SUM(H12:I12)</f>
        <v>314550</v>
      </c>
    </row>
    <row r="13" spans="1:17" ht="15" customHeight="1" x14ac:dyDescent="0.2">
      <c r="A13" s="1036">
        <v>2</v>
      </c>
      <c r="B13" s="1037" t="s">
        <v>44</v>
      </c>
      <c r="C13" s="1038"/>
      <c r="D13" s="1039">
        <v>2330</v>
      </c>
      <c r="E13" s="1834">
        <f>'Expenditures 15-22'!K51</f>
        <v>5227</v>
      </c>
      <c r="F13" s="1040"/>
      <c r="G13" s="1834">
        <f t="shared" si="0"/>
        <v>5227</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4" t="s">
        <v>7</v>
      </c>
      <c r="C18" s="2355"/>
      <c r="D18" s="235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291805</v>
      </c>
      <c r="F19" s="1836">
        <f t="shared" si="2"/>
        <v>0</v>
      </c>
      <c r="G19" s="1836">
        <f t="shared" si="2"/>
        <v>291805</v>
      </c>
      <c r="H19" s="1836">
        <f t="shared" si="2"/>
        <v>314550</v>
      </c>
      <c r="I19" s="1836">
        <f t="shared" si="2"/>
        <v>0</v>
      </c>
      <c r="J19" s="1836">
        <f t="shared" si="2"/>
        <v>314550</v>
      </c>
    </row>
    <row r="20" spans="1:10" ht="13.5" thickTop="1" x14ac:dyDescent="0.2">
      <c r="A20" s="1036">
        <v>9</v>
      </c>
      <c r="B20" s="2357" t="s">
        <v>1703</v>
      </c>
      <c r="C20" s="2357"/>
      <c r="D20" s="2358"/>
      <c r="E20" s="1047"/>
      <c r="F20" s="1047"/>
      <c r="G20" s="1047"/>
      <c r="H20" s="1047"/>
      <c r="I20" s="1047"/>
      <c r="J20" s="1837">
        <f>IF(AND(G19&gt;0,J19&gt;0),(((J19-G19)/G19)),"Enter Budget Data")</f>
        <v>7.7945888521444115E-2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3"/>
      <c r="D26" s="2363"/>
      <c r="E26" s="1051"/>
      <c r="F26" s="2362"/>
      <c r="G26" s="2362"/>
    </row>
    <row r="27" spans="1:10" x14ac:dyDescent="0.2">
      <c r="B27" s="1048"/>
      <c r="C27" s="1052" t="s">
        <v>1093</v>
      </c>
      <c r="D27" s="1053"/>
      <c r="E27" s="1054"/>
      <c r="F27" s="2359" t="s">
        <v>1589</v>
      </c>
      <c r="G27" s="2359"/>
    </row>
    <row r="28" spans="1:10" ht="28.5" customHeight="1" x14ac:dyDescent="0.2">
      <c r="B28" s="1048"/>
      <c r="C28" s="2361"/>
      <c r="D28" s="2361"/>
      <c r="E28" s="1055"/>
      <c r="F28" s="2361"/>
      <c r="G28" s="2361"/>
    </row>
    <row r="29" spans="1:10" x14ac:dyDescent="0.2">
      <c r="B29" s="1048"/>
      <c r="C29" s="1056" t="s">
        <v>1642</v>
      </c>
      <c r="E29" s="1057"/>
      <c r="F29" s="2360" t="s">
        <v>1590</v>
      </c>
      <c r="G29" s="236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t="s">
        <v>2098</v>
      </c>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3"/>
    </row>
    <row r="36" spans="1:10" ht="13.5" customHeight="1" x14ac:dyDescent="0.2">
      <c r="B36" s="1062"/>
      <c r="C36" s="2344" t="s">
        <v>1941</v>
      </c>
      <c r="D36" s="2343"/>
      <c r="E36" s="2343"/>
      <c r="F36" s="2343"/>
      <c r="G36" s="2343"/>
      <c r="H36" s="2343"/>
      <c r="I36" s="2343"/>
      <c r="J36" s="1064"/>
    </row>
    <row r="37" spans="1:10" ht="22.5" customHeight="1" x14ac:dyDescent="0.2">
      <c r="C37" s="2343"/>
      <c r="D37" s="2343"/>
      <c r="E37" s="2343"/>
      <c r="F37" s="2343"/>
      <c r="G37" s="2343"/>
      <c r="H37" s="2343"/>
      <c r="I37" s="2343"/>
      <c r="J37" s="1064"/>
    </row>
    <row r="38" spans="1:10" ht="7.5" customHeight="1" x14ac:dyDescent="0.2">
      <c r="C38" s="1063"/>
      <c r="D38" s="1065"/>
      <c r="E38" s="1066"/>
      <c r="F38" s="1067"/>
      <c r="G38" s="1066"/>
    </row>
    <row r="39" spans="1:10" ht="13.5" customHeight="1" x14ac:dyDescent="0.2">
      <c r="B39" s="1062"/>
      <c r="C39" s="2340" t="s">
        <v>937</v>
      </c>
      <c r="D39" s="2341"/>
      <c r="E39" s="2341"/>
      <c r="F39" s="2341"/>
      <c r="G39" s="2341"/>
      <c r="H39" s="2341"/>
      <c r="I39" s="234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2187</v>
      </c>
    </row>
    <row r="6" spans="1:2" x14ac:dyDescent="0.2">
      <c r="A6" s="1069">
        <v>2</v>
      </c>
      <c r="B6" s="329" t="s">
        <v>2188</v>
      </c>
    </row>
    <row r="7" spans="1:2" x14ac:dyDescent="0.2">
      <c r="A7" s="1069">
        <v>3</v>
      </c>
      <c r="B7" s="329" t="s">
        <v>2189</v>
      </c>
    </row>
    <row r="8" spans="1:2" x14ac:dyDescent="0.2">
      <c r="A8" s="1069">
        <v>4</v>
      </c>
      <c r="B8" s="329" t="s">
        <v>2190</v>
      </c>
    </row>
    <row r="9" spans="1:2" x14ac:dyDescent="0.2">
      <c r="A9" s="1069">
        <v>5</v>
      </c>
      <c r="B9" s="329" t="s">
        <v>2191</v>
      </c>
    </row>
    <row r="10" spans="1:2" x14ac:dyDescent="0.2">
      <c r="A10" s="1069">
        <v>6</v>
      </c>
      <c r="B10" s="329" t="s">
        <v>2192</v>
      </c>
    </row>
    <row r="11" spans="1:2" x14ac:dyDescent="0.2">
      <c r="A11" s="1069"/>
      <c r="B11" s="329" t="s">
        <v>2193</v>
      </c>
    </row>
    <row r="12" spans="1:2" x14ac:dyDescent="0.2">
      <c r="A12" s="1069">
        <v>7</v>
      </c>
      <c r="B12" s="329" t="s">
        <v>2194</v>
      </c>
    </row>
    <row r="13" spans="1:2" x14ac:dyDescent="0.2">
      <c r="A13" s="1069">
        <v>8</v>
      </c>
      <c r="B13" s="329" t="s">
        <v>2195</v>
      </c>
    </row>
    <row r="14" spans="1:2" x14ac:dyDescent="0.2">
      <c r="A14" s="1069">
        <v>9</v>
      </c>
      <c r="B14" s="329" t="s">
        <v>2196</v>
      </c>
    </row>
    <row r="15" spans="1:2" x14ac:dyDescent="0.2">
      <c r="A15" s="1069"/>
      <c r="B15" s="329" t="s">
        <v>2197</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Manteno CUSD 5</v>
      </c>
    </row>
    <row r="65" spans="2:2" x14ac:dyDescent="0.2">
      <c r="B65" s="1071">
        <f>COVER!A13</f>
        <v>32046005026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sqref="A1:F1"/>
    </sheetView>
  </sheetViews>
  <sheetFormatPr defaultColWidth="9.140625" defaultRowHeight="12.75" x14ac:dyDescent="0.2"/>
  <cols>
    <col min="1" max="1" width="28.28515625" style="329" customWidth="1"/>
    <col min="2" max="2" width="17.5703125" style="329" customWidth="1"/>
    <col min="3" max="3" width="4" style="329" customWidth="1"/>
    <col min="4"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4" t="s">
        <v>1784</v>
      </c>
      <c r="B18" s="236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autoPict="0" r:id="rId5">
            <anchor moveWithCells="1">
              <from>
                <xdr:col>0</xdr:col>
                <xdr:colOff>200025</xdr:colOff>
                <xdr:row>3</xdr:row>
                <xdr:rowOff>28575</xdr:rowOff>
              </from>
              <to>
                <xdr:col>0</xdr:col>
                <xdr:colOff>1066800</xdr:colOff>
                <xdr:row>7</xdr:row>
                <xdr:rowOff>85725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autoPict="0" r:id="rId7">
            <anchor moveWithCells="1">
              <from>
                <xdr:col>0</xdr:col>
                <xdr:colOff>1228725</xdr:colOff>
                <xdr:row>3</xdr:row>
                <xdr:rowOff>47625</xdr:rowOff>
              </from>
              <to>
                <xdr:col>1</xdr:col>
                <xdr:colOff>209550</xdr:colOff>
                <xdr:row>7</xdr:row>
                <xdr:rowOff>104775</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autoPict="0" r:id="rId9">
            <anchor moveWithCells="1">
              <from>
                <xdr:col>1</xdr:col>
                <xdr:colOff>314325</xdr:colOff>
                <xdr:row>3</xdr:row>
                <xdr:rowOff>47625</xdr:rowOff>
              </from>
              <to>
                <xdr:col>2</xdr:col>
                <xdr:colOff>9525</xdr:colOff>
                <xdr:row>7</xdr:row>
                <xdr:rowOff>104775</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autoPict="0" r:id="rId11">
            <anchor moveWithCells="1">
              <from>
                <xdr:col>2</xdr:col>
                <xdr:colOff>114300</xdr:colOff>
                <xdr:row>3</xdr:row>
                <xdr:rowOff>28575</xdr:rowOff>
              </from>
              <to>
                <xdr:col>4</xdr:col>
                <xdr:colOff>104775</xdr:colOff>
                <xdr:row>7</xdr:row>
                <xdr:rowOff>85725</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5"/>
      <c r="H2" s="1075"/>
    </row>
    <row r="3" spans="1:8" ht="57" customHeight="1" x14ac:dyDescent="0.2">
      <c r="A3" s="2378" t="s">
        <v>1786</v>
      </c>
      <c r="B3" s="2379"/>
      <c r="C3" s="2379"/>
      <c r="D3" s="2379"/>
      <c r="E3" s="2379"/>
      <c r="F3" s="2380"/>
      <c r="G3" s="1075"/>
      <c r="H3" s="1075"/>
    </row>
    <row r="4" spans="1:8" ht="14.25" customHeight="1" x14ac:dyDescent="0.2">
      <c r="A4" s="2384" t="s">
        <v>2053</v>
      </c>
      <c r="B4" s="2385"/>
      <c r="C4" s="2385"/>
      <c r="D4" s="2385"/>
      <c r="E4" s="2385"/>
      <c r="F4" s="2386"/>
      <c r="G4" s="1075"/>
      <c r="H4" s="1075"/>
    </row>
    <row r="5" spans="1:8" ht="14.25" customHeight="1" x14ac:dyDescent="0.2">
      <c r="A5" s="2387" t="s">
        <v>2054</v>
      </c>
      <c r="B5" s="2388"/>
      <c r="C5" s="2388"/>
      <c r="D5" s="2388"/>
      <c r="E5" s="2388"/>
      <c r="F5" s="2389"/>
      <c r="G5" s="1075"/>
      <c r="H5" s="1075"/>
    </row>
    <row r="6" spans="1:8" s="1076" customFormat="1" ht="41.25" customHeight="1" x14ac:dyDescent="0.2">
      <c r="A6" s="2381" t="s">
        <v>1792</v>
      </c>
      <c r="B6" s="2382"/>
      <c r="C6" s="2382"/>
      <c r="D6" s="2382"/>
      <c r="E6" s="2382"/>
      <c r="F6" s="238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20725009</v>
      </c>
      <c r="C8" s="1838">
        <f>'Acct Summary 7-8'!D8</f>
        <v>1918242</v>
      </c>
      <c r="D8" s="1838">
        <f>'Acct Summary 7-8'!F8</f>
        <v>1052110</v>
      </c>
      <c r="E8" s="1838">
        <f>'Acct Summary 7-8'!I8</f>
        <v>15167</v>
      </c>
      <c r="F8" s="1838">
        <f>SUM(B8:E8)</f>
        <v>23710528</v>
      </c>
    </row>
    <row r="9" spans="1:8" s="1080" customFormat="1" ht="14.25" customHeight="1" thickBot="1" x14ac:dyDescent="0.25">
      <c r="A9" s="1079" t="s">
        <v>1436</v>
      </c>
      <c r="B9" s="1839">
        <f>'Acct Summary 7-8'!C17</f>
        <v>15240361</v>
      </c>
      <c r="C9" s="1839">
        <f>'Acct Summary 7-8'!D17</f>
        <v>1762589</v>
      </c>
      <c r="D9" s="1839">
        <f>'Acct Summary 7-8'!F17</f>
        <v>973753</v>
      </c>
      <c r="E9" s="1838"/>
      <c r="F9" s="1838">
        <f>SUM(B9:E9)</f>
        <v>17976703</v>
      </c>
    </row>
    <row r="10" spans="1:8" s="1080" customFormat="1" ht="14.25" thickTop="1" thickBot="1" x14ac:dyDescent="0.25">
      <c r="A10" s="1081" t="s">
        <v>1437</v>
      </c>
      <c r="B10" s="1840">
        <f>(B8-B9)</f>
        <v>5484648</v>
      </c>
      <c r="C10" s="1840">
        <f>(C8-C9)</f>
        <v>155653</v>
      </c>
      <c r="D10" s="1840">
        <f>(D8-D9)</f>
        <v>78357</v>
      </c>
      <c r="E10" s="1839">
        <f>(E8-E9)</f>
        <v>15167</v>
      </c>
      <c r="F10" s="1841">
        <f>SUM(F8-F9)</f>
        <v>5733825</v>
      </c>
    </row>
    <row r="11" spans="1:8" s="1080" customFormat="1" ht="14.25" thickTop="1" thickBot="1" x14ac:dyDescent="0.25">
      <c r="A11" s="1082" t="s">
        <v>1785</v>
      </c>
      <c r="B11" s="1842">
        <f>'Acct Summary 7-8'!C81</f>
        <v>12231407</v>
      </c>
      <c r="C11" s="1842">
        <f>'Acct Summary 7-8'!D81</f>
        <v>3719828</v>
      </c>
      <c r="D11" s="1842">
        <f>'Acct Summary 7-8'!F81</f>
        <v>503011</v>
      </c>
      <c r="E11" s="1842">
        <f>'Acct Summary 7-8'!I81</f>
        <v>2222043</v>
      </c>
      <c r="F11" s="1843">
        <f>SUM(B11:E11)</f>
        <v>18676289</v>
      </c>
    </row>
    <row r="12" spans="1:8" ht="16.5" customHeight="1" thickTop="1" x14ac:dyDescent="0.2">
      <c r="A12" s="1083"/>
      <c r="B12" s="1084"/>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85"/>
      <c r="B13" s="1086"/>
      <c r="C13" s="2369"/>
      <c r="D13" s="2370"/>
      <c r="E13" s="2370"/>
      <c r="F13" s="2371"/>
      <c r="H13" s="1075"/>
    </row>
    <row r="14" spans="1:8" ht="19.5" customHeight="1" x14ac:dyDescent="0.2">
      <c r="A14" s="1085"/>
      <c r="B14" s="1086"/>
      <c r="C14" s="2369"/>
      <c r="D14" s="2370"/>
      <c r="E14" s="2370"/>
      <c r="F14" s="2371"/>
      <c r="H14" s="1075"/>
    </row>
    <row r="15" spans="1:8" ht="17.25" customHeight="1" x14ac:dyDescent="0.2">
      <c r="A15" s="1085"/>
      <c r="B15" s="1086"/>
      <c r="C15" s="2372"/>
      <c r="D15" s="2373"/>
      <c r="E15" s="2373"/>
      <c r="F15" s="2374"/>
      <c r="H15" s="1075"/>
    </row>
    <row r="16" spans="1:8" s="310" customFormat="1" ht="51.75" hidden="1" customHeight="1" x14ac:dyDescent="0.2">
      <c r="A16" s="2368" t="s">
        <v>1787</v>
      </c>
      <c r="B16" s="2368"/>
      <c r="C16" s="2368"/>
      <c r="D16" s="2368"/>
      <c r="E16" s="236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90" t="s">
        <v>686</v>
      </c>
      <c r="B3" s="2391"/>
      <c r="C3" s="2391"/>
      <c r="D3" s="239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1" t="s">
        <v>1584</v>
      </c>
      <c r="D7" s="240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5" t="s">
        <v>332</v>
      </c>
      <c r="D21" s="2406"/>
    </row>
    <row r="22" spans="1:10" ht="12.75" x14ac:dyDescent="0.2">
      <c r="A22" s="1140"/>
      <c r="B22" s="1141">
        <v>2</v>
      </c>
      <c r="C22" s="2403" t="s">
        <v>1605</v>
      </c>
      <c r="D22" s="240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7" t="s">
        <v>557</v>
      </c>
      <c r="D43" s="240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9" t="s">
        <v>817</v>
      </c>
      <c r="D56" s="240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9" t="s">
        <v>1797</v>
      </c>
      <c r="D70" s="240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32046005026</v>
      </c>
    </row>
    <row r="3" spans="1:2" x14ac:dyDescent="0.2">
      <c r="A3" t="s">
        <v>1013</v>
      </c>
      <c r="B3" s="138" t="str">
        <f>COVER!A15</f>
        <v>Kankakee</v>
      </c>
    </row>
    <row r="4" spans="1:2" x14ac:dyDescent="0.2">
      <c r="A4" t="s">
        <v>1064</v>
      </c>
      <c r="B4" s="138" t="str">
        <f>COVER!A17</f>
        <v>Manteno CUSD 5</v>
      </c>
    </row>
    <row r="5" spans="1:2" x14ac:dyDescent="0.2">
      <c r="A5" t="s">
        <v>728</v>
      </c>
      <c r="B5" s="138" t="str">
        <f>COVER!A38</f>
        <v>Mrs. Lisa Harrod</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Marcie Meents Kolberg</v>
      </c>
    </row>
    <row r="18" spans="1:2" x14ac:dyDescent="0.2">
      <c r="A18" t="s">
        <v>1212</v>
      </c>
      <c r="B18" s="138" t="str">
        <f>COVER!T17</f>
        <v>1605 North Convent</v>
      </c>
    </row>
    <row r="19" spans="1:2" x14ac:dyDescent="0.2">
      <c r="A19" t="s">
        <v>941</v>
      </c>
      <c r="B19" s="138" t="str">
        <f>COVER!T25</f>
        <v>marciek@skdocpa.com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10096192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12245814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14407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14407</v>
      </c>
      <c r="C91" s="2" t="s">
        <v>594</v>
      </c>
      <c r="D91" s="2" t="str">
        <f t="shared" si="0"/>
        <v>Error?</v>
      </c>
    </row>
    <row r="92" spans="1:4" x14ac:dyDescent="0.2">
      <c r="A92" s="5">
        <v>31</v>
      </c>
      <c r="B92" s="138">
        <f>'Assets-Liab 5-6'!C39</f>
        <v>12231407</v>
      </c>
      <c r="D92" s="2" t="str">
        <f t="shared" si="0"/>
        <v>Error?</v>
      </c>
    </row>
    <row r="93" spans="1:4" x14ac:dyDescent="0.2">
      <c r="A93" s="5">
        <v>32</v>
      </c>
      <c r="B93" s="138">
        <f>'Assets-Liab 5-6'!C41</f>
        <v>12245814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2957448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3719711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-117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-117</v>
      </c>
      <c r="C122" s="2" t="s">
        <v>594</v>
      </c>
      <c r="D122" s="2" t="str">
        <f t="shared" si="0"/>
        <v>Error?</v>
      </c>
    </row>
    <row r="123" spans="1:4" x14ac:dyDescent="0.2">
      <c r="A123" s="5">
        <v>62</v>
      </c>
      <c r="B123" s="138">
        <f>'Assets-Liab 5-6'!D39</f>
        <v>3358828</v>
      </c>
      <c r="D123" s="2" t="str">
        <f t="shared" si="0"/>
        <v>Error?</v>
      </c>
    </row>
    <row r="124" spans="1:4" x14ac:dyDescent="0.2">
      <c r="A124" s="5">
        <v>63</v>
      </c>
      <c r="B124" s="138">
        <f>'Assets-Liab 5-6'!D41</f>
        <v>3719711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135120</v>
      </c>
      <c r="D129" s="2" t="str">
        <f t="shared" si="1"/>
        <v>Error?</v>
      </c>
    </row>
    <row r="130" spans="1:4" x14ac:dyDescent="0.2">
      <c r="A130" s="5">
        <v>69</v>
      </c>
      <c r="B130" s="138">
        <f>'Assets-Liab 5-6'!E12</f>
        <v>0</v>
      </c>
      <c r="D130" s="2" t="str">
        <f t="shared" si="1"/>
        <v>Error?</v>
      </c>
    </row>
    <row r="131" spans="1:4" x14ac:dyDescent="0.2">
      <c r="A131" s="5">
        <v>70</v>
      </c>
      <c r="B131" s="138">
        <f>'Assets-Liab 5-6'!E13</f>
        <v>135120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-132375</v>
      </c>
      <c r="D140" s="2" t="str">
        <f t="shared" si="1"/>
        <v>Error?</v>
      </c>
    </row>
    <row r="141" spans="1:4" x14ac:dyDescent="0.2">
      <c r="A141" s="5">
        <v>80</v>
      </c>
      <c r="B141" s="138">
        <f>'Assets-Liab 5-6'!E41</f>
        <v>135120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416159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503134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123</v>
      </c>
      <c r="C169" s="2" t="s">
        <v>594</v>
      </c>
      <c r="D169" s="2" t="str">
        <f t="shared" si="1"/>
        <v>Error?</v>
      </c>
    </row>
    <row r="170" spans="1:4" x14ac:dyDescent="0.2">
      <c r="A170" s="5">
        <v>109</v>
      </c>
      <c r="B170" s="138">
        <f>'Assets-Liab 5-6'!F39</f>
        <v>503011</v>
      </c>
      <c r="D170" s="2" t="str">
        <f t="shared" si="1"/>
        <v>Error?</v>
      </c>
    </row>
    <row r="171" spans="1:4" x14ac:dyDescent="0.2">
      <c r="A171" s="5">
        <v>110</v>
      </c>
      <c r="B171" s="138">
        <f>'Assets-Liab 5-6'!F41</f>
        <v>503134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314486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710634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-628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-628</v>
      </c>
      <c r="C188" s="2" t="s">
        <v>594</v>
      </c>
      <c r="D188" s="2" t="str">
        <f t="shared" si="1"/>
        <v>Error?</v>
      </c>
    </row>
    <row r="189" spans="1:4" x14ac:dyDescent="0.2">
      <c r="A189" s="5">
        <v>128</v>
      </c>
      <c r="B189" s="138">
        <f>'Assets-Liab 5-6'!G39</f>
        <v>711262</v>
      </c>
      <c r="D189" s="2" t="str">
        <f t="shared" si="1"/>
        <v>Error?</v>
      </c>
    </row>
    <row r="190" spans="1:4" x14ac:dyDescent="0.2">
      <c r="A190" s="5">
        <v>129</v>
      </c>
      <c r="B190" s="138">
        <f>'Assets-Liab 5-6'!G41</f>
        <v>710634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257375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257375</v>
      </c>
      <c r="D212" s="2" t="str">
        <f t="shared" si="2"/>
        <v>Error?</v>
      </c>
    </row>
    <row r="213" spans="1:4" x14ac:dyDescent="0.2">
      <c r="A213" s="12">
        <v>152</v>
      </c>
      <c r="B213" s="138">
        <f>'Assets-Liab 5-6'!H41</f>
        <v>257375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5726534</v>
      </c>
      <c r="D273" s="2" t="str">
        <f t="shared" si="3"/>
        <v>Error?</v>
      </c>
    </row>
    <row r="274" spans="1:4" x14ac:dyDescent="0.2">
      <c r="A274" s="5">
        <v>213</v>
      </c>
      <c r="B274" s="138">
        <f>'Assets-Liab 5-6'!M17</f>
        <v>49772478</v>
      </c>
      <c r="D274" s="2" t="str">
        <f t="shared" si="3"/>
        <v>Error?</v>
      </c>
    </row>
    <row r="275" spans="1:4" x14ac:dyDescent="0.2">
      <c r="A275" s="5">
        <v>214</v>
      </c>
      <c r="B275" s="138">
        <f>'Assets-Liab 5-6'!M18</f>
        <v>0</v>
      </c>
      <c r="D275" s="2" t="str">
        <f t="shared" si="3"/>
        <v>Error?</v>
      </c>
    </row>
    <row r="276" spans="1:4" x14ac:dyDescent="0.2">
      <c r="A276" s="5">
        <v>215</v>
      </c>
      <c r="B276" s="138">
        <f>'Assets-Liab 5-6'!M19</f>
        <v>1287114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65828731</v>
      </c>
      <c r="C279" s="2" t="s">
        <v>594</v>
      </c>
      <c r="D279" s="2" t="str">
        <f t="shared" si="3"/>
        <v>Error?</v>
      </c>
    </row>
    <row r="280" spans="1:4" x14ac:dyDescent="0.2">
      <c r="A280" s="5">
        <v>219</v>
      </c>
      <c r="B280" s="138">
        <f>'Assets-Liab 5-6'!M40</f>
        <v>65828731</v>
      </c>
      <c r="D280" s="2" t="str">
        <f t="shared" si="3"/>
        <v>Error?</v>
      </c>
    </row>
    <row r="281" spans="1:4" x14ac:dyDescent="0.2">
      <c r="A281" s="5">
        <v>220</v>
      </c>
      <c r="B281" s="138">
        <f>'Assets-Liab 5-6'!M41</f>
        <v>65828731</v>
      </c>
      <c r="C281" s="2" t="s">
        <v>594</v>
      </c>
      <c r="D281" s="2" t="str">
        <f t="shared" si="3"/>
        <v>Error?</v>
      </c>
    </row>
    <row r="282" spans="1:4" x14ac:dyDescent="0.2">
      <c r="A282" s="5">
        <v>221</v>
      </c>
      <c r="B282" s="138">
        <f>'Assets-Liab 5-6'!N21</f>
        <v>135120</v>
      </c>
      <c r="D282" s="2" t="str">
        <f t="shared" si="3"/>
        <v>Error?</v>
      </c>
    </row>
    <row r="283" spans="1:4" x14ac:dyDescent="0.2">
      <c r="A283" s="5">
        <v>222</v>
      </c>
      <c r="B283" s="138">
        <f>'Assets-Liab 5-6'!N22</f>
        <v>29950813</v>
      </c>
      <c r="D283" s="2" t="str">
        <f t="shared" si="3"/>
        <v>Error?</v>
      </c>
    </row>
    <row r="284" spans="1:4" x14ac:dyDescent="0.2">
      <c r="A284" s="5">
        <v>223</v>
      </c>
      <c r="B284" s="138">
        <f>'Assets-Liab 5-6'!N23</f>
        <v>30085933</v>
      </c>
      <c r="C284" s="2" t="s">
        <v>594</v>
      </c>
      <c r="D284" s="2" t="str">
        <f t="shared" si="3"/>
        <v>Error?</v>
      </c>
    </row>
    <row r="285" spans="1:4" x14ac:dyDescent="0.2">
      <c r="A285" s="5">
        <v>224</v>
      </c>
      <c r="B285" s="138">
        <f>'Assets-Liab 5-6'!N36</f>
        <v>30085933</v>
      </c>
      <c r="D285" s="2" t="str">
        <f t="shared" si="3"/>
        <v>Error?</v>
      </c>
    </row>
    <row r="286" spans="1:4" x14ac:dyDescent="0.2">
      <c r="A286" s="10">
        <v>225</v>
      </c>
      <c r="D286" s="2" t="str">
        <f t="shared" si="3"/>
        <v>OK</v>
      </c>
    </row>
    <row r="287" spans="1:4" x14ac:dyDescent="0.2">
      <c r="A287" s="5">
        <v>226</v>
      </c>
      <c r="B287" s="138">
        <f>'Assets-Liab 5-6'!N37</f>
        <v>30085933</v>
      </c>
      <c r="C287" s="2" t="s">
        <v>594</v>
      </c>
      <c r="D287" s="2" t="str">
        <f t="shared" si="3"/>
        <v>Error?</v>
      </c>
    </row>
    <row r="288" spans="1:4" x14ac:dyDescent="0.2">
      <c r="A288" s="5">
        <v>227</v>
      </c>
      <c r="B288" s="138">
        <f>'Assets-Liab 5-6'!N41</f>
        <v>30085933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4921938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191245</v>
      </c>
      <c r="D717" s="2" t="str">
        <f t="shared" si="10"/>
        <v>Error?</v>
      </c>
    </row>
    <row r="718" spans="1:4" x14ac:dyDescent="0.2">
      <c r="A718" s="5">
        <v>657</v>
      </c>
      <c r="B718" s="138">
        <f>'Expenditures 15-22'!C14</f>
        <v>403048</v>
      </c>
      <c r="D718" s="2" t="str">
        <f t="shared" si="10"/>
        <v>Error?</v>
      </c>
    </row>
    <row r="719" spans="1:4" x14ac:dyDescent="0.2">
      <c r="A719" s="5">
        <v>658</v>
      </c>
      <c r="B719" s="138">
        <f>'Expenditures 15-22'!C15</f>
        <v>24561</v>
      </c>
      <c r="D719" s="2" t="str">
        <f t="shared" si="10"/>
        <v>Error?</v>
      </c>
    </row>
    <row r="720" spans="1:4" x14ac:dyDescent="0.2">
      <c r="A720" s="5">
        <v>659</v>
      </c>
      <c r="B720" s="138">
        <f>'Expenditures 15-22'!C33</f>
        <v>7286375</v>
      </c>
      <c r="C720" s="2" t="s">
        <v>594</v>
      </c>
      <c r="D720" s="2" t="str">
        <f t="shared" si="10"/>
        <v>Error?</v>
      </c>
    </row>
    <row r="721" spans="1:4" x14ac:dyDescent="0.2">
      <c r="A721" s="5">
        <v>660</v>
      </c>
      <c r="B721" s="138">
        <f>'Expenditures 15-22'!C36</f>
        <v>119884</v>
      </c>
      <c r="D721" s="2" t="str">
        <f t="shared" si="10"/>
        <v>Error?</v>
      </c>
    </row>
    <row r="722" spans="1:4" x14ac:dyDescent="0.2">
      <c r="A722" s="5">
        <v>661</v>
      </c>
      <c r="B722" s="138">
        <f>'Expenditures 15-22'!C37</f>
        <v>151959</v>
      </c>
      <c r="D722" s="2" t="str">
        <f t="shared" si="10"/>
        <v>Error?</v>
      </c>
    </row>
    <row r="723" spans="1:4" x14ac:dyDescent="0.2">
      <c r="A723" s="5">
        <v>662</v>
      </c>
      <c r="B723" s="138">
        <f>'Expenditures 15-22'!C38</f>
        <v>179746</v>
      </c>
      <c r="D723" s="2" t="str">
        <f t="shared" si="10"/>
        <v>Error?</v>
      </c>
    </row>
    <row r="724" spans="1:4" x14ac:dyDescent="0.2">
      <c r="A724" s="5">
        <v>663</v>
      </c>
      <c r="B724" s="138">
        <f>'Expenditures 15-22'!C39</f>
        <v>117261</v>
      </c>
      <c r="D724" s="2" t="str">
        <f t="shared" si="10"/>
        <v>Error?</v>
      </c>
    </row>
    <row r="725" spans="1:4" x14ac:dyDescent="0.2">
      <c r="A725" s="5">
        <v>664</v>
      </c>
      <c r="B725" s="138">
        <f>'Expenditures 15-22'!C40</f>
        <v>95796</v>
      </c>
      <c r="D725" s="2" t="str">
        <f t="shared" si="10"/>
        <v>Error?</v>
      </c>
    </row>
    <row r="726" spans="1:4" x14ac:dyDescent="0.2">
      <c r="A726" s="5">
        <v>665</v>
      </c>
      <c r="B726" s="138">
        <f>'Expenditures 15-22'!C41</f>
        <v>71040</v>
      </c>
      <c r="D726" s="2" t="str">
        <f t="shared" si="10"/>
        <v>Error?</v>
      </c>
    </row>
    <row r="727" spans="1:4" x14ac:dyDescent="0.2">
      <c r="A727" s="5">
        <v>666</v>
      </c>
      <c r="B727" s="138">
        <f>'Expenditures 15-22'!C42</f>
        <v>735686</v>
      </c>
      <c r="C727" s="2" t="s">
        <v>594</v>
      </c>
      <c r="D727" s="2" t="str">
        <f t="shared" si="10"/>
        <v>Error?</v>
      </c>
    </row>
    <row r="728" spans="1:4" x14ac:dyDescent="0.2">
      <c r="A728" s="5">
        <v>667</v>
      </c>
      <c r="B728" s="138">
        <f>'Expenditures 15-22'!C44</f>
        <v>153533</v>
      </c>
      <c r="D728" s="2" t="str">
        <f t="shared" si="10"/>
        <v>Error?</v>
      </c>
    </row>
    <row r="729" spans="1:4" x14ac:dyDescent="0.2">
      <c r="A729" s="5">
        <v>668</v>
      </c>
      <c r="B729" s="138">
        <f>'Expenditures 15-22'!C45</f>
        <v>277705</v>
      </c>
      <c r="D729" s="2" t="str">
        <f t="shared" si="10"/>
        <v>Error?</v>
      </c>
    </row>
    <row r="730" spans="1:4" x14ac:dyDescent="0.2">
      <c r="A730" s="5">
        <v>669</v>
      </c>
      <c r="B730" s="138">
        <f>'Expenditures 15-22'!C46</f>
        <v>72430</v>
      </c>
      <c r="D730" s="2" t="str">
        <f t="shared" si="10"/>
        <v>Error?</v>
      </c>
    </row>
    <row r="731" spans="1:4" x14ac:dyDescent="0.2">
      <c r="A731" s="5">
        <v>670</v>
      </c>
      <c r="B731" s="138">
        <f>'Expenditures 15-22'!C47</f>
        <v>503668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202349</v>
      </c>
      <c r="D733" s="2" t="str">
        <f t="shared" si="10"/>
        <v>Error?</v>
      </c>
    </row>
    <row r="734" spans="1:4" x14ac:dyDescent="0.2">
      <c r="A734" s="5">
        <v>673</v>
      </c>
      <c r="B734" s="138">
        <f>'Expenditures 15-22'!C53</f>
        <v>207576</v>
      </c>
      <c r="C734" s="2" t="s">
        <v>594</v>
      </c>
      <c r="D734" s="2" t="str">
        <f t="shared" si="10"/>
        <v>Error?</v>
      </c>
    </row>
    <row r="735" spans="1:4" x14ac:dyDescent="0.2">
      <c r="A735" s="5">
        <v>674</v>
      </c>
      <c r="B735" s="138">
        <f>'Expenditures 15-22'!C55</f>
        <v>682958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682958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114153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212475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326628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46767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46767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2503283</v>
      </c>
      <c r="C755" s="2" t="s">
        <v>594</v>
      </c>
      <c r="D755" s="2" t="str">
        <f t="shared" si="10"/>
        <v>Error?</v>
      </c>
    </row>
    <row r="756" spans="1:4" x14ac:dyDescent="0.2">
      <c r="A756" s="5">
        <v>695</v>
      </c>
      <c r="B756" s="138">
        <f>'Expenditures 15-22'!C75</f>
        <v>466</v>
      </c>
      <c r="D756" s="2" t="str">
        <f t="shared" si="10"/>
        <v>Error?</v>
      </c>
    </row>
    <row r="757" spans="1:4" x14ac:dyDescent="0.2">
      <c r="A757" s="5">
        <v>696</v>
      </c>
      <c r="B757" s="138">
        <f>'Expenditures 15-22'!C114</f>
        <v>9790124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1343543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45358</v>
      </c>
      <c r="D775" s="2" t="str">
        <f t="shared" si="11"/>
        <v>Error?</v>
      </c>
    </row>
    <row r="776" spans="1:4" x14ac:dyDescent="0.2">
      <c r="A776" s="5">
        <v>715</v>
      </c>
      <c r="B776" s="138">
        <f>'Expenditures 15-22'!D14</f>
        <v>65258</v>
      </c>
      <c r="D776" s="2" t="str">
        <f t="shared" si="11"/>
        <v>Error?</v>
      </c>
    </row>
    <row r="777" spans="1:4" x14ac:dyDescent="0.2">
      <c r="A777" s="5">
        <v>716</v>
      </c>
      <c r="B777" s="138">
        <f>'Expenditures 15-22'!D15</f>
        <v>1846</v>
      </c>
      <c r="D777" s="2" t="str">
        <f t="shared" si="11"/>
        <v>Error?</v>
      </c>
    </row>
    <row r="778" spans="1:4" x14ac:dyDescent="0.2">
      <c r="A778" s="5">
        <v>717</v>
      </c>
      <c r="B778" s="138">
        <f>'Expenditures 15-22'!D33</f>
        <v>1909047</v>
      </c>
      <c r="C778" s="2" t="s">
        <v>594</v>
      </c>
      <c r="D778" s="2" t="str">
        <f t="shared" si="11"/>
        <v>Error?</v>
      </c>
    </row>
    <row r="779" spans="1:4" x14ac:dyDescent="0.2">
      <c r="A779" s="5">
        <v>718</v>
      </c>
      <c r="B779" s="138">
        <f>'Expenditures 15-22'!D36</f>
        <v>33050</v>
      </c>
      <c r="D779" s="2" t="str">
        <f t="shared" si="11"/>
        <v>Error?</v>
      </c>
    </row>
    <row r="780" spans="1:4" x14ac:dyDescent="0.2">
      <c r="A780" s="5">
        <v>719</v>
      </c>
      <c r="B780" s="138">
        <f>'Expenditures 15-22'!D37</f>
        <v>35012</v>
      </c>
      <c r="D780" s="2" t="str">
        <f t="shared" si="11"/>
        <v>Error?</v>
      </c>
    </row>
    <row r="781" spans="1:4" x14ac:dyDescent="0.2">
      <c r="A781" s="5">
        <v>720</v>
      </c>
      <c r="B781" s="138">
        <f>'Expenditures 15-22'!D38</f>
        <v>14506</v>
      </c>
      <c r="D781" s="2" t="str">
        <f t="shared" si="11"/>
        <v>Error?</v>
      </c>
    </row>
    <row r="782" spans="1:4" x14ac:dyDescent="0.2">
      <c r="A782" s="5">
        <v>721</v>
      </c>
      <c r="B782" s="138">
        <f>'Expenditures 15-22'!D39</f>
        <v>26271</v>
      </c>
      <c r="D782" s="2" t="str">
        <f t="shared" si="11"/>
        <v>Error?</v>
      </c>
    </row>
    <row r="783" spans="1:4" x14ac:dyDescent="0.2">
      <c r="A783" s="5">
        <v>722</v>
      </c>
      <c r="B783" s="138">
        <f>'Expenditures 15-22'!D40</f>
        <v>26791</v>
      </c>
      <c r="D783" s="2" t="str">
        <f t="shared" si="11"/>
        <v>Error?</v>
      </c>
    </row>
    <row r="784" spans="1:4" x14ac:dyDescent="0.2">
      <c r="A784" s="5">
        <v>723</v>
      </c>
      <c r="B784" s="138">
        <f>'Expenditures 15-22'!D41</f>
        <v>2701</v>
      </c>
      <c r="D784" s="2" t="str">
        <f t="shared" si="11"/>
        <v>Error?</v>
      </c>
    </row>
    <row r="785" spans="1:4" x14ac:dyDescent="0.2">
      <c r="A785" s="5">
        <v>724</v>
      </c>
      <c r="B785" s="138">
        <f>'Expenditures 15-22'!D42</f>
        <v>138331</v>
      </c>
      <c r="C785" s="2" t="s">
        <v>594</v>
      </c>
      <c r="D785" s="2" t="str">
        <f t="shared" si="11"/>
        <v>Error?</v>
      </c>
    </row>
    <row r="786" spans="1:4" x14ac:dyDescent="0.2">
      <c r="A786" s="5">
        <v>725</v>
      </c>
      <c r="B786" s="138">
        <f>'Expenditures 15-22'!D44</f>
        <v>47432</v>
      </c>
      <c r="D786" s="2" t="str">
        <f t="shared" si="11"/>
        <v>Error?</v>
      </c>
    </row>
    <row r="787" spans="1:4" x14ac:dyDescent="0.2">
      <c r="A787" s="5">
        <v>726</v>
      </c>
      <c r="B787" s="138">
        <f>'Expenditures 15-22'!D45</f>
        <v>59290</v>
      </c>
      <c r="D787" s="2" t="str">
        <f t="shared" si="11"/>
        <v>Error?</v>
      </c>
    </row>
    <row r="788" spans="1:4" x14ac:dyDescent="0.2">
      <c r="A788" s="5">
        <v>727</v>
      </c>
      <c r="B788" s="138">
        <f>'Expenditures 15-22'!D46</f>
        <v>28694</v>
      </c>
      <c r="D788" s="2" t="str">
        <f t="shared" si="11"/>
        <v>Error?</v>
      </c>
    </row>
    <row r="789" spans="1:4" x14ac:dyDescent="0.2">
      <c r="A789" s="5">
        <v>728</v>
      </c>
      <c r="B789" s="138">
        <f>'Expenditures 15-22'!D47</f>
        <v>135416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54748</v>
      </c>
      <c r="D791" s="2" t="str">
        <f t="shared" si="11"/>
        <v>Error?</v>
      </c>
    </row>
    <row r="792" spans="1:4" x14ac:dyDescent="0.2">
      <c r="A792" s="5">
        <v>731</v>
      </c>
      <c r="B792" s="138">
        <f>'Expenditures 15-22'!D53</f>
        <v>54748</v>
      </c>
      <c r="C792" s="2" t="s">
        <v>594</v>
      </c>
      <c r="D792" s="2" t="str">
        <f t="shared" si="11"/>
        <v>Error?</v>
      </c>
    </row>
    <row r="793" spans="1:4" x14ac:dyDescent="0.2">
      <c r="A793" s="5">
        <v>732</v>
      </c>
      <c r="B793" s="138">
        <f>'Expenditures 15-22'!D55</f>
        <v>237119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237119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23766</v>
      </c>
      <c r="D797" s="2" t="str">
        <f t="shared" si="11"/>
        <v>Error?</v>
      </c>
    </row>
    <row r="798" spans="1:4" x14ac:dyDescent="0.2">
      <c r="A798" s="5">
        <v>737</v>
      </c>
      <c r="B798" s="138">
        <f>'Expenditures 15-22'!D61</f>
        <v>3500</v>
      </c>
      <c r="D798" s="2" t="str">
        <f t="shared" si="11"/>
        <v>Error?</v>
      </c>
    </row>
    <row r="799" spans="1:4" x14ac:dyDescent="0.2">
      <c r="A799" s="5">
        <v>738</v>
      </c>
      <c r="B799" s="138">
        <f>'Expenditures 15-22'!D62</f>
        <v>1500</v>
      </c>
      <c r="D799" s="2" t="str">
        <f t="shared" si="11"/>
        <v>Error?</v>
      </c>
    </row>
    <row r="800" spans="1:4" x14ac:dyDescent="0.2">
      <c r="A800" s="5">
        <v>739</v>
      </c>
      <c r="B800" s="138">
        <f>'Expenditures 15-22'!D63</f>
        <v>47682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76448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12629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12629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654691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2563738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72275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8725</v>
      </c>
      <c r="D833" s="2" t="str">
        <f t="shared" si="12"/>
        <v>Error?</v>
      </c>
    </row>
    <row r="834" spans="1:4" x14ac:dyDescent="0.2">
      <c r="A834" s="5">
        <v>773</v>
      </c>
      <c r="B834" s="138">
        <f>'Expenditures 15-22'!E14</f>
        <v>100907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204822</v>
      </c>
      <c r="C836" s="2" t="s">
        <v>594</v>
      </c>
      <c r="D836" s="2" t="str">
        <f t="shared" si="12"/>
        <v>Error?</v>
      </c>
    </row>
    <row r="837" spans="1:4" x14ac:dyDescent="0.2">
      <c r="A837" s="5">
        <v>776</v>
      </c>
      <c r="B837" s="138">
        <f>'Expenditures 15-22'!E36</f>
        <v>62706</v>
      </c>
      <c r="D837" s="2" t="str">
        <f t="shared" si="12"/>
        <v>Error?</v>
      </c>
    </row>
    <row r="838" spans="1:4" x14ac:dyDescent="0.2">
      <c r="A838" s="5">
        <v>777</v>
      </c>
      <c r="B838" s="138">
        <f>'Expenditures 15-22'!E37</f>
        <v>156</v>
      </c>
      <c r="D838" s="2" t="str">
        <f t="shared" si="12"/>
        <v>Error?</v>
      </c>
    </row>
    <row r="839" spans="1:4" x14ac:dyDescent="0.2">
      <c r="A839" s="5">
        <v>778</v>
      </c>
      <c r="B839" s="138">
        <f>'Expenditures 15-22'!E38</f>
        <v>2918</v>
      </c>
      <c r="D839" s="2" t="str">
        <f t="shared" si="12"/>
        <v>Error?</v>
      </c>
    </row>
    <row r="840" spans="1:4" x14ac:dyDescent="0.2">
      <c r="A840" s="5">
        <v>779</v>
      </c>
      <c r="B840" s="138">
        <f>'Expenditures 15-22'!E39</f>
        <v>5625</v>
      </c>
      <c r="D840" s="2" t="str">
        <f t="shared" si="12"/>
        <v>Error?</v>
      </c>
    </row>
    <row r="841" spans="1:4" x14ac:dyDescent="0.2">
      <c r="A841" s="5">
        <v>780</v>
      </c>
      <c r="B841" s="138">
        <f>'Expenditures 15-22'!E40</f>
        <v>88574</v>
      </c>
      <c r="D841" s="2" t="str">
        <f t="shared" si="12"/>
        <v>Error?</v>
      </c>
    </row>
    <row r="842" spans="1:4" x14ac:dyDescent="0.2">
      <c r="A842" s="5">
        <v>781</v>
      </c>
      <c r="B842" s="138">
        <f>'Expenditures 15-22'!E41</f>
        <v>1473</v>
      </c>
      <c r="D842" s="2" t="str">
        <f t="shared" si="12"/>
        <v>Error?</v>
      </c>
    </row>
    <row r="843" spans="1:4" x14ac:dyDescent="0.2">
      <c r="A843" s="5">
        <v>782</v>
      </c>
      <c r="B843" s="138">
        <f>'Expenditures 15-22'!E42</f>
        <v>161452</v>
      </c>
      <c r="C843" s="2" t="s">
        <v>594</v>
      </c>
      <c r="D843" s="2" t="str">
        <f t="shared" si="12"/>
        <v>Error?</v>
      </c>
    </row>
    <row r="844" spans="1:4" x14ac:dyDescent="0.2">
      <c r="A844" s="5">
        <v>783</v>
      </c>
      <c r="B844" s="138">
        <f>'Expenditures 15-22'!E44</f>
        <v>132309</v>
      </c>
      <c r="D844" s="2" t="str">
        <f t="shared" si="12"/>
        <v>Error?</v>
      </c>
    </row>
    <row r="845" spans="1:4" x14ac:dyDescent="0.2">
      <c r="A845" s="5">
        <v>784</v>
      </c>
      <c r="B845" s="138">
        <f>'Expenditures 15-22'!E45</f>
        <v>127620</v>
      </c>
      <c r="D845" s="2" t="str">
        <f t="shared" si="12"/>
        <v>Error?</v>
      </c>
    </row>
    <row r="846" spans="1:4" x14ac:dyDescent="0.2">
      <c r="A846" s="5">
        <v>785</v>
      </c>
      <c r="B846" s="138">
        <f>'Expenditures 15-22'!E46</f>
        <v>23142</v>
      </c>
      <c r="D846" s="2" t="str">
        <f t="shared" si="12"/>
        <v>Error?</v>
      </c>
    </row>
    <row r="847" spans="1:4" x14ac:dyDescent="0.2">
      <c r="A847" s="5">
        <v>786</v>
      </c>
      <c r="B847" s="138">
        <f>'Expenditures 15-22'!E47</f>
        <v>283071</v>
      </c>
      <c r="C847" s="2" t="s">
        <v>594</v>
      </c>
      <c r="D847" s="2" t="str">
        <f t="shared" si="12"/>
        <v>Error?</v>
      </c>
    </row>
    <row r="848" spans="1:4" x14ac:dyDescent="0.2">
      <c r="A848" s="5">
        <v>787</v>
      </c>
      <c r="B848" s="138">
        <f>'Expenditures 15-22'!E49</f>
        <v>102815</v>
      </c>
      <c r="D848" s="2" t="str">
        <f t="shared" si="12"/>
        <v>Error?</v>
      </c>
    </row>
    <row r="849" spans="1:4" x14ac:dyDescent="0.2">
      <c r="A849" s="5">
        <v>788</v>
      </c>
      <c r="B849" s="138">
        <f>'Expenditures 15-22'!E50</f>
        <v>20633</v>
      </c>
      <c r="D849" s="2" t="str">
        <f t="shared" si="12"/>
        <v>Error?</v>
      </c>
    </row>
    <row r="850" spans="1:4" x14ac:dyDescent="0.2">
      <c r="A850" s="5">
        <v>789</v>
      </c>
      <c r="B850" s="138">
        <f>'Expenditures 15-22'!E53</f>
        <v>123448</v>
      </c>
      <c r="C850" s="2" t="s">
        <v>594</v>
      </c>
      <c r="D850" s="2" t="str">
        <f t="shared" si="12"/>
        <v>Error?</v>
      </c>
    </row>
    <row r="851" spans="1:4" x14ac:dyDescent="0.2">
      <c r="A851" s="5">
        <v>790</v>
      </c>
      <c r="B851" s="138">
        <f>'Expenditures 15-22'!E55</f>
        <v>63483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63483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24895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29672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9853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9853</v>
      </c>
      <c r="C869" s="2" t="s">
        <v>594</v>
      </c>
      <c r="D869" s="2" t="str">
        <f t="shared" si="12"/>
        <v>Error?</v>
      </c>
    </row>
    <row r="870" spans="1:4" x14ac:dyDescent="0.2">
      <c r="A870" s="5">
        <v>809</v>
      </c>
      <c r="B870" s="138">
        <f>'Expenditures 15-22'!E73</f>
        <v>18273</v>
      </c>
      <c r="D870" s="2" t="str">
        <f t="shared" si="12"/>
        <v>Error?</v>
      </c>
    </row>
    <row r="871" spans="1:4" x14ac:dyDescent="0.2">
      <c r="A871" s="5">
        <v>810</v>
      </c>
      <c r="B871" s="138">
        <f>'Expenditures 15-22'!E74</f>
        <v>689252</v>
      </c>
      <c r="C871" s="2" t="s">
        <v>594</v>
      </c>
      <c r="D871" s="2" t="str">
        <f t="shared" si="12"/>
        <v>Error?</v>
      </c>
    </row>
    <row r="872" spans="1:4" x14ac:dyDescent="0.2">
      <c r="A872" s="5">
        <v>811</v>
      </c>
      <c r="B872" s="138">
        <f>'Expenditures 15-22'!E75</f>
        <v>25</v>
      </c>
      <c r="D872" s="2" t="str">
        <f t="shared" si="12"/>
        <v>Error?</v>
      </c>
    </row>
    <row r="873" spans="1:4" x14ac:dyDescent="0.2">
      <c r="A873" s="5">
        <v>812</v>
      </c>
      <c r="B873" s="138">
        <f>'Expenditures 15-22'!E114</f>
        <v>895289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114359</v>
      </c>
      <c r="D879" s="2" t="str">
        <f t="shared" si="12"/>
        <v>Error?</v>
      </c>
    </row>
    <row r="880" spans="1:4" x14ac:dyDescent="0.2">
      <c r="A880" s="5">
        <v>819</v>
      </c>
      <c r="B880" s="138">
        <f>'Expenditures 15-22'!F16</f>
        <v>1889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15214</v>
      </c>
      <c r="D891" s="2" t="str">
        <f t="shared" si="12"/>
        <v>Error?</v>
      </c>
    </row>
    <row r="892" spans="1:4" x14ac:dyDescent="0.2">
      <c r="A892" s="5">
        <v>831</v>
      </c>
      <c r="B892" s="138">
        <f>'Expenditures 15-22'!F14</f>
        <v>51884</v>
      </c>
      <c r="D892" s="2" t="str">
        <f t="shared" si="12"/>
        <v>Error?</v>
      </c>
    </row>
    <row r="893" spans="1:4" x14ac:dyDescent="0.2">
      <c r="A893" s="5">
        <v>832</v>
      </c>
      <c r="B893" s="138">
        <f>'Expenditures 15-22'!F15</f>
        <v>392</v>
      </c>
      <c r="D893" s="2" t="str">
        <f t="shared" si="12"/>
        <v>Error?</v>
      </c>
    </row>
    <row r="894" spans="1:4" x14ac:dyDescent="0.2">
      <c r="A894" s="5">
        <v>833</v>
      </c>
      <c r="B894" s="138">
        <f>'Expenditures 15-22'!F33</f>
        <v>370820</v>
      </c>
      <c r="C894" s="2" t="s">
        <v>594</v>
      </c>
      <c r="D894" s="2" t="str">
        <f t="shared" si="12"/>
        <v>Error?</v>
      </c>
    </row>
    <row r="895" spans="1:4" x14ac:dyDescent="0.2">
      <c r="A895" s="5">
        <v>834</v>
      </c>
      <c r="B895" s="138">
        <f>'Expenditures 15-22'!F36</f>
        <v>883</v>
      </c>
      <c r="D895" s="2" t="str">
        <f t="shared" ref="D895:D958" si="13">IF(ISBLANK(B895),"OK",IF(A895-B895=0,"OK","Error?"))</f>
        <v>Error?</v>
      </c>
    </row>
    <row r="896" spans="1:4" x14ac:dyDescent="0.2">
      <c r="A896" s="5">
        <v>835</v>
      </c>
      <c r="B896" s="138">
        <f>'Expenditures 15-22'!F37</f>
        <v>196</v>
      </c>
      <c r="D896" s="2" t="str">
        <f t="shared" si="13"/>
        <v>Error?</v>
      </c>
    </row>
    <row r="897" spans="1:4" x14ac:dyDescent="0.2">
      <c r="A897" s="5">
        <v>836</v>
      </c>
      <c r="B897" s="138">
        <f>'Expenditures 15-22'!F38</f>
        <v>9134</v>
      </c>
      <c r="D897" s="2" t="str">
        <f t="shared" si="13"/>
        <v>Error?</v>
      </c>
    </row>
    <row r="898" spans="1:4" x14ac:dyDescent="0.2">
      <c r="A898" s="5">
        <v>837</v>
      </c>
      <c r="B898" s="138">
        <f>'Expenditures 15-22'!F39</f>
        <v>6296</v>
      </c>
      <c r="D898" s="2" t="str">
        <f t="shared" si="13"/>
        <v>Error?</v>
      </c>
    </row>
    <row r="899" spans="1:4" x14ac:dyDescent="0.2">
      <c r="A899" s="5">
        <v>838</v>
      </c>
      <c r="B899" s="138">
        <f>'Expenditures 15-22'!F40</f>
        <v>90</v>
      </c>
      <c r="D899" s="2" t="str">
        <f t="shared" si="13"/>
        <v>Error?</v>
      </c>
    </row>
    <row r="900" spans="1:4" x14ac:dyDescent="0.2">
      <c r="A900" s="5">
        <v>839</v>
      </c>
      <c r="B900" s="138">
        <f>'Expenditures 15-22'!F41</f>
        <v>4329</v>
      </c>
      <c r="D900" s="2" t="str">
        <f t="shared" si="13"/>
        <v>Error?</v>
      </c>
    </row>
    <row r="901" spans="1:4" x14ac:dyDescent="0.2">
      <c r="A901" s="5">
        <v>840</v>
      </c>
      <c r="B901" s="138">
        <f>'Expenditures 15-22'!F42</f>
        <v>20928</v>
      </c>
      <c r="C901" s="2" t="s">
        <v>594</v>
      </c>
      <c r="D901" s="2" t="str">
        <f t="shared" si="13"/>
        <v>Error?</v>
      </c>
    </row>
    <row r="902" spans="1:4" x14ac:dyDescent="0.2">
      <c r="A902" s="5">
        <v>841</v>
      </c>
      <c r="B902" s="138">
        <f>'Expenditures 15-22'!F44</f>
        <v>17966</v>
      </c>
      <c r="D902" s="2" t="str">
        <f t="shared" si="13"/>
        <v>Error?</v>
      </c>
    </row>
    <row r="903" spans="1:4" x14ac:dyDescent="0.2">
      <c r="A903" s="5">
        <v>842</v>
      </c>
      <c r="B903" s="138">
        <f>'Expenditures 15-22'!F45</f>
        <v>42424</v>
      </c>
      <c r="D903" s="2" t="str">
        <f t="shared" si="13"/>
        <v>Error?</v>
      </c>
    </row>
    <row r="904" spans="1:4" x14ac:dyDescent="0.2">
      <c r="A904" s="5">
        <v>843</v>
      </c>
      <c r="B904" s="138">
        <f>'Expenditures 15-22'!F46</f>
        <v>3500</v>
      </c>
      <c r="D904" s="2" t="str">
        <f t="shared" si="13"/>
        <v>Error?</v>
      </c>
    </row>
    <row r="905" spans="1:4" x14ac:dyDescent="0.2">
      <c r="A905" s="5">
        <v>844</v>
      </c>
      <c r="B905" s="138">
        <f>'Expenditures 15-22'!F47</f>
        <v>63890</v>
      </c>
      <c r="C905" s="2" t="s">
        <v>594</v>
      </c>
      <c r="D905" s="2" t="str">
        <f t="shared" si="13"/>
        <v>Error?</v>
      </c>
    </row>
    <row r="906" spans="1:4" x14ac:dyDescent="0.2">
      <c r="A906" s="5">
        <v>845</v>
      </c>
      <c r="B906" s="138">
        <f>'Expenditures 15-22'!F49</f>
        <v>5803</v>
      </c>
      <c r="D906" s="2" t="str">
        <f t="shared" si="13"/>
        <v>Error?</v>
      </c>
    </row>
    <row r="907" spans="1:4" x14ac:dyDescent="0.2">
      <c r="A907" s="5">
        <v>846</v>
      </c>
      <c r="B907" s="138">
        <f>'Expenditures 15-22'!F50</f>
        <v>5470</v>
      </c>
      <c r="D907" s="2" t="str">
        <f t="shared" si="13"/>
        <v>Error?</v>
      </c>
    </row>
    <row r="908" spans="1:4" x14ac:dyDescent="0.2">
      <c r="A908" s="5">
        <v>847</v>
      </c>
      <c r="B908" s="138">
        <f>'Expenditures 15-22'!F53</f>
        <v>11273</v>
      </c>
      <c r="C908" s="2" t="s">
        <v>594</v>
      </c>
      <c r="D908" s="2" t="str">
        <f t="shared" si="13"/>
        <v>Error?</v>
      </c>
    </row>
    <row r="909" spans="1:4" x14ac:dyDescent="0.2">
      <c r="A909" s="5">
        <v>848</v>
      </c>
      <c r="B909" s="138">
        <f>'Expenditures 15-22'!F55</f>
        <v>6188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6188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252569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254952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7994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7994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365225</v>
      </c>
      <c r="C929" s="2" t="s">
        <v>594</v>
      </c>
      <c r="D929" s="2" t="str">
        <f t="shared" si="13"/>
        <v>Error?</v>
      </c>
    </row>
    <row r="930" spans="1:4" x14ac:dyDescent="0.2">
      <c r="A930" s="5">
        <v>869</v>
      </c>
      <c r="B930" s="138">
        <f>'Expenditures 15-22'!F75</f>
        <v>702</v>
      </c>
      <c r="D930" s="2" t="str">
        <f t="shared" si="13"/>
        <v>Error?</v>
      </c>
    </row>
    <row r="931" spans="1:4" x14ac:dyDescent="0.2">
      <c r="A931" s="5">
        <v>870</v>
      </c>
      <c r="B931" s="138">
        <f>'Expenditures 15-22'!F114</f>
        <v>736747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16108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5488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55621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2028</v>
      </c>
      <c r="D960" s="2" t="str">
        <f t="shared" si="14"/>
        <v>Error?</v>
      </c>
    </row>
    <row r="961" spans="1:4" x14ac:dyDescent="0.2">
      <c r="A961" s="5">
        <v>900</v>
      </c>
      <c r="B961" s="138">
        <f>'Expenditures 15-22'!G45</f>
        <v>249384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251412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1604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1604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4060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257076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312697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92329</v>
      </c>
      <c r="D1007" s="2" t="str">
        <f t="shared" si="14"/>
        <v>Error?</v>
      </c>
    </row>
    <row r="1008" spans="1:4" x14ac:dyDescent="0.2">
      <c r="A1008" s="5">
        <v>947</v>
      </c>
      <c r="B1008" s="138">
        <f>'Expenditures 15-22'!H14</f>
        <v>20556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115304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764</v>
      </c>
      <c r="D1018" s="2" t="str">
        <f t="shared" si="14"/>
        <v>Error?</v>
      </c>
    </row>
    <row r="1019" spans="1:4" x14ac:dyDescent="0.2">
      <c r="A1019" s="5">
        <v>958</v>
      </c>
      <c r="B1019" s="138">
        <f>'Expenditures 15-22'!H45</f>
        <v>365</v>
      </c>
      <c r="D1019" s="2" t="str">
        <f t="shared" si="14"/>
        <v>Error?</v>
      </c>
    </row>
    <row r="1020" spans="1:4" x14ac:dyDescent="0.2">
      <c r="A1020" s="5">
        <v>959</v>
      </c>
      <c r="B1020" s="138">
        <f>'Expenditures 15-22'!H46</f>
        <v>453</v>
      </c>
      <c r="D1020" s="2" t="str">
        <f t="shared" si="14"/>
        <v>Error?</v>
      </c>
    </row>
    <row r="1021" spans="1:4" x14ac:dyDescent="0.2">
      <c r="A1021" s="5">
        <v>960</v>
      </c>
      <c r="B1021" s="138">
        <f>'Expenditures 15-22'!H47</f>
        <v>1582</v>
      </c>
      <c r="C1021" s="2" t="s">
        <v>594</v>
      </c>
      <c r="D1021" s="2" t="str">
        <f t="shared" si="14"/>
        <v>Error?</v>
      </c>
    </row>
    <row r="1022" spans="1:4" x14ac:dyDescent="0.2">
      <c r="A1022" s="5">
        <v>961</v>
      </c>
      <c r="B1022" s="138">
        <f>'Expenditures 15-22'!H49</f>
        <v>6389</v>
      </c>
      <c r="D1022" s="2" t="str">
        <f t="shared" si="14"/>
        <v>Error?</v>
      </c>
    </row>
    <row r="1023" spans="1:4" x14ac:dyDescent="0.2">
      <c r="A1023" s="5">
        <v>962</v>
      </c>
      <c r="B1023" s="138">
        <f>'Expenditures 15-22'!H50</f>
        <v>3378</v>
      </c>
      <c r="D1023" s="2" t="str">
        <f t="shared" ref="D1023:D1086" si="15">IF(ISBLANK(B1023),"OK",IF(A1023-B1023=0,"OK","Error?"))</f>
        <v>Error?</v>
      </c>
    </row>
    <row r="1024" spans="1:4" x14ac:dyDescent="0.2">
      <c r="A1024" s="5">
        <v>963</v>
      </c>
      <c r="B1024" s="138">
        <f>'Expenditures 15-22'!H53</f>
        <v>9767</v>
      </c>
      <c r="C1024" s="2" t="s">
        <v>594</v>
      </c>
      <c r="D1024" s="2" t="str">
        <f t="shared" si="15"/>
        <v>Error?</v>
      </c>
    </row>
    <row r="1025" spans="1:4" x14ac:dyDescent="0.2">
      <c r="A1025" s="5">
        <v>964</v>
      </c>
      <c r="B1025" s="138">
        <f>'Expenditures 15-22'!H55</f>
        <v>2570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333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333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14672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811790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941766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6469003</v>
      </c>
      <c r="C1093" s="2" t="s">
        <v>594</v>
      </c>
      <c r="D1093" s="2" t="str">
        <f t="shared" si="16"/>
        <v>Error?</v>
      </c>
    </row>
    <row r="1094" spans="1:4" x14ac:dyDescent="0.2">
      <c r="A1094" s="5">
        <v>1033</v>
      </c>
      <c r="B1094" s="138">
        <f>'Expenditures 15-22'!K16</f>
        <v>1889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352871</v>
      </c>
      <c r="C1105" s="2" t="s">
        <v>594</v>
      </c>
      <c r="D1105" s="2" t="str">
        <f t="shared" si="16"/>
        <v>Error?</v>
      </c>
    </row>
    <row r="1106" spans="1:4" x14ac:dyDescent="0.2">
      <c r="A1106" s="5">
        <v>1045</v>
      </c>
      <c r="B1106" s="138">
        <f>'Expenditures 15-22'!K14</f>
        <v>647141</v>
      </c>
      <c r="C1106" s="2" t="s">
        <v>594</v>
      </c>
      <c r="D1106" s="2" t="str">
        <f t="shared" si="16"/>
        <v>Error?</v>
      </c>
    </row>
    <row r="1107" spans="1:4" x14ac:dyDescent="0.2">
      <c r="A1107" s="5">
        <v>1046</v>
      </c>
      <c r="B1107" s="138">
        <f>'Expenditures 15-22'!K15</f>
        <v>26799</v>
      </c>
      <c r="C1107" s="2" t="s">
        <v>594</v>
      </c>
      <c r="D1107" s="2" t="str">
        <f t="shared" si="16"/>
        <v>Error?</v>
      </c>
    </row>
    <row r="1108" spans="1:4" x14ac:dyDescent="0.2">
      <c r="A1108" s="5">
        <v>1047</v>
      </c>
      <c r="B1108" s="138">
        <f>'Expenditures 15-22'!K33</f>
        <v>9941989</v>
      </c>
      <c r="C1108" s="2" t="s">
        <v>594</v>
      </c>
      <c r="D1108" s="2" t="str">
        <f t="shared" si="16"/>
        <v>Error?</v>
      </c>
    </row>
    <row r="1109" spans="1:4" x14ac:dyDescent="0.2">
      <c r="A1109" s="5">
        <v>1048</v>
      </c>
      <c r="B1109" s="138">
        <f>'Expenditures 15-22'!K36</f>
        <v>216523</v>
      </c>
      <c r="C1109" s="2" t="s">
        <v>594</v>
      </c>
      <c r="D1109" s="2" t="str">
        <f t="shared" si="16"/>
        <v>Error?</v>
      </c>
    </row>
    <row r="1110" spans="1:4" x14ac:dyDescent="0.2">
      <c r="A1110" s="5">
        <v>1049</v>
      </c>
      <c r="B1110" s="138">
        <f>'Expenditures 15-22'!K37</f>
        <v>187323</v>
      </c>
      <c r="C1110" s="2" t="s">
        <v>594</v>
      </c>
      <c r="D1110" s="2" t="str">
        <f t="shared" si="16"/>
        <v>Error?</v>
      </c>
    </row>
    <row r="1111" spans="1:4" x14ac:dyDescent="0.2">
      <c r="A1111" s="5">
        <v>1050</v>
      </c>
      <c r="B1111" s="138">
        <f>'Expenditures 15-22'!K38</f>
        <v>206304</v>
      </c>
      <c r="C1111" s="2" t="s">
        <v>594</v>
      </c>
      <c r="D1111" s="2" t="str">
        <f t="shared" si="16"/>
        <v>Error?</v>
      </c>
    </row>
    <row r="1112" spans="1:4" x14ac:dyDescent="0.2">
      <c r="A1112" s="5">
        <v>1051</v>
      </c>
      <c r="B1112" s="138">
        <f>'Expenditures 15-22'!K39</f>
        <v>155453</v>
      </c>
      <c r="C1112" s="2" t="s">
        <v>594</v>
      </c>
      <c r="D1112" s="2" t="str">
        <f t="shared" si="16"/>
        <v>Error?</v>
      </c>
    </row>
    <row r="1113" spans="1:4" x14ac:dyDescent="0.2">
      <c r="A1113" s="5">
        <v>1052</v>
      </c>
      <c r="B1113" s="138">
        <f>'Expenditures 15-22'!K40</f>
        <v>211251</v>
      </c>
      <c r="C1113" s="2" t="s">
        <v>594</v>
      </c>
      <c r="D1113" s="2" t="str">
        <f t="shared" si="16"/>
        <v>Error?</v>
      </c>
    </row>
    <row r="1114" spans="1:4" x14ac:dyDescent="0.2">
      <c r="A1114" s="5">
        <v>1053</v>
      </c>
      <c r="B1114" s="138">
        <f>'Expenditures 15-22'!K41</f>
        <v>79543</v>
      </c>
      <c r="C1114" s="2" t="s">
        <v>594</v>
      </c>
      <c r="D1114" s="2" t="str">
        <f t="shared" si="16"/>
        <v>Error?</v>
      </c>
    </row>
    <row r="1115" spans="1:4" x14ac:dyDescent="0.2">
      <c r="A1115" s="5">
        <v>1054</v>
      </c>
      <c r="B1115" s="138">
        <f>'Expenditures 15-22'!K42</f>
        <v>1056397</v>
      </c>
      <c r="C1115" s="2" t="s">
        <v>594</v>
      </c>
      <c r="D1115" s="2" t="str">
        <f t="shared" si="16"/>
        <v>Error?</v>
      </c>
    </row>
    <row r="1116" spans="1:4" x14ac:dyDescent="0.2">
      <c r="A1116" s="5">
        <v>1055</v>
      </c>
      <c r="B1116" s="138">
        <f>'Expenditures 15-22'!K44</f>
        <v>354032</v>
      </c>
      <c r="C1116" s="2" t="s">
        <v>594</v>
      </c>
      <c r="D1116" s="2" t="str">
        <f t="shared" si="16"/>
        <v>Error?</v>
      </c>
    </row>
    <row r="1117" spans="1:4" x14ac:dyDescent="0.2">
      <c r="A1117" s="5">
        <v>1056</v>
      </c>
      <c r="B1117" s="138">
        <f>'Expenditures 15-22'!K45</f>
        <v>756788</v>
      </c>
      <c r="C1117" s="2" t="s">
        <v>594</v>
      </c>
      <c r="D1117" s="2" t="str">
        <f t="shared" si="16"/>
        <v>Error?</v>
      </c>
    </row>
    <row r="1118" spans="1:4" x14ac:dyDescent="0.2">
      <c r="A1118" s="5">
        <v>1057</v>
      </c>
      <c r="B1118" s="138">
        <f>'Expenditures 15-22'!K46</f>
        <v>128219</v>
      </c>
      <c r="C1118" s="2" t="s">
        <v>594</v>
      </c>
      <c r="D1118" s="2" t="str">
        <f t="shared" si="16"/>
        <v>Error?</v>
      </c>
    </row>
    <row r="1119" spans="1:4" x14ac:dyDescent="0.2">
      <c r="A1119" s="5">
        <v>1058</v>
      </c>
      <c r="B1119" s="138">
        <f>'Expenditures 15-22'!K47</f>
        <v>1239039</v>
      </c>
      <c r="C1119" s="2" t="s">
        <v>594</v>
      </c>
      <c r="D1119" s="2" t="str">
        <f t="shared" si="16"/>
        <v>Error?</v>
      </c>
    </row>
    <row r="1120" spans="1:4" x14ac:dyDescent="0.2">
      <c r="A1120" s="5">
        <v>1059</v>
      </c>
      <c r="B1120" s="138">
        <f>'Expenditures 15-22'!K49</f>
        <v>115007</v>
      </c>
      <c r="C1120" s="2" t="s">
        <v>594</v>
      </c>
      <c r="D1120" s="2" t="str">
        <f t="shared" si="16"/>
        <v>Error?</v>
      </c>
    </row>
    <row r="1121" spans="1:4" x14ac:dyDescent="0.2">
      <c r="A1121" s="5">
        <v>1060</v>
      </c>
      <c r="B1121" s="138">
        <f>'Expenditures 15-22'!K50</f>
        <v>286578</v>
      </c>
      <c r="C1121" s="2" t="s">
        <v>594</v>
      </c>
      <c r="D1121" s="2" t="str">
        <f t="shared" si="16"/>
        <v>Error?</v>
      </c>
    </row>
    <row r="1122" spans="1:4" x14ac:dyDescent="0.2">
      <c r="A1122" s="5">
        <v>1061</v>
      </c>
      <c r="B1122" s="138">
        <f>'Expenditures 15-22'!K53</f>
        <v>406812</v>
      </c>
      <c r="C1122" s="2" t="s">
        <v>594</v>
      </c>
      <c r="D1122" s="2" t="str">
        <f t="shared" si="16"/>
        <v>Error?</v>
      </c>
    </row>
    <row r="1123" spans="1:4" x14ac:dyDescent="0.2">
      <c r="A1123" s="5">
        <v>1062</v>
      </c>
      <c r="B1123" s="138">
        <f>'Expenditures 15-22'!K55</f>
        <v>993922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993922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165617</v>
      </c>
      <c r="C1127" s="2" t="s">
        <v>594</v>
      </c>
      <c r="D1127" s="2" t="str">
        <f t="shared" si="16"/>
        <v>Error?</v>
      </c>
    </row>
    <row r="1128" spans="1:4" x14ac:dyDescent="0.2">
      <c r="A1128" s="5">
        <v>1067</v>
      </c>
      <c r="B1128" s="138">
        <f>'Expenditures 15-22'!K61</f>
        <v>3500</v>
      </c>
      <c r="C1128" s="2" t="s">
        <v>594</v>
      </c>
      <c r="D1128" s="2" t="str">
        <f t="shared" si="16"/>
        <v>Error?</v>
      </c>
    </row>
    <row r="1129" spans="1:4" x14ac:dyDescent="0.2">
      <c r="A1129" s="5">
        <v>1068</v>
      </c>
      <c r="B1129" s="138">
        <f>'Expenditures 15-22'!K62</f>
        <v>1500</v>
      </c>
      <c r="C1129" s="2" t="s">
        <v>594</v>
      </c>
      <c r="D1129" s="2" t="str">
        <f t="shared" si="16"/>
        <v>Error?</v>
      </c>
    </row>
    <row r="1130" spans="1:4" x14ac:dyDescent="0.2">
      <c r="A1130" s="5">
        <v>1069</v>
      </c>
      <c r="B1130" s="138">
        <f>'Expenditures 15-22'!K63</f>
        <v>521563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692180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77576</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77576</v>
      </c>
      <c r="C1141" s="2" t="s">
        <v>594</v>
      </c>
      <c r="D1141" s="2" t="str">
        <f t="shared" si="16"/>
        <v>Error?</v>
      </c>
    </row>
    <row r="1142" spans="1:4" x14ac:dyDescent="0.2">
      <c r="A1142" s="5">
        <v>1081</v>
      </c>
      <c r="B1142" s="138">
        <f>'Expenditures 15-22'!K73</f>
        <v>18273</v>
      </c>
      <c r="C1142" s="2" t="s">
        <v>594</v>
      </c>
      <c r="D1142" s="2" t="str">
        <f t="shared" si="16"/>
        <v>Error?</v>
      </c>
    </row>
    <row r="1143" spans="1:4" x14ac:dyDescent="0.2">
      <c r="A1143" s="5">
        <v>1082</v>
      </c>
      <c r="B1143" s="138">
        <f>'Expenditures 15-22'!K74</f>
        <v>4484199</v>
      </c>
      <c r="C1143" s="2" t="s">
        <v>594</v>
      </c>
      <c r="D1143" s="2" t="str">
        <f t="shared" si="16"/>
        <v>Error?</v>
      </c>
    </row>
    <row r="1144" spans="1:4" x14ac:dyDescent="0.2">
      <c r="A1144" s="5">
        <v>1083</v>
      </c>
      <c r="B1144" s="138">
        <f>'Expenditures 15-22'!K75</f>
        <v>1193</v>
      </c>
      <c r="C1144" s="2" t="s">
        <v>594</v>
      </c>
      <c r="D1144" s="2" t="str">
        <f t="shared" si="16"/>
        <v>Error?</v>
      </c>
    </row>
    <row r="1145" spans="1:4" x14ac:dyDescent="0.2">
      <c r="A1145" s="5">
        <v>1084</v>
      </c>
      <c r="B1145" s="138">
        <f>'Expenditures 15-22'!K102</f>
        <v>812980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15240361</v>
      </c>
      <c r="C1152" s="2" t="s">
        <v>594</v>
      </c>
      <c r="D1152" s="2" t="str">
        <f t="shared" si="17"/>
        <v>Error?</v>
      </c>
    </row>
    <row r="1153" spans="1:4" x14ac:dyDescent="0.2">
      <c r="A1153" s="5">
        <v>1092</v>
      </c>
      <c r="B1153" s="138">
        <f>'Expenditures 15-22'!K115</f>
        <v>5484648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648902</v>
      </c>
      <c r="D1221" s="2" t="str">
        <f t="shared" si="18"/>
        <v>Error?</v>
      </c>
    </row>
    <row r="1222" spans="1:4" x14ac:dyDescent="0.2">
      <c r="A1222" s="10">
        <v>1161</v>
      </c>
      <c r="D1222" s="2" t="str">
        <f t="shared" si="18"/>
        <v>OK</v>
      </c>
    </row>
    <row r="1223" spans="1:4" x14ac:dyDescent="0.2">
      <c r="A1223" s="5">
        <v>1162</v>
      </c>
      <c r="B1223" s="138">
        <f>'Expenditures 15-22'!C127</f>
        <v>648902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648902</v>
      </c>
      <c r="C1225" s="2" t="s">
        <v>594</v>
      </c>
      <c r="D1225" s="2" t="str">
        <f t="shared" si="18"/>
        <v>Error?</v>
      </c>
    </row>
    <row r="1226" spans="1:4" x14ac:dyDescent="0.2">
      <c r="A1226" s="5">
        <v>1165</v>
      </c>
      <c r="B1226" s="138">
        <f>'Expenditures 15-22'!C151</f>
        <v>648902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144658</v>
      </c>
      <c r="D1229" s="2" t="str">
        <f t="shared" si="18"/>
        <v>Error?</v>
      </c>
    </row>
    <row r="1230" spans="1:4" x14ac:dyDescent="0.2">
      <c r="A1230" s="10">
        <v>1169</v>
      </c>
      <c r="D1230" s="2" t="str">
        <f t="shared" si="18"/>
        <v>OK</v>
      </c>
    </row>
    <row r="1231" spans="1:4" x14ac:dyDescent="0.2">
      <c r="A1231" s="5">
        <v>1170</v>
      </c>
      <c r="B1231" s="138">
        <f>'Expenditures 15-22'!D127</f>
        <v>144658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144658</v>
      </c>
      <c r="C1233" s="2" t="s">
        <v>594</v>
      </c>
      <c r="D1233" s="2" t="str">
        <f t="shared" si="18"/>
        <v>Error?</v>
      </c>
    </row>
    <row r="1234" spans="1:4" x14ac:dyDescent="0.2">
      <c r="A1234" s="5">
        <v>1173</v>
      </c>
      <c r="B1234" s="138">
        <f>'Expenditures 15-22'!D151</f>
        <v>144658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16906</v>
      </c>
      <c r="D1236" s="2" t="str">
        <f t="shared" si="18"/>
        <v>Error?</v>
      </c>
    </row>
    <row r="1237" spans="1:4" x14ac:dyDescent="0.2">
      <c r="A1237" s="5">
        <v>1176</v>
      </c>
      <c r="B1237" s="138">
        <f>'Expenditures 15-22'!E124</f>
        <v>206954</v>
      </c>
      <c r="D1237" s="2" t="str">
        <f t="shared" si="18"/>
        <v>Error?</v>
      </c>
    </row>
    <row r="1238" spans="1:4" x14ac:dyDescent="0.2">
      <c r="A1238" s="10">
        <v>1177</v>
      </c>
      <c r="D1238" s="2" t="str">
        <f t="shared" si="18"/>
        <v>OK</v>
      </c>
    </row>
    <row r="1239" spans="1:4" x14ac:dyDescent="0.2">
      <c r="A1239" s="5">
        <v>1178</v>
      </c>
      <c r="B1239" s="138">
        <f>'Expenditures 15-22'!E127</f>
        <v>223860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223860</v>
      </c>
      <c r="C1241" s="2" t="s">
        <v>594</v>
      </c>
      <c r="D1241" s="2" t="str">
        <f t="shared" si="18"/>
        <v>Error?</v>
      </c>
    </row>
    <row r="1242" spans="1:4" x14ac:dyDescent="0.2">
      <c r="A1242" s="5">
        <v>1181</v>
      </c>
      <c r="B1242" s="138">
        <f>'Expenditures 15-22'!E151</f>
        <v>223860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698726</v>
      </c>
      <c r="D1245" s="2" t="str">
        <f t="shared" si="18"/>
        <v>Error?</v>
      </c>
    </row>
    <row r="1246" spans="1:4" x14ac:dyDescent="0.2">
      <c r="A1246" s="10">
        <v>1185</v>
      </c>
      <c r="D1246" s="2" t="str">
        <f t="shared" si="18"/>
        <v>OK</v>
      </c>
    </row>
    <row r="1247" spans="1:4" x14ac:dyDescent="0.2">
      <c r="A1247" s="5">
        <v>1186</v>
      </c>
      <c r="B1247" s="138">
        <f>'Expenditures 15-22'!F127</f>
        <v>698726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698726</v>
      </c>
      <c r="C1249" s="2" t="s">
        <v>594</v>
      </c>
      <c r="D1249" s="2" t="str">
        <f t="shared" si="18"/>
        <v>Error?</v>
      </c>
    </row>
    <row r="1250" spans="1:4" x14ac:dyDescent="0.2">
      <c r="A1250" s="5">
        <v>1189</v>
      </c>
      <c r="B1250" s="138">
        <f>'Expenditures 15-22'!F151</f>
        <v>698726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41433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41433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41433</v>
      </c>
      <c r="C1258" s="2" t="s">
        <v>594</v>
      </c>
      <c r="D1258" s="2" t="str">
        <f t="shared" si="18"/>
        <v>Error?</v>
      </c>
    </row>
    <row r="1259" spans="1:4" x14ac:dyDescent="0.2">
      <c r="A1259" s="5">
        <v>1198</v>
      </c>
      <c r="B1259" s="138">
        <f>'Expenditures 15-22'!G151</f>
        <v>41433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5010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5010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5010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5010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21916</v>
      </c>
      <c r="C1275" s="2" t="s">
        <v>594</v>
      </c>
      <c r="D1275" s="2" t="str">
        <f t="shared" si="18"/>
        <v>Error?</v>
      </c>
    </row>
    <row r="1276" spans="1:4" x14ac:dyDescent="0.2">
      <c r="A1276" s="5">
        <v>1215</v>
      </c>
      <c r="B1276" s="138">
        <f>'Expenditures 15-22'!K124</f>
        <v>1740673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1762589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1762589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1762589</v>
      </c>
      <c r="C1288" s="2" t="s">
        <v>594</v>
      </c>
      <c r="D1288" s="2" t="str">
        <f t="shared" si="19"/>
        <v>Error?</v>
      </c>
    </row>
    <row r="1289" spans="1:4" x14ac:dyDescent="0.2">
      <c r="A1289" s="5">
        <v>1228</v>
      </c>
      <c r="B1289" s="138">
        <f>'Expenditures 15-22'!K152</f>
        <v>155653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2625</v>
      </c>
      <c r="D1307" s="2" t="str">
        <f t="shared" si="19"/>
        <v>Error?</v>
      </c>
    </row>
    <row r="1308" spans="1:4" x14ac:dyDescent="0.2">
      <c r="A1308" s="5">
        <v>1247</v>
      </c>
      <c r="B1308" s="138">
        <f>'Expenditures 15-22'!E172</f>
        <v>2625</v>
      </c>
      <c r="C1308" s="2" t="s">
        <v>594</v>
      </c>
      <c r="D1308" s="2" t="str">
        <f t="shared" si="19"/>
        <v>Error?</v>
      </c>
    </row>
    <row r="1309" spans="1:4" x14ac:dyDescent="0.2">
      <c r="A1309" s="5">
        <v>1248</v>
      </c>
      <c r="B1309" s="138">
        <f>'Expenditures 15-22'!E174</f>
        <v>2625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1600348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2498790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4099138</v>
      </c>
      <c r="C1317" s="2" t="s">
        <v>594</v>
      </c>
      <c r="D1317" s="2" t="str">
        <f t="shared" si="19"/>
        <v>Error?</v>
      </c>
    </row>
    <row r="1318" spans="1:4" x14ac:dyDescent="0.2">
      <c r="A1318" s="5">
        <v>1257</v>
      </c>
      <c r="B1318" s="138">
        <f>'Expenditures 15-22'!H174</f>
        <v>4099138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1600348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2498790</v>
      </c>
      <c r="C1329" s="2" t="s">
        <v>594</v>
      </c>
      <c r="D1329" s="2" t="str">
        <f t="shared" si="19"/>
        <v>Error?</v>
      </c>
    </row>
    <row r="1330" spans="1:4" x14ac:dyDescent="0.2">
      <c r="A1330" s="5">
        <v>1269</v>
      </c>
      <c r="B1330" s="138">
        <f>'Expenditures 15-22'!K171</f>
        <v>2625</v>
      </c>
      <c r="C1330" s="2" t="s">
        <v>594</v>
      </c>
      <c r="D1330" s="2" t="str">
        <f t="shared" si="19"/>
        <v>Error?</v>
      </c>
    </row>
    <row r="1331" spans="1:4" x14ac:dyDescent="0.2">
      <c r="A1331" s="5">
        <v>1270</v>
      </c>
      <c r="B1331" s="138">
        <f>'Expenditures 15-22'!K172</f>
        <v>4101763</v>
      </c>
      <c r="C1331" s="2" t="s">
        <v>594</v>
      </c>
      <c r="D1331" s="2" t="str">
        <f t="shared" si="19"/>
        <v>Error?</v>
      </c>
    </row>
    <row r="1332" spans="1:4" x14ac:dyDescent="0.2">
      <c r="A1332" s="5">
        <v>1271</v>
      </c>
      <c r="B1332" s="138">
        <f>'Expenditures 15-22'!K174</f>
        <v>4101763</v>
      </c>
      <c r="C1332" s="2" t="s">
        <v>594</v>
      </c>
      <c r="D1332" s="2" t="str">
        <f t="shared" si="19"/>
        <v>Error?</v>
      </c>
    </row>
    <row r="1333" spans="1:4" x14ac:dyDescent="0.2">
      <c r="A1333" s="5">
        <v>1272</v>
      </c>
      <c r="B1333" s="138">
        <f>'Expenditures 15-22'!K175</f>
        <v>-20986</v>
      </c>
      <c r="C1333" s="2" t="s">
        <v>594</v>
      </c>
      <c r="D1333" s="2" t="str">
        <f t="shared" si="19"/>
        <v>Error?</v>
      </c>
    </row>
    <row r="1334" spans="1:4" x14ac:dyDescent="0.2">
      <c r="A1334" s="10">
        <v>1273</v>
      </c>
      <c r="D1334" s="2" t="str">
        <f t="shared" si="19"/>
        <v>OK</v>
      </c>
    </row>
    <row r="1335" spans="1:4" x14ac:dyDescent="0.2">
      <c r="A1335" s="5">
        <v>1274</v>
      </c>
      <c r="B1335" s="138">
        <f>'Expenditures 15-22'!C182</f>
        <v>505288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505288</v>
      </c>
      <c r="C1339" s="2" t="s">
        <v>594</v>
      </c>
      <c r="D1339" s="2" t="str">
        <f t="shared" si="19"/>
        <v>Error?</v>
      </c>
    </row>
    <row r="1340" spans="1:4" x14ac:dyDescent="0.2">
      <c r="A1340" s="5">
        <v>1279</v>
      </c>
      <c r="B1340" s="138">
        <f>'Expenditures 15-22'!C210</f>
        <v>505288</v>
      </c>
      <c r="C1340" s="2" t="s">
        <v>594</v>
      </c>
      <c r="D1340" s="2" t="str">
        <f t="shared" si="19"/>
        <v>Error?</v>
      </c>
    </row>
    <row r="1341" spans="1:4" x14ac:dyDescent="0.2">
      <c r="A1341" s="5">
        <v>1280</v>
      </c>
      <c r="B1341" s="138">
        <f>'Expenditures 15-22'!D182</f>
        <v>54297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54297</v>
      </c>
      <c r="C1345" s="2" t="s">
        <v>594</v>
      </c>
      <c r="D1345" s="2" t="str">
        <f t="shared" si="20"/>
        <v>Error?</v>
      </c>
    </row>
    <row r="1346" spans="1:4" x14ac:dyDescent="0.2">
      <c r="A1346" s="5">
        <v>1285</v>
      </c>
      <c r="B1346" s="138">
        <f>'Expenditures 15-22'!D210</f>
        <v>54297</v>
      </c>
      <c r="C1346" s="2" t="s">
        <v>594</v>
      </c>
      <c r="D1346" s="2" t="str">
        <f t="shared" si="20"/>
        <v>Error?</v>
      </c>
    </row>
    <row r="1347" spans="1:4" x14ac:dyDescent="0.2">
      <c r="A1347" s="5">
        <v>1286</v>
      </c>
      <c r="B1347" s="138">
        <f>'Expenditures 15-22'!E182</f>
        <v>322110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322110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322110</v>
      </c>
      <c r="C1353" s="2" t="s">
        <v>594</v>
      </c>
      <c r="D1353" s="2" t="str">
        <f t="shared" si="20"/>
        <v>Error?</v>
      </c>
    </row>
    <row r="1354" spans="1:4" x14ac:dyDescent="0.2">
      <c r="A1354" s="5">
        <v>1293</v>
      </c>
      <c r="B1354" s="138">
        <f>'Expenditures 15-22'!F182</f>
        <v>92058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92058</v>
      </c>
      <c r="C1358" s="2" t="s">
        <v>594</v>
      </c>
      <c r="D1358" s="2" t="str">
        <f t="shared" si="20"/>
        <v>Error?</v>
      </c>
    </row>
    <row r="1359" spans="1:4" x14ac:dyDescent="0.2">
      <c r="A1359" s="5">
        <v>1298</v>
      </c>
      <c r="B1359" s="138">
        <f>'Expenditures 15-22'!F210</f>
        <v>92058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973753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973753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973753</v>
      </c>
      <c r="C1388" s="2" t="s">
        <v>594</v>
      </c>
      <c r="D1388" s="2" t="str">
        <f t="shared" si="20"/>
        <v>Error?</v>
      </c>
    </row>
    <row r="1389" spans="1:4" x14ac:dyDescent="0.2">
      <c r="A1389" s="5">
        <v>1328</v>
      </c>
      <c r="B1389" s="138">
        <f>'Expenditures 15-22'!K211</f>
        <v>78357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2772</v>
      </c>
      <c r="D1407" s="2" t="str">
        <f t="shared" ref="D1407:D1470" si="21">IF(ISBLANK(B1407),"OK",IF(A1407-B1407=0,"OK","Error?"))</f>
        <v>Error?</v>
      </c>
    </row>
    <row r="1408" spans="1:4" x14ac:dyDescent="0.2">
      <c r="A1408" s="5">
        <v>1347</v>
      </c>
      <c r="B1408" s="138">
        <f>'Expenditures 15-22'!D223</f>
        <v>12730</v>
      </c>
      <c r="D1408" s="2" t="str">
        <f t="shared" si="21"/>
        <v>Error?</v>
      </c>
    </row>
    <row r="1409" spans="1:4" x14ac:dyDescent="0.2">
      <c r="A1409" s="5">
        <v>1348</v>
      </c>
      <c r="B1409" s="138">
        <f>'Expenditures 15-22'!D224</f>
        <v>1290</v>
      </c>
      <c r="D1409" s="2" t="str">
        <f t="shared" si="21"/>
        <v>Error?</v>
      </c>
    </row>
    <row r="1410" spans="1:4" x14ac:dyDescent="0.2">
      <c r="A1410" s="5">
        <v>1349</v>
      </c>
      <c r="B1410" s="138">
        <f>'Expenditures 15-22'!D229</f>
        <v>165066</v>
      </c>
      <c r="C1410" s="2" t="s">
        <v>594</v>
      </c>
      <c r="D1410" s="2" t="str">
        <f t="shared" si="21"/>
        <v>Error?</v>
      </c>
    </row>
    <row r="1411" spans="1:4" x14ac:dyDescent="0.2">
      <c r="A1411" s="5">
        <v>1350</v>
      </c>
      <c r="B1411" s="138">
        <f>'Expenditures 15-22'!D232</f>
        <v>1738</v>
      </c>
      <c r="D1411" s="2" t="str">
        <f t="shared" si="21"/>
        <v>Error?</v>
      </c>
    </row>
    <row r="1412" spans="1:4" x14ac:dyDescent="0.2">
      <c r="A1412" s="5">
        <v>1351</v>
      </c>
      <c r="B1412" s="138">
        <f>'Expenditures 15-22'!D233</f>
        <v>4303</v>
      </c>
      <c r="D1412" s="2" t="str">
        <f t="shared" si="21"/>
        <v>Error?</v>
      </c>
    </row>
    <row r="1413" spans="1:4" x14ac:dyDescent="0.2">
      <c r="A1413" s="5">
        <v>1352</v>
      </c>
      <c r="B1413" s="138">
        <f>'Expenditures 15-22'!D234</f>
        <v>19127</v>
      </c>
      <c r="D1413" s="2" t="str">
        <f t="shared" si="21"/>
        <v>Error?</v>
      </c>
    </row>
    <row r="1414" spans="1:4" x14ac:dyDescent="0.2">
      <c r="A1414" s="5">
        <v>1353</v>
      </c>
      <c r="B1414" s="138">
        <f>'Expenditures 15-22'!D235</f>
        <v>2770</v>
      </c>
      <c r="D1414" s="2" t="str">
        <f t="shared" si="21"/>
        <v>Error?</v>
      </c>
    </row>
    <row r="1415" spans="1:4" x14ac:dyDescent="0.2">
      <c r="A1415" s="5">
        <v>1354</v>
      </c>
      <c r="B1415" s="138">
        <f>'Expenditures 15-22'!D236</f>
        <v>1389</v>
      </c>
      <c r="D1415" s="2" t="str">
        <f t="shared" si="21"/>
        <v>Error?</v>
      </c>
    </row>
    <row r="1416" spans="1:4" x14ac:dyDescent="0.2">
      <c r="A1416" s="5">
        <v>1355</v>
      </c>
      <c r="B1416" s="138">
        <f>'Expenditures 15-22'!D237</f>
        <v>8695</v>
      </c>
      <c r="D1416" s="2" t="str">
        <f t="shared" si="21"/>
        <v>Error?</v>
      </c>
    </row>
    <row r="1417" spans="1:4" x14ac:dyDescent="0.2">
      <c r="A1417" s="5">
        <v>1356</v>
      </c>
      <c r="B1417" s="138">
        <f>'Expenditures 15-22'!D238</f>
        <v>38022</v>
      </c>
      <c r="C1417" s="2" t="s">
        <v>594</v>
      </c>
      <c r="D1417" s="2" t="str">
        <f t="shared" si="21"/>
        <v>Error?</v>
      </c>
    </row>
    <row r="1418" spans="1:4" x14ac:dyDescent="0.2">
      <c r="A1418" s="5">
        <v>1357</v>
      </c>
      <c r="B1418" s="138">
        <f>'Expenditures 15-22'!D240</f>
        <v>2220</v>
      </c>
      <c r="D1418" s="2" t="str">
        <f t="shared" si="21"/>
        <v>Error?</v>
      </c>
    </row>
    <row r="1419" spans="1:4" x14ac:dyDescent="0.2">
      <c r="A1419" s="5">
        <v>1358</v>
      </c>
      <c r="B1419" s="138">
        <f>'Expenditures 15-22'!D241</f>
        <v>35394</v>
      </c>
      <c r="D1419" s="2" t="str">
        <f t="shared" si="21"/>
        <v>Error?</v>
      </c>
    </row>
    <row r="1420" spans="1:4" x14ac:dyDescent="0.2">
      <c r="A1420" s="5">
        <v>1359</v>
      </c>
      <c r="B1420" s="138">
        <f>'Expenditures 15-22'!D242</f>
        <v>1051</v>
      </c>
      <c r="D1420" s="2" t="str">
        <f t="shared" si="21"/>
        <v>Error?</v>
      </c>
    </row>
    <row r="1421" spans="1:4" x14ac:dyDescent="0.2">
      <c r="A1421" s="5">
        <v>1360</v>
      </c>
      <c r="B1421" s="138">
        <f>'Expenditures 15-22'!D243</f>
        <v>38665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11667</v>
      </c>
      <c r="D1423" s="2" t="str">
        <f t="shared" si="21"/>
        <v>Error?</v>
      </c>
    </row>
    <row r="1424" spans="1:4" x14ac:dyDescent="0.2">
      <c r="A1424" s="5">
        <v>1363</v>
      </c>
      <c r="B1424" s="138">
        <f>'Expenditures 15-22'!D257</f>
        <v>12228</v>
      </c>
      <c r="C1424" s="2" t="s">
        <v>594</v>
      </c>
      <c r="D1424" s="2" t="str">
        <f t="shared" si="21"/>
        <v>Error?</v>
      </c>
    </row>
    <row r="1425" spans="1:4" x14ac:dyDescent="0.2">
      <c r="A1425" s="5">
        <v>1364</v>
      </c>
      <c r="B1425" s="138">
        <f>'Expenditures 15-22'!D259</f>
        <v>34245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34245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15615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103149</v>
      </c>
      <c r="D1431" s="2" t="str">
        <f t="shared" si="21"/>
        <v>Error?</v>
      </c>
    </row>
    <row r="1432" spans="1:4" x14ac:dyDescent="0.2">
      <c r="A1432" s="5">
        <v>1371</v>
      </c>
      <c r="B1432" s="138">
        <f>'Expenditures 15-22'!D267</f>
        <v>76805</v>
      </c>
      <c r="D1432" s="2" t="str">
        <f t="shared" si="21"/>
        <v>Error?</v>
      </c>
    </row>
    <row r="1433" spans="1:4" x14ac:dyDescent="0.2">
      <c r="A1433" s="5">
        <v>1372</v>
      </c>
      <c r="B1433" s="138">
        <f>'Expenditures 15-22'!D268</f>
        <v>29857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225426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7152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7152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355738</v>
      </c>
      <c r="C1446" s="2" t="s">
        <v>594</v>
      </c>
      <c r="D1446" s="2" t="str">
        <f t="shared" si="21"/>
        <v>Error?</v>
      </c>
    </row>
    <row r="1447" spans="1:4" x14ac:dyDescent="0.2">
      <c r="A1447" s="5">
        <v>1386</v>
      </c>
      <c r="B1447" s="138">
        <f>'Expenditures 15-22'!D280</f>
        <v>7</v>
      </c>
      <c r="D1447" s="2" t="str">
        <f t="shared" si="21"/>
        <v>Error?</v>
      </c>
    </row>
    <row r="1448" spans="1:4" x14ac:dyDescent="0.2">
      <c r="A1448" s="5">
        <v>1387</v>
      </c>
      <c r="B1448" s="138">
        <f>'Expenditures 15-22'!D295</f>
        <v>520811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2772</v>
      </c>
      <c r="C1471" s="2" t="s">
        <v>594</v>
      </c>
      <c r="D1471" s="2" t="str">
        <f t="shared" ref="D1471:D1534" si="22">IF(ISBLANK(B1471),"OK",IF(A1471-B1471=0,"OK","Error?"))</f>
        <v>Error?</v>
      </c>
    </row>
    <row r="1472" spans="1:4" x14ac:dyDescent="0.2">
      <c r="A1472" s="5">
        <v>1411</v>
      </c>
      <c r="B1472" s="138">
        <f>'Expenditures 15-22'!K223</f>
        <v>12730</v>
      </c>
      <c r="C1472" s="2" t="s">
        <v>594</v>
      </c>
      <c r="D1472" s="2" t="str">
        <f t="shared" si="22"/>
        <v>Error?</v>
      </c>
    </row>
    <row r="1473" spans="1:4" x14ac:dyDescent="0.2">
      <c r="A1473" s="5">
        <v>1412</v>
      </c>
      <c r="B1473" s="138">
        <f>'Expenditures 15-22'!K224</f>
        <v>1290</v>
      </c>
      <c r="C1473" s="2" t="s">
        <v>594</v>
      </c>
      <c r="D1473" s="2" t="str">
        <f t="shared" si="22"/>
        <v>Error?</v>
      </c>
    </row>
    <row r="1474" spans="1:4" x14ac:dyDescent="0.2">
      <c r="A1474" s="5">
        <v>1413</v>
      </c>
      <c r="B1474" s="138">
        <f>'Expenditures 15-22'!K229</f>
        <v>165066</v>
      </c>
      <c r="C1474" s="2" t="s">
        <v>594</v>
      </c>
      <c r="D1474" s="2" t="str">
        <f t="shared" si="22"/>
        <v>Error?</v>
      </c>
    </row>
    <row r="1475" spans="1:4" x14ac:dyDescent="0.2">
      <c r="A1475" s="5">
        <v>1414</v>
      </c>
      <c r="B1475" s="138">
        <f>'Expenditures 15-22'!K232</f>
        <v>1738</v>
      </c>
      <c r="C1475" s="2" t="s">
        <v>594</v>
      </c>
      <c r="D1475" s="2" t="str">
        <f t="shared" si="22"/>
        <v>Error?</v>
      </c>
    </row>
    <row r="1476" spans="1:4" x14ac:dyDescent="0.2">
      <c r="A1476" s="5">
        <v>1415</v>
      </c>
      <c r="B1476" s="138">
        <f>'Expenditures 15-22'!K233</f>
        <v>4303</v>
      </c>
      <c r="C1476" s="2" t="s">
        <v>594</v>
      </c>
      <c r="D1476" s="2" t="str">
        <f t="shared" si="22"/>
        <v>Error?</v>
      </c>
    </row>
    <row r="1477" spans="1:4" x14ac:dyDescent="0.2">
      <c r="A1477" s="5">
        <v>1416</v>
      </c>
      <c r="B1477" s="138">
        <f>'Expenditures 15-22'!K234</f>
        <v>19127</v>
      </c>
      <c r="C1477" s="2" t="s">
        <v>594</v>
      </c>
      <c r="D1477" s="2" t="str">
        <f t="shared" si="22"/>
        <v>Error?</v>
      </c>
    </row>
    <row r="1478" spans="1:4" x14ac:dyDescent="0.2">
      <c r="A1478" s="5">
        <v>1417</v>
      </c>
      <c r="B1478" s="138">
        <f>'Expenditures 15-22'!K235</f>
        <v>2770</v>
      </c>
      <c r="C1478" s="2" t="s">
        <v>594</v>
      </c>
      <c r="D1478" s="2" t="str">
        <f t="shared" si="22"/>
        <v>Error?</v>
      </c>
    </row>
    <row r="1479" spans="1:4" x14ac:dyDescent="0.2">
      <c r="A1479" s="5">
        <v>1418</v>
      </c>
      <c r="B1479" s="138">
        <f>'Expenditures 15-22'!K236</f>
        <v>1389</v>
      </c>
      <c r="C1479" s="2" t="s">
        <v>594</v>
      </c>
      <c r="D1479" s="2" t="str">
        <f t="shared" si="22"/>
        <v>Error?</v>
      </c>
    </row>
    <row r="1480" spans="1:4" x14ac:dyDescent="0.2">
      <c r="A1480" s="5">
        <v>1419</v>
      </c>
      <c r="B1480" s="138">
        <f>'Expenditures 15-22'!K237</f>
        <v>8695</v>
      </c>
      <c r="C1480" s="2" t="s">
        <v>594</v>
      </c>
      <c r="D1480" s="2" t="str">
        <f t="shared" si="22"/>
        <v>Error?</v>
      </c>
    </row>
    <row r="1481" spans="1:4" x14ac:dyDescent="0.2">
      <c r="A1481" s="5">
        <v>1420</v>
      </c>
      <c r="B1481" s="138">
        <f>'Expenditures 15-22'!K238</f>
        <v>38022</v>
      </c>
      <c r="C1481" s="2" t="s">
        <v>594</v>
      </c>
      <c r="D1481" s="2" t="str">
        <f t="shared" si="22"/>
        <v>Error?</v>
      </c>
    </row>
    <row r="1482" spans="1:4" x14ac:dyDescent="0.2">
      <c r="A1482" s="5">
        <v>1421</v>
      </c>
      <c r="B1482" s="138">
        <f>'Expenditures 15-22'!K240</f>
        <v>2220</v>
      </c>
      <c r="C1482" s="2" t="s">
        <v>594</v>
      </c>
      <c r="D1482" s="2" t="str">
        <f t="shared" si="22"/>
        <v>Error?</v>
      </c>
    </row>
    <row r="1483" spans="1:4" x14ac:dyDescent="0.2">
      <c r="A1483" s="5">
        <v>1422</v>
      </c>
      <c r="B1483" s="138">
        <f>'Expenditures 15-22'!K241</f>
        <v>35394</v>
      </c>
      <c r="C1483" s="2" t="s">
        <v>594</v>
      </c>
      <c r="D1483" s="2" t="str">
        <f t="shared" si="22"/>
        <v>Error?</v>
      </c>
    </row>
    <row r="1484" spans="1:4" x14ac:dyDescent="0.2">
      <c r="A1484" s="5">
        <v>1423</v>
      </c>
      <c r="B1484" s="138">
        <f>'Expenditures 15-22'!K242</f>
        <v>1051</v>
      </c>
      <c r="C1484" s="2" t="s">
        <v>594</v>
      </c>
      <c r="D1484" s="2" t="str">
        <f t="shared" si="22"/>
        <v>Error?</v>
      </c>
    </row>
    <row r="1485" spans="1:4" x14ac:dyDescent="0.2">
      <c r="A1485" s="5">
        <v>1424</v>
      </c>
      <c r="B1485" s="138">
        <f>'Expenditures 15-22'!K243</f>
        <v>38665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11667</v>
      </c>
      <c r="C1487" s="2" t="s">
        <v>594</v>
      </c>
      <c r="D1487" s="2" t="str">
        <f t="shared" si="22"/>
        <v>Error?</v>
      </c>
    </row>
    <row r="1488" spans="1:4" x14ac:dyDescent="0.2">
      <c r="A1488" s="5">
        <v>1427</v>
      </c>
      <c r="B1488" s="138">
        <f>'Expenditures 15-22'!K257</f>
        <v>12228</v>
      </c>
      <c r="C1488" s="2" t="s">
        <v>594</v>
      </c>
      <c r="D1488" s="2" t="str">
        <f t="shared" si="22"/>
        <v>Error?</v>
      </c>
    </row>
    <row r="1489" spans="1:4" x14ac:dyDescent="0.2">
      <c r="A1489" s="5">
        <v>1428</v>
      </c>
      <c r="B1489" s="138">
        <f>'Expenditures 15-22'!K259</f>
        <v>34245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34245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15615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103149</v>
      </c>
      <c r="C1495" s="2" t="s">
        <v>594</v>
      </c>
      <c r="D1495" s="2" t="str">
        <f t="shared" si="22"/>
        <v>Error?</v>
      </c>
    </row>
    <row r="1496" spans="1:4" x14ac:dyDescent="0.2">
      <c r="A1496" s="5">
        <v>1435</v>
      </c>
      <c r="B1496" s="138">
        <f>'Expenditures 15-22'!K267</f>
        <v>76805</v>
      </c>
      <c r="C1496" s="2" t="s">
        <v>594</v>
      </c>
      <c r="D1496" s="2" t="str">
        <f t="shared" si="22"/>
        <v>Error?</v>
      </c>
    </row>
    <row r="1497" spans="1:4" x14ac:dyDescent="0.2">
      <c r="A1497" s="5">
        <v>1436</v>
      </c>
      <c r="B1497" s="138">
        <f>'Expenditures 15-22'!K268</f>
        <v>29857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225426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7152</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7152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355738</v>
      </c>
      <c r="C1510" s="2" t="s">
        <v>594</v>
      </c>
      <c r="D1510" s="2" t="str">
        <f t="shared" si="22"/>
        <v>Error?</v>
      </c>
    </row>
    <row r="1511" spans="1:4" x14ac:dyDescent="0.2">
      <c r="A1511" s="5">
        <v>1450</v>
      </c>
      <c r="B1511" s="138">
        <f>'Expenditures 15-22'!K280</f>
        <v>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520811</v>
      </c>
      <c r="C1517" s="2" t="s">
        <v>594</v>
      </c>
      <c r="D1517" s="2" t="str">
        <f t="shared" si="22"/>
        <v>Error?</v>
      </c>
    </row>
    <row r="1518" spans="1:4" x14ac:dyDescent="0.2">
      <c r="A1518" s="5">
        <v>1457</v>
      </c>
      <c r="B1518" s="138">
        <f>'Expenditures 15-22'!K296</f>
        <v>131670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3800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3800</v>
      </c>
      <c r="C1535" s="2" t="s">
        <v>594</v>
      </c>
      <c r="D1535" s="2" t="str">
        <f t="shared" ref="D1535:D1598" si="23">IF(ISBLANK(B1535),"OK",IF(A1535-B1535=0,"OK","Error?"))</f>
        <v>Error?</v>
      </c>
    </row>
    <row r="1536" spans="1:4" x14ac:dyDescent="0.2">
      <c r="A1536" s="5">
        <v>1475</v>
      </c>
      <c r="B1536" s="138">
        <f>'Expenditures 15-22'!E312</f>
        <v>3800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3800</v>
      </c>
      <c r="C1559" s="2" t="s">
        <v>594</v>
      </c>
      <c r="D1559" s="2" t="str">
        <f t="shared" si="23"/>
        <v>Error?</v>
      </c>
    </row>
    <row r="1560" spans="1:4" x14ac:dyDescent="0.2">
      <c r="A1560" s="5">
        <v>1499</v>
      </c>
      <c r="B1560" s="138">
        <f>'Expenditures 15-22'!K312</f>
        <v>3800</v>
      </c>
      <c r="C1560" s="2" t="s">
        <v>594</v>
      </c>
      <c r="D1560" s="2" t="str">
        <f t="shared" si="23"/>
        <v>Error?</v>
      </c>
    </row>
    <row r="1561" spans="1:4" x14ac:dyDescent="0.2">
      <c r="A1561" s="5">
        <v>1500</v>
      </c>
      <c r="B1561" s="138">
        <f>'Expenditures 15-22'!K313</f>
        <v>-3434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10746078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12231407</v>
      </c>
      <c r="C1630" s="2" t="s">
        <v>594</v>
      </c>
      <c r="D1630" s="2" t="str">
        <f t="shared" si="24"/>
        <v>Error?</v>
      </c>
    </row>
    <row r="1631" spans="1:4" x14ac:dyDescent="0.2">
      <c r="A1631" s="5">
        <v>1570</v>
      </c>
      <c r="B1631" s="138">
        <f>'Acct Summary 7-8'!D79</f>
        <v>3564175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3719828</v>
      </c>
      <c r="C1644" s="2" t="s">
        <v>594</v>
      </c>
      <c r="D1644" s="2" t="str">
        <f t="shared" si="24"/>
        <v>Error?</v>
      </c>
    </row>
    <row r="1645" spans="1:4" x14ac:dyDescent="0.2">
      <c r="A1645" s="5">
        <v>1584</v>
      </c>
      <c r="B1645" s="138">
        <f>'Acct Summary 7-8'!E79</f>
        <v>156106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135120</v>
      </c>
      <c r="C1658" s="2" t="s">
        <v>594</v>
      </c>
      <c r="D1658" s="2" t="str">
        <f t="shared" si="24"/>
        <v>Error?</v>
      </c>
    </row>
    <row r="1659" spans="1:4" x14ac:dyDescent="0.2">
      <c r="A1659" s="5">
        <v>1598</v>
      </c>
      <c r="B1659" s="138">
        <f>'Acct Summary 7-8'!F79</f>
        <v>424654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503011</v>
      </c>
      <c r="C1672" s="2" t="s">
        <v>594</v>
      </c>
      <c r="D1672" s="2" t="str">
        <f t="shared" si="25"/>
        <v>Error?</v>
      </c>
    </row>
    <row r="1673" spans="1:4" x14ac:dyDescent="0.2">
      <c r="A1673" s="5">
        <v>1612</v>
      </c>
      <c r="B1673" s="138">
        <f>'Acct Summary 7-8'!G79</f>
        <v>579592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711262</v>
      </c>
      <c r="C1686" s="2" t="s">
        <v>594</v>
      </c>
      <c r="D1686" s="2" t="str">
        <f t="shared" si="25"/>
        <v>Error?</v>
      </c>
    </row>
    <row r="1687" spans="1:4" x14ac:dyDescent="0.2">
      <c r="A1687" s="5">
        <v>1626</v>
      </c>
      <c r="B1687" s="138">
        <f>'Acct Summary 7-8'!H79</f>
        <v>260809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257375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8605731</v>
      </c>
      <c r="C1744" s="2" t="s">
        <v>594</v>
      </c>
      <c r="D1744" s="2" t="str">
        <f t="shared" si="26"/>
        <v>Error?</v>
      </c>
    </row>
    <row r="1745" spans="1:5" x14ac:dyDescent="0.2">
      <c r="A1745" s="5">
        <v>1684</v>
      </c>
      <c r="B1745" s="138">
        <f>'Tax Sched 23'!B5</f>
        <v>1658042</v>
      </c>
      <c r="C1745" s="2" t="s">
        <v>594</v>
      </c>
      <c r="D1745" s="2" t="str">
        <f t="shared" si="26"/>
        <v>Error?</v>
      </c>
    </row>
    <row r="1746" spans="1:5" x14ac:dyDescent="0.2">
      <c r="A1746" s="5">
        <v>1685</v>
      </c>
      <c r="B1746" s="138">
        <f>'Tax Sched 23'!B6</f>
        <v>4071260</v>
      </c>
      <c r="C1746" s="2" t="s">
        <v>594</v>
      </c>
      <c r="D1746" s="2" t="str">
        <f t="shared" si="26"/>
        <v>Error?</v>
      </c>
    </row>
    <row r="1747" spans="1:5" x14ac:dyDescent="0.2">
      <c r="A1747" s="5">
        <v>1686</v>
      </c>
      <c r="B1747" s="138">
        <f>'Tax Sched 23'!B7</f>
        <v>562857</v>
      </c>
      <c r="C1747" s="2" t="s">
        <v>594</v>
      </c>
      <c r="D1747" s="2" t="str">
        <f t="shared" si="26"/>
        <v>Error?</v>
      </c>
    </row>
    <row r="1748" spans="1:5" x14ac:dyDescent="0.2">
      <c r="A1748" s="5">
        <v>1687</v>
      </c>
      <c r="B1748" s="138">
        <f>'Tax Sched 23'!B8</f>
        <v>239858</v>
      </c>
      <c r="C1748" s="2" t="s">
        <v>594</v>
      </c>
      <c r="D1748" s="2" t="str">
        <f t="shared" si="26"/>
        <v>Error?</v>
      </c>
    </row>
    <row r="1749" spans="1:5" x14ac:dyDescent="0.2">
      <c r="A1749" s="5">
        <v>1688</v>
      </c>
      <c r="B1749" s="138">
        <f>'Tax Sched 23'!B10</f>
        <v>5196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283864</v>
      </c>
      <c r="C1752" s="2" t="s">
        <v>594</v>
      </c>
      <c r="D1752" s="2" t="str">
        <f t="shared" si="26"/>
        <v>Error?</v>
      </c>
    </row>
    <row r="1753" spans="1:5" x14ac:dyDescent="0.2">
      <c r="A1753" s="5">
        <v>1692</v>
      </c>
      <c r="B1753" s="138">
        <f>'Tax Sched 23'!B12</f>
        <v>49350</v>
      </c>
      <c r="C1753" s="2" t="s">
        <v>594</v>
      </c>
      <c r="D1753" s="2" t="str">
        <f t="shared" si="26"/>
        <v>Error?</v>
      </c>
    </row>
    <row r="1754" spans="1:5" x14ac:dyDescent="0.2">
      <c r="A1754" s="5">
        <v>1693</v>
      </c>
      <c r="B1754" s="138">
        <f>'Tax Sched 23'!B14</f>
        <v>536626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16404419</v>
      </c>
      <c r="C1759" s="2" t="s">
        <v>594</v>
      </c>
      <c r="D1759" s="2" t="str">
        <f t="shared" si="26"/>
        <v>Error?</v>
      </c>
    </row>
    <row r="1760" spans="1:5" x14ac:dyDescent="0.2">
      <c r="A1760" s="5">
        <v>1699</v>
      </c>
      <c r="B1760" s="138">
        <f>'Tax Sched 23'!D4</f>
        <v>8578367</v>
      </c>
      <c r="C1760" s="2" t="s">
        <v>594</v>
      </c>
      <c r="D1760" s="2" t="str">
        <f t="shared" si="26"/>
        <v>Error?</v>
      </c>
    </row>
    <row r="1761" spans="1:5" x14ac:dyDescent="0.2">
      <c r="A1761" s="5">
        <v>1700</v>
      </c>
      <c r="B1761" s="138">
        <f>'Tax Sched 23'!D5</f>
        <v>1652949</v>
      </c>
      <c r="C1761" s="2" t="s">
        <v>594</v>
      </c>
      <c r="D1761" s="2" t="str">
        <f t="shared" si="26"/>
        <v>Error?</v>
      </c>
    </row>
    <row r="1762" spans="1:5" s="8" customFormat="1" x14ac:dyDescent="0.2">
      <c r="A1762" s="5">
        <v>1701</v>
      </c>
      <c r="B1762" s="138">
        <f>'Tax Sched 23'!D6</f>
        <v>4058875</v>
      </c>
      <c r="C1762" s="2" t="s">
        <v>594</v>
      </c>
      <c r="D1762" s="2" t="str">
        <f t="shared" si="26"/>
        <v>Error?</v>
      </c>
      <c r="E1762" s="9"/>
    </row>
    <row r="1763" spans="1:5" x14ac:dyDescent="0.2">
      <c r="A1763" s="5">
        <v>1702</v>
      </c>
      <c r="B1763" s="138">
        <f>'Tax Sched 23'!D7</f>
        <v>561161</v>
      </c>
      <c r="C1763" s="2" t="s">
        <v>594</v>
      </c>
      <c r="D1763" s="2" t="str">
        <f t="shared" si="26"/>
        <v>Error?</v>
      </c>
    </row>
    <row r="1764" spans="1:5" x14ac:dyDescent="0.2">
      <c r="A1764" s="5">
        <v>1703</v>
      </c>
      <c r="B1764" s="138">
        <f>'Tax Sched 23'!D8</f>
        <v>239134</v>
      </c>
      <c r="C1764" s="2" t="s">
        <v>594</v>
      </c>
      <c r="D1764" s="2" t="str">
        <f t="shared" si="26"/>
        <v>Error?</v>
      </c>
    </row>
    <row r="1765" spans="1:5" x14ac:dyDescent="0.2">
      <c r="A1765" s="5">
        <v>1704</v>
      </c>
      <c r="B1765" s="138">
        <f>'Tax Sched 23'!D10</f>
        <v>5181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283034</v>
      </c>
      <c r="C1768" s="2" t="s">
        <v>594</v>
      </c>
      <c r="D1768" s="2" t="str">
        <f t="shared" si="26"/>
        <v>Error?</v>
      </c>
    </row>
    <row r="1769" spans="1:5" x14ac:dyDescent="0.2">
      <c r="A1769" s="5">
        <v>1708</v>
      </c>
      <c r="B1769" s="138">
        <f>'Tax Sched 23'!D12</f>
        <v>49350</v>
      </c>
      <c r="C1769" s="2" t="s">
        <v>594</v>
      </c>
      <c r="D1769" s="2" t="str">
        <f t="shared" si="26"/>
        <v>Error?</v>
      </c>
    </row>
    <row r="1770" spans="1:5" x14ac:dyDescent="0.2">
      <c r="A1770" s="5">
        <v>1709</v>
      </c>
      <c r="B1770" s="138">
        <f>'Tax Sched 23'!D14</f>
        <v>536626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16355145</v>
      </c>
      <c r="C1775" s="2" t="s">
        <v>594</v>
      </c>
      <c r="D1775" s="2" t="str">
        <f t="shared" si="26"/>
        <v>Error?</v>
      </c>
    </row>
    <row r="1776" spans="1:5" x14ac:dyDescent="0.2">
      <c r="A1776" s="5">
        <v>1715</v>
      </c>
      <c r="B1776" s="138">
        <f>'Tax Sched 23'!C4</f>
        <v>27364</v>
      </c>
      <c r="D1776" s="2" t="str">
        <f t="shared" si="26"/>
        <v>Error?</v>
      </c>
    </row>
    <row r="1777" spans="1:4" x14ac:dyDescent="0.2">
      <c r="A1777" s="5">
        <v>1716</v>
      </c>
      <c r="B1777" s="138">
        <f>'Tax Sched 23'!C5</f>
        <v>5093</v>
      </c>
      <c r="D1777" s="2" t="str">
        <f t="shared" si="26"/>
        <v>Error?</v>
      </c>
    </row>
    <row r="1778" spans="1:4" x14ac:dyDescent="0.2">
      <c r="A1778" s="5">
        <v>1717</v>
      </c>
      <c r="B1778" s="138">
        <f>'Tax Sched 23'!C6</f>
        <v>12385</v>
      </c>
      <c r="D1778" s="2" t="str">
        <f t="shared" si="26"/>
        <v>Error?</v>
      </c>
    </row>
    <row r="1779" spans="1:4" x14ac:dyDescent="0.2">
      <c r="A1779" s="5">
        <v>1718</v>
      </c>
      <c r="B1779" s="138">
        <f>'Tax Sched 23'!C7</f>
        <v>1696</v>
      </c>
      <c r="D1779" s="2" t="str">
        <f t="shared" si="26"/>
        <v>Error?</v>
      </c>
    </row>
    <row r="1780" spans="1:4" x14ac:dyDescent="0.2">
      <c r="A1780" s="5">
        <v>1719</v>
      </c>
      <c r="B1780" s="138">
        <f>'Tax Sched 23'!C8</f>
        <v>724</v>
      </c>
      <c r="D1780" s="2" t="str">
        <f t="shared" si="26"/>
        <v>Error?</v>
      </c>
    </row>
    <row r="1781" spans="1:4" x14ac:dyDescent="0.2">
      <c r="A1781" s="5">
        <v>1720</v>
      </c>
      <c r="B1781" s="138">
        <f>'Tax Sched 23'!C10</f>
        <v>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830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49274</v>
      </c>
      <c r="C1791" s="2" t="s">
        <v>594</v>
      </c>
      <c r="D1791" s="2" t="str">
        <f t="shared" ref="D1791:D1854" si="27">IF(ISBLANK(B1791),"OK",IF(A1791-B1791=0,"OK","Error?"))</f>
        <v>Error?</v>
      </c>
    </row>
    <row r="1792" spans="1:4" x14ac:dyDescent="0.2">
      <c r="A1792" s="5">
        <v>1731</v>
      </c>
      <c r="B1792" s="138">
        <f>'Tax Sched 23'!F4</f>
        <v>9447604</v>
      </c>
      <c r="C1792" s="2" t="s">
        <v>594</v>
      </c>
      <c r="D1792" s="2" t="str">
        <f t="shared" si="27"/>
        <v>Error?</v>
      </c>
    </row>
    <row r="1793" spans="1:4" x14ac:dyDescent="0.2">
      <c r="A1793" s="5">
        <v>1732</v>
      </c>
      <c r="B1793" s="138">
        <f>'Tax Sched 23'!F5</f>
        <v>1758400</v>
      </c>
      <c r="C1793" s="2" t="s">
        <v>594</v>
      </c>
      <c r="D1793" s="2" t="str">
        <f t="shared" si="27"/>
        <v>Error?</v>
      </c>
    </row>
    <row r="1794" spans="1:4" x14ac:dyDescent="0.2">
      <c r="A1794" s="5">
        <v>1733</v>
      </c>
      <c r="B1794" s="138">
        <f>'Tax Sched 23'!F6</f>
        <v>4275936</v>
      </c>
      <c r="C1794" s="2" t="s">
        <v>594</v>
      </c>
      <c r="D1794" s="2" t="str">
        <f t="shared" si="27"/>
        <v>Error?</v>
      </c>
    </row>
    <row r="1795" spans="1:4" x14ac:dyDescent="0.2">
      <c r="A1795" s="5">
        <v>1734</v>
      </c>
      <c r="B1795" s="138">
        <f>'Tax Sched 23'!F7</f>
        <v>585410</v>
      </c>
      <c r="C1795" s="2" t="s">
        <v>594</v>
      </c>
      <c r="D1795" s="2" t="str">
        <f t="shared" si="27"/>
        <v>Error?</v>
      </c>
    </row>
    <row r="1796" spans="1:4" x14ac:dyDescent="0.2">
      <c r="A1796" s="5">
        <v>1735</v>
      </c>
      <c r="B1796" s="138">
        <f>'Tax Sched 23'!F8</f>
        <v>249883</v>
      </c>
      <c r="C1796" s="2" t="s">
        <v>594</v>
      </c>
      <c r="D1796" s="2" t="str">
        <f t="shared" si="27"/>
        <v>Error?</v>
      </c>
    </row>
    <row r="1797" spans="1:4" x14ac:dyDescent="0.2">
      <c r="A1797" s="5">
        <v>1736</v>
      </c>
      <c r="B1797" s="138">
        <f>'Tax Sched 23'!F10</f>
        <v>5149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286471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17011865</v>
      </c>
      <c r="C1807" s="2" t="s">
        <v>594</v>
      </c>
      <c r="D1807" s="2" t="str">
        <f t="shared" si="27"/>
        <v>Error?</v>
      </c>
    </row>
    <row r="1808" spans="1:4" x14ac:dyDescent="0.2">
      <c r="A1808" s="5">
        <v>1747</v>
      </c>
      <c r="B1808" s="138">
        <f>'Tax Sched 23'!E4</f>
        <v>9474968</v>
      </c>
      <c r="D1808" s="2" t="str">
        <f t="shared" si="27"/>
        <v>Error?</v>
      </c>
    </row>
    <row r="1809" spans="1:4" x14ac:dyDescent="0.2">
      <c r="A1809" s="5">
        <v>1748</v>
      </c>
      <c r="B1809" s="138">
        <f>'Tax Sched 23'!E5</f>
        <v>1763493</v>
      </c>
      <c r="D1809" s="2" t="str">
        <f t="shared" si="27"/>
        <v>Error?</v>
      </c>
    </row>
    <row r="1810" spans="1:4" x14ac:dyDescent="0.2">
      <c r="A1810" s="5">
        <v>1749</v>
      </c>
      <c r="B1810" s="138">
        <f>'Tax Sched 23'!E6</f>
        <v>4288321</v>
      </c>
      <c r="D1810" s="2" t="str">
        <f t="shared" si="27"/>
        <v>Error?</v>
      </c>
    </row>
    <row r="1811" spans="1:4" x14ac:dyDescent="0.2">
      <c r="A1811" s="5">
        <v>1750</v>
      </c>
      <c r="B1811" s="138">
        <f>'Tax Sched 23'!E7</f>
        <v>587106</v>
      </c>
      <c r="D1811" s="2" t="str">
        <f t="shared" si="27"/>
        <v>Error?</v>
      </c>
    </row>
    <row r="1812" spans="1:4" x14ac:dyDescent="0.2">
      <c r="A1812" s="5">
        <v>1751</v>
      </c>
      <c r="B1812" s="138">
        <f>'Tax Sched 23'!E8</f>
        <v>250607</v>
      </c>
      <c r="D1812" s="2" t="str">
        <f t="shared" si="27"/>
        <v>Error?</v>
      </c>
    </row>
    <row r="1813" spans="1:4" x14ac:dyDescent="0.2">
      <c r="A1813" s="5">
        <v>1752</v>
      </c>
      <c r="B1813" s="138">
        <f>'Tax Sched 23'!E10</f>
        <v>5164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287301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17061139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32584723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5726534</v>
      </c>
      <c r="D2008" s="2" t="str">
        <f t="shared" si="30"/>
        <v>Error?</v>
      </c>
    </row>
    <row r="2009" spans="1:4" x14ac:dyDescent="0.2">
      <c r="A2009" s="5">
        <v>1948</v>
      </c>
      <c r="B2009" s="138">
        <f>'Cap Outlay Deprec 26'!C8</f>
        <v>49737984</v>
      </c>
      <c r="D2009" s="2" t="str">
        <f t="shared" si="30"/>
        <v>Error?</v>
      </c>
    </row>
    <row r="2010" spans="1:4" x14ac:dyDescent="0.2">
      <c r="A2010" s="5">
        <v>1949</v>
      </c>
      <c r="B2010" s="138">
        <f>'Cap Outlay Deprec 26'!C10</f>
        <v>1287114</v>
      </c>
      <c r="D2010" s="2" t="str">
        <f t="shared" si="30"/>
        <v>Error?</v>
      </c>
    </row>
    <row r="2011" spans="1:4" x14ac:dyDescent="0.2">
      <c r="A2011" s="5">
        <v>1950</v>
      </c>
      <c r="B2011" s="138">
        <f>'Cap Outlay Deprec 26'!C12</f>
        <v>7958598</v>
      </c>
      <c r="D2011" s="2" t="str">
        <f t="shared" si="30"/>
        <v>Error?</v>
      </c>
    </row>
    <row r="2012" spans="1:4" x14ac:dyDescent="0.2">
      <c r="A2012" s="5">
        <v>1951</v>
      </c>
      <c r="B2012" s="138">
        <f>'Cap Outlay Deprec 26'!C13</f>
        <v>820423</v>
      </c>
      <c r="D2012" s="2" t="str">
        <f t="shared" si="30"/>
        <v>Error?</v>
      </c>
    </row>
    <row r="2013" spans="1:4" x14ac:dyDescent="0.2">
      <c r="A2013" s="5">
        <v>1952</v>
      </c>
      <c r="B2013" s="138">
        <f>'Cap Outlay Deprec 26'!C16</f>
        <v>65647970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351386</v>
      </c>
      <c r="D2017" s="2" t="str">
        <f t="shared" si="30"/>
        <v>Error?</v>
      </c>
    </row>
    <row r="2018" spans="1:4" x14ac:dyDescent="0.2">
      <c r="A2018" s="5">
        <v>1957</v>
      </c>
      <c r="B2018" s="138">
        <f>'Cap Outlay Deprec 26'!D13</f>
        <v>2743</v>
      </c>
      <c r="D2018" s="2" t="str">
        <f t="shared" si="30"/>
        <v>Error?</v>
      </c>
    </row>
    <row r="2019" spans="1:4" x14ac:dyDescent="0.2">
      <c r="A2019" s="5">
        <v>1958</v>
      </c>
      <c r="B2019" s="138">
        <f>'Cap Outlay Deprec 26'!D16</f>
        <v>354129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173368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173368</v>
      </c>
      <c r="C2025" s="2" t="s">
        <v>594</v>
      </c>
      <c r="D2025" s="2" t="str">
        <f t="shared" si="30"/>
        <v>Error?</v>
      </c>
    </row>
    <row r="2026" spans="1:4" x14ac:dyDescent="0.2">
      <c r="A2026" s="5">
        <v>1965</v>
      </c>
      <c r="B2026" s="138">
        <f>'Cap Outlay Deprec 26'!F5</f>
        <v>5726534</v>
      </c>
      <c r="C2026" s="2" t="s">
        <v>594</v>
      </c>
      <c r="D2026" s="2" t="str">
        <f t="shared" si="30"/>
        <v>Error?</v>
      </c>
    </row>
    <row r="2027" spans="1:4" x14ac:dyDescent="0.2">
      <c r="A2027" s="5">
        <v>1966</v>
      </c>
      <c r="B2027" s="138">
        <f>'Cap Outlay Deprec 26'!F8</f>
        <v>49737984</v>
      </c>
      <c r="C2027" s="2" t="s">
        <v>594</v>
      </c>
      <c r="D2027" s="2" t="str">
        <f t="shared" si="30"/>
        <v>Error?</v>
      </c>
    </row>
    <row r="2028" spans="1:4" x14ac:dyDescent="0.2">
      <c r="A2028" s="5">
        <v>1967</v>
      </c>
      <c r="B2028" s="138">
        <f>'Cap Outlay Deprec 26'!F10</f>
        <v>1287114</v>
      </c>
      <c r="C2028" s="2" t="s">
        <v>594</v>
      </c>
      <c r="D2028" s="2" t="str">
        <f t="shared" si="30"/>
        <v>Error?</v>
      </c>
    </row>
    <row r="2029" spans="1:4" x14ac:dyDescent="0.2">
      <c r="A2029" s="5">
        <v>1968</v>
      </c>
      <c r="B2029" s="138">
        <f>'Cap Outlay Deprec 26'!F12</f>
        <v>8136616</v>
      </c>
      <c r="C2029" s="2" t="s">
        <v>594</v>
      </c>
      <c r="D2029" s="2" t="str">
        <f t="shared" si="30"/>
        <v>Error?</v>
      </c>
    </row>
    <row r="2030" spans="1:4" x14ac:dyDescent="0.2">
      <c r="A2030" s="5">
        <v>1969</v>
      </c>
      <c r="B2030" s="138">
        <f>'Cap Outlay Deprec 26'!F13</f>
        <v>823166</v>
      </c>
      <c r="C2030" s="2" t="s">
        <v>594</v>
      </c>
      <c r="D2030" s="2" t="str">
        <f t="shared" si="30"/>
        <v>Error?</v>
      </c>
    </row>
    <row r="2031" spans="1:4" x14ac:dyDescent="0.2">
      <c r="A2031" s="5">
        <v>1970</v>
      </c>
      <c r="B2031" s="138">
        <f>'Cap Outlay Deprec 26'!F16</f>
        <v>65828731</v>
      </c>
      <c r="C2031" s="2" t="s">
        <v>594</v>
      </c>
      <c r="D2031" s="2" t="str">
        <f t="shared" si="30"/>
        <v>Error?</v>
      </c>
    </row>
    <row r="2032" spans="1:4" x14ac:dyDescent="0.2">
      <c r="A2032" s="10">
        <v>1971</v>
      </c>
      <c r="D2032" s="2" t="str">
        <f t="shared" si="30"/>
        <v>OK</v>
      </c>
    </row>
    <row r="2033" spans="1:4" x14ac:dyDescent="0.2">
      <c r="A2033" s="5">
        <v>1972</v>
      </c>
      <c r="B2033" s="138">
        <f>'Cap Outlay Deprec 26'!H8</f>
        <v>13791674</v>
      </c>
      <c r="D2033" s="2" t="str">
        <f t="shared" si="30"/>
        <v>Error?</v>
      </c>
    </row>
    <row r="2034" spans="1:4" x14ac:dyDescent="0.2">
      <c r="A2034" s="5">
        <v>1973</v>
      </c>
      <c r="B2034" s="138">
        <f>'Cap Outlay Deprec 26'!H10</f>
        <v>865632</v>
      </c>
      <c r="D2034" s="2" t="str">
        <f t="shared" si="30"/>
        <v>Error?</v>
      </c>
    </row>
    <row r="2035" spans="1:4" x14ac:dyDescent="0.2">
      <c r="A2035" s="5">
        <v>1974</v>
      </c>
      <c r="B2035" s="138">
        <f>'Cap Outlay Deprec 26'!H12</f>
        <v>6497488</v>
      </c>
      <c r="D2035" s="2" t="str">
        <f t="shared" si="30"/>
        <v>Error?</v>
      </c>
    </row>
    <row r="2036" spans="1:4" x14ac:dyDescent="0.2">
      <c r="A2036" s="5">
        <v>1975</v>
      </c>
      <c r="B2036" s="138">
        <f>'Cap Outlay Deprec 26'!H13</f>
        <v>662208</v>
      </c>
      <c r="D2036" s="2" t="str">
        <f t="shared" si="30"/>
        <v>Error?</v>
      </c>
    </row>
    <row r="2037" spans="1:4" x14ac:dyDescent="0.2">
      <c r="A2037" s="5">
        <v>1976</v>
      </c>
      <c r="B2037" s="138">
        <f>'Cap Outlay Deprec 26'!H16</f>
        <v>21909369</v>
      </c>
      <c r="C2037" s="2" t="s">
        <v>594</v>
      </c>
      <c r="D2037" s="2" t="str">
        <f t="shared" si="30"/>
        <v>Error?</v>
      </c>
    </row>
    <row r="2038" spans="1:4" x14ac:dyDescent="0.2">
      <c r="A2038" s="10">
        <v>1977</v>
      </c>
      <c r="D2038" s="2" t="str">
        <f t="shared" si="30"/>
        <v>OK</v>
      </c>
    </row>
    <row r="2039" spans="1:4" x14ac:dyDescent="0.2">
      <c r="A2039" s="5">
        <v>1978</v>
      </c>
      <c r="B2039" s="138">
        <f>'Cap Outlay Deprec 26'!I8</f>
        <v>986177</v>
      </c>
      <c r="D2039" s="2" t="str">
        <f t="shared" si="30"/>
        <v>Error?</v>
      </c>
    </row>
    <row r="2040" spans="1:4" x14ac:dyDescent="0.2">
      <c r="A2040" s="5">
        <v>1979</v>
      </c>
      <c r="B2040" s="138">
        <f>'Cap Outlay Deprec 26'!I10</f>
        <v>13026</v>
      </c>
      <c r="D2040" s="2" t="str">
        <f t="shared" si="30"/>
        <v>Error?</v>
      </c>
    </row>
    <row r="2041" spans="1:4" x14ac:dyDescent="0.2">
      <c r="A2041" s="5">
        <v>1980</v>
      </c>
      <c r="B2041" s="138">
        <f>'Cap Outlay Deprec 26'!I12</f>
        <v>28216</v>
      </c>
      <c r="D2041" s="2" t="str">
        <f t="shared" si="30"/>
        <v>Error?</v>
      </c>
    </row>
    <row r="2042" spans="1:4" x14ac:dyDescent="0.2">
      <c r="A2042" s="5">
        <v>1981</v>
      </c>
      <c r="B2042" s="138">
        <f>'Cap Outlay Deprec 26'!I13</f>
        <v>47053</v>
      </c>
      <c r="D2042" s="2" t="str">
        <f t="shared" si="30"/>
        <v>Error?</v>
      </c>
    </row>
    <row r="2043" spans="1:4" x14ac:dyDescent="0.2">
      <c r="A2043" s="5">
        <v>1982</v>
      </c>
      <c r="B2043" s="138">
        <f>'Cap Outlay Deprec 26'!I16</f>
        <v>1075851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78930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78930</v>
      </c>
      <c r="C2049" s="2" t="s">
        <v>594</v>
      </c>
      <c r="D2049" s="2" t="str">
        <f t="shared" si="31"/>
        <v>Error?</v>
      </c>
    </row>
    <row r="2050" spans="1:4" x14ac:dyDescent="0.2">
      <c r="A2050" s="10">
        <v>1989</v>
      </c>
      <c r="D2050" s="2" t="str">
        <f t="shared" si="31"/>
        <v>OK</v>
      </c>
    </row>
    <row r="2051" spans="1:4" x14ac:dyDescent="0.2">
      <c r="A2051" s="5">
        <v>1990</v>
      </c>
      <c r="B2051" s="138">
        <f>'Cap Outlay Deprec 26'!K8</f>
        <v>14777851</v>
      </c>
      <c r="C2051" s="2" t="s">
        <v>594</v>
      </c>
      <c r="D2051" s="2" t="str">
        <f t="shared" si="31"/>
        <v>Error?</v>
      </c>
    </row>
    <row r="2052" spans="1:4" x14ac:dyDescent="0.2">
      <c r="A2052" s="5">
        <v>1991</v>
      </c>
      <c r="B2052" s="138">
        <f>'Cap Outlay Deprec 26'!K10</f>
        <v>878658</v>
      </c>
      <c r="C2052" s="2" t="s">
        <v>594</v>
      </c>
      <c r="D2052" s="2" t="str">
        <f t="shared" si="31"/>
        <v>Error?</v>
      </c>
    </row>
    <row r="2053" spans="1:4" x14ac:dyDescent="0.2">
      <c r="A2053" s="5">
        <v>1992</v>
      </c>
      <c r="B2053" s="138">
        <f>'Cap Outlay Deprec 26'!K12</f>
        <v>6446774</v>
      </c>
      <c r="C2053" s="2" t="s">
        <v>594</v>
      </c>
      <c r="D2053" s="2" t="str">
        <f t="shared" si="31"/>
        <v>Error?</v>
      </c>
    </row>
    <row r="2054" spans="1:4" x14ac:dyDescent="0.2">
      <c r="A2054" s="5">
        <v>1993</v>
      </c>
      <c r="B2054" s="138">
        <f>'Cap Outlay Deprec 26'!K13</f>
        <v>709261</v>
      </c>
      <c r="C2054" s="2" t="s">
        <v>594</v>
      </c>
      <c r="D2054" s="2" t="str">
        <f t="shared" si="31"/>
        <v>Error?</v>
      </c>
    </row>
    <row r="2055" spans="1:4" x14ac:dyDescent="0.2">
      <c r="A2055" s="5">
        <v>1994</v>
      </c>
      <c r="B2055" s="138">
        <f>'Cap Outlay Deprec 26'!K16</f>
        <v>22906290</v>
      </c>
      <c r="C2055" s="2" t="s">
        <v>594</v>
      </c>
      <c r="D2055" s="2" t="str">
        <f t="shared" si="31"/>
        <v>Error?</v>
      </c>
    </row>
    <row r="2056" spans="1:4" x14ac:dyDescent="0.2">
      <c r="A2056" s="5">
        <v>1995</v>
      </c>
      <c r="B2056" s="138">
        <f>'Cap Outlay Deprec 26'!L5</f>
        <v>5726534</v>
      </c>
      <c r="C2056" s="2" t="s">
        <v>594</v>
      </c>
      <c r="D2056" s="2" t="str">
        <f t="shared" si="31"/>
        <v>Error?</v>
      </c>
    </row>
    <row r="2057" spans="1:4" x14ac:dyDescent="0.2">
      <c r="A2057" s="5">
        <v>1996</v>
      </c>
      <c r="B2057" s="138">
        <f>'Cap Outlay Deprec 26'!L8</f>
        <v>34960133</v>
      </c>
      <c r="C2057" s="2" t="s">
        <v>594</v>
      </c>
      <c r="D2057" s="2" t="str">
        <f t="shared" si="31"/>
        <v>Error?</v>
      </c>
    </row>
    <row r="2058" spans="1:4" x14ac:dyDescent="0.2">
      <c r="A2058" s="5">
        <v>1997</v>
      </c>
      <c r="B2058" s="138">
        <f>'Cap Outlay Deprec 26'!L10</f>
        <v>408456</v>
      </c>
      <c r="C2058" s="2" t="s">
        <v>594</v>
      </c>
      <c r="D2058" s="2" t="str">
        <f t="shared" si="31"/>
        <v>Error?</v>
      </c>
    </row>
    <row r="2059" spans="1:4" x14ac:dyDescent="0.2">
      <c r="A2059" s="5">
        <v>1998</v>
      </c>
      <c r="B2059" s="138">
        <f>'Cap Outlay Deprec 26'!L12</f>
        <v>1689842</v>
      </c>
      <c r="C2059" s="2" t="s">
        <v>594</v>
      </c>
      <c r="D2059" s="2" t="str">
        <f t="shared" si="31"/>
        <v>Error?</v>
      </c>
    </row>
    <row r="2060" spans="1:4" x14ac:dyDescent="0.2">
      <c r="A2060" s="5">
        <v>1999</v>
      </c>
      <c r="B2060" s="138">
        <f>'Cap Outlay Deprec 26'!L13</f>
        <v>113905</v>
      </c>
      <c r="C2060" s="2" t="s">
        <v>594</v>
      </c>
      <c r="D2060" s="2" t="str">
        <f t="shared" si="31"/>
        <v>Error?</v>
      </c>
    </row>
    <row r="2061" spans="1:4" x14ac:dyDescent="0.2">
      <c r="A2061" s="5">
        <v>2000</v>
      </c>
      <c r="B2061" s="138">
        <f>'Cap Outlay Deprec 26'!L16</f>
        <v>42922441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15290</v>
      </c>
      <c r="C2088" s="2" t="s">
        <v>594</v>
      </c>
      <c r="D2088" s="2" t="str">
        <f t="shared" si="31"/>
        <v>Error?</v>
      </c>
    </row>
    <row r="2089" spans="1:4" x14ac:dyDescent="0.2">
      <c r="A2089" s="5">
        <v>2028</v>
      </c>
      <c r="B2089" s="138">
        <f>'Expenditures 15-22'!K92</f>
        <v>797690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361000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267495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10194247</v>
      </c>
      <c r="C2551" s="2" t="s">
        <v>594</v>
      </c>
      <c r="D2551" s="2" t="str">
        <f t="shared" si="38"/>
        <v>Error?</v>
      </c>
    </row>
    <row r="2552" spans="1:4" x14ac:dyDescent="0.2">
      <c r="A2552" s="10">
        <v>2491</v>
      </c>
      <c r="D2552" s="2" t="str">
        <f t="shared" si="38"/>
        <v>OK</v>
      </c>
    </row>
    <row r="2553" spans="1:4" x14ac:dyDescent="0.2">
      <c r="A2553" s="5">
        <v>2492</v>
      </c>
      <c r="B2553" s="138">
        <f>'Acct Summary 7-8'!C6</f>
        <v>7173887</v>
      </c>
      <c r="C2553" s="2" t="s">
        <v>594</v>
      </c>
      <c r="D2553" s="2" t="str">
        <f t="shared" si="38"/>
        <v>Error?</v>
      </c>
    </row>
    <row r="2554" spans="1:4" x14ac:dyDescent="0.2">
      <c r="A2554" s="5">
        <v>2493</v>
      </c>
      <c r="B2554" s="138">
        <f>'Acct Summary 7-8'!C7</f>
        <v>947485</v>
      </c>
      <c r="C2554" s="2" t="s">
        <v>594</v>
      </c>
      <c r="D2554" s="2" t="str">
        <f t="shared" si="38"/>
        <v>Error?</v>
      </c>
    </row>
    <row r="2555" spans="1:4" x14ac:dyDescent="0.2">
      <c r="A2555" s="5">
        <v>2494</v>
      </c>
      <c r="B2555" s="138">
        <f>'Acct Summary 7-8'!C8</f>
        <v>20725009</v>
      </c>
      <c r="C2555" s="2" t="s">
        <v>594</v>
      </c>
      <c r="D2555" s="2" t="str">
        <f t="shared" si="38"/>
        <v>Error?</v>
      </c>
    </row>
    <row r="2556" spans="1:4" x14ac:dyDescent="0.2">
      <c r="A2556" s="5">
        <v>2495</v>
      </c>
      <c r="B2556" s="138">
        <f>'Acct Summary 7-8'!C12</f>
        <v>9941989</v>
      </c>
      <c r="C2556" s="2" t="s">
        <v>594</v>
      </c>
      <c r="D2556" s="2" t="str">
        <f t="shared" si="38"/>
        <v>Error?</v>
      </c>
    </row>
    <row r="2557" spans="1:4" x14ac:dyDescent="0.2">
      <c r="A2557" s="5">
        <v>2496</v>
      </c>
      <c r="B2557" s="138">
        <f>'Acct Summary 7-8'!C13</f>
        <v>4484199</v>
      </c>
      <c r="C2557" s="2" t="s">
        <v>594</v>
      </c>
      <c r="D2557" s="2" t="str">
        <f t="shared" si="38"/>
        <v>Error?</v>
      </c>
    </row>
    <row r="2558" spans="1:4" x14ac:dyDescent="0.2">
      <c r="A2558" s="5">
        <v>2497</v>
      </c>
      <c r="B2558" s="138">
        <f>'Acct Summary 7-8'!C14</f>
        <v>1193</v>
      </c>
      <c r="C2558" s="2" t="s">
        <v>594</v>
      </c>
      <c r="D2558" s="2" t="str">
        <f t="shared" si="38"/>
        <v>Error?</v>
      </c>
    </row>
    <row r="2559" spans="1:4" x14ac:dyDescent="0.2">
      <c r="A2559" s="5">
        <v>2498</v>
      </c>
      <c r="B2559" s="138">
        <f>'Acct Summary 7-8'!C15</f>
        <v>812980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15240361</v>
      </c>
      <c r="C2561" s="2" t="s">
        <v>594</v>
      </c>
      <c r="D2561" s="2" t="str">
        <f t="shared" si="39"/>
        <v>Error?</v>
      </c>
    </row>
    <row r="2562" spans="1:4" x14ac:dyDescent="0.2">
      <c r="A2562" s="5">
        <v>2501</v>
      </c>
      <c r="B2562" s="138">
        <f>'Acct Summary 7-8'!C20</f>
        <v>5484648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1918242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1918242</v>
      </c>
      <c r="C2568" s="2" t="s">
        <v>594</v>
      </c>
      <c r="D2568" s="2" t="str">
        <f t="shared" si="39"/>
        <v>Error?</v>
      </c>
    </row>
    <row r="2569" spans="1:4" x14ac:dyDescent="0.2">
      <c r="A2569" s="5">
        <v>2508</v>
      </c>
      <c r="B2569" s="138">
        <f>'Acct Summary 7-8'!D13</f>
        <v>1762589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1762589</v>
      </c>
      <c r="C2573" s="2" t="s">
        <v>594</v>
      </c>
      <c r="D2573" s="2" t="str">
        <f t="shared" si="39"/>
        <v>Error?</v>
      </c>
    </row>
    <row r="2574" spans="1:4" x14ac:dyDescent="0.2">
      <c r="A2574" s="5">
        <v>2513</v>
      </c>
      <c r="B2574" s="138">
        <f>'Acct Summary 7-8'!D20</f>
        <v>155653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573110</v>
      </c>
      <c r="C2591" s="2" t="s">
        <v>594</v>
      </c>
      <c r="D2591" s="2" t="str">
        <f t="shared" si="39"/>
        <v>Error?</v>
      </c>
    </row>
    <row r="2592" spans="1:4" x14ac:dyDescent="0.2">
      <c r="A2592" s="10">
        <v>2531</v>
      </c>
      <c r="D2592" s="2" t="str">
        <f t="shared" si="39"/>
        <v>OK</v>
      </c>
    </row>
    <row r="2593" spans="1:4" x14ac:dyDescent="0.2">
      <c r="A2593" s="5">
        <v>2532</v>
      </c>
      <c r="B2593" s="138">
        <f>'Acct Summary 7-8'!F6</f>
        <v>479000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1052110</v>
      </c>
      <c r="C2595" s="2" t="s">
        <v>594</v>
      </c>
      <c r="D2595" s="2" t="str">
        <f t="shared" si="39"/>
        <v>Error?</v>
      </c>
    </row>
    <row r="2596" spans="1:4" x14ac:dyDescent="0.2">
      <c r="A2596" s="5">
        <v>2535</v>
      </c>
      <c r="B2596" s="138">
        <f>'Acct Summary 7-8'!F13</f>
        <v>973753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973753</v>
      </c>
      <c r="C2600" s="2" t="s">
        <v>594</v>
      </c>
      <c r="D2600" s="2" t="str">
        <f t="shared" si="39"/>
        <v>Error?</v>
      </c>
    </row>
    <row r="2601" spans="1:4" x14ac:dyDescent="0.2">
      <c r="A2601" s="5">
        <v>2540</v>
      </c>
      <c r="B2601" s="138">
        <f>'Acct Summary 7-8'!F20</f>
        <v>78357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652481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652481</v>
      </c>
      <c r="C2606" s="2" t="s">
        <v>594</v>
      </c>
      <c r="D2606" s="2" t="str">
        <f t="shared" si="39"/>
        <v>Error?</v>
      </c>
    </row>
    <row r="2607" spans="1:4" x14ac:dyDescent="0.2">
      <c r="A2607" s="5">
        <v>2546</v>
      </c>
      <c r="B2607" s="138">
        <f>'Acct Summary 7-8'!G12</f>
        <v>165066</v>
      </c>
      <c r="C2607" s="2" t="s">
        <v>594</v>
      </c>
      <c r="D2607" s="2" t="str">
        <f t="shared" si="39"/>
        <v>Error?</v>
      </c>
    </row>
    <row r="2608" spans="1:4" x14ac:dyDescent="0.2">
      <c r="A2608" s="5">
        <v>2547</v>
      </c>
      <c r="B2608" s="138">
        <f>'Acct Summary 7-8'!G13</f>
        <v>355738</v>
      </c>
      <c r="C2608" s="2" t="s">
        <v>594</v>
      </c>
      <c r="D2608" s="2" t="str">
        <f t="shared" si="39"/>
        <v>Error?</v>
      </c>
    </row>
    <row r="2609" spans="1:4" x14ac:dyDescent="0.2">
      <c r="A2609" s="5">
        <v>2548</v>
      </c>
      <c r="B2609" s="138">
        <f>'Acct Summary 7-8'!G14</f>
        <v>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520811</v>
      </c>
      <c r="C2612" s="2" t="s">
        <v>594</v>
      </c>
      <c r="D2612" s="2" t="str">
        <f t="shared" si="39"/>
        <v>Error?</v>
      </c>
    </row>
    <row r="2613" spans="1:4" x14ac:dyDescent="0.2">
      <c r="A2613" s="5">
        <v>2552</v>
      </c>
      <c r="B2613" s="138">
        <f>'Acct Summary 7-8'!G20</f>
        <v>131670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4080777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4080777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4101763</v>
      </c>
      <c r="C2634" s="2" t="s">
        <v>594</v>
      </c>
      <c r="D2634" s="2" t="str">
        <f t="shared" si="40"/>
        <v>Error?</v>
      </c>
    </row>
    <row r="2635" spans="1:4" x14ac:dyDescent="0.2">
      <c r="A2635" s="5">
        <v>2574</v>
      </c>
      <c r="B2635" s="138">
        <f>'Acct Summary 7-8'!E17</f>
        <v>4101763</v>
      </c>
      <c r="C2635" s="2" t="s">
        <v>594</v>
      </c>
      <c r="D2635" s="2" t="str">
        <f t="shared" si="40"/>
        <v>Error?</v>
      </c>
    </row>
    <row r="2636" spans="1:4" x14ac:dyDescent="0.2">
      <c r="A2636" s="5">
        <v>2575</v>
      </c>
      <c r="B2636" s="138">
        <f>'Acct Summary 7-8'!E20</f>
        <v>-20986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366</v>
      </c>
      <c r="C2658" s="2" t="s">
        <v>594</v>
      </c>
      <c r="D2658" s="2" t="str">
        <f t="shared" si="40"/>
        <v>Error?</v>
      </c>
    </row>
    <row r="2659" spans="1:4" x14ac:dyDescent="0.2">
      <c r="A2659" s="5">
        <v>2598</v>
      </c>
      <c r="B2659" s="138">
        <f>'Acct Summary 7-8'!H13</f>
        <v>3800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3800</v>
      </c>
      <c r="C2661" s="2" t="s">
        <v>594</v>
      </c>
      <c r="D2661" s="2" t="str">
        <f t="shared" si="40"/>
        <v>Error?</v>
      </c>
    </row>
    <row r="2662" spans="1:4" x14ac:dyDescent="0.2">
      <c r="A2662" s="5">
        <v>2601</v>
      </c>
      <c r="B2662" s="138">
        <f>'Acct Summary 7-8'!H20</f>
        <v>-3434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5227</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5227</v>
      </c>
      <c r="C2724" s="2" t="s">
        <v>594</v>
      </c>
      <c r="D2724" s="2" t="str">
        <f t="shared" si="41"/>
        <v>Error?</v>
      </c>
    </row>
    <row r="2725" spans="1:4" x14ac:dyDescent="0.2">
      <c r="A2725" s="5">
        <v>2664</v>
      </c>
      <c r="B2725" s="138">
        <f>'Expenditures 15-22'!D247</f>
        <v>561</v>
      </c>
      <c r="D2725" s="2" t="str">
        <f t="shared" si="41"/>
        <v>Error?</v>
      </c>
    </row>
    <row r="2726" spans="1:4" x14ac:dyDescent="0.2">
      <c r="A2726" s="5">
        <v>2665</v>
      </c>
      <c r="B2726" s="138">
        <f>'Expenditures 15-22'!K247</f>
        <v>561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1190</v>
      </c>
      <c r="C2789" s="2" t="s">
        <v>594</v>
      </c>
      <c r="D2789" s="2" t="str">
        <f t="shared" si="42"/>
        <v>Error?</v>
      </c>
    </row>
    <row r="2790" spans="1:4" x14ac:dyDescent="0.2">
      <c r="A2790" s="5">
        <v>2729</v>
      </c>
      <c r="B2790" s="138">
        <f>'Expenditures 15-22'!E102</f>
        <v>1190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9042605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2158974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2222043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268041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2222043</v>
      </c>
      <c r="D2912" s="2" t="str">
        <f t="shared" si="44"/>
        <v>Error?</v>
      </c>
    </row>
    <row r="2913" spans="1:4" x14ac:dyDescent="0.2">
      <c r="A2913" s="5">
        <v>2852</v>
      </c>
      <c r="B2913" s="138">
        <f>'Assets-Liab 5-6'!I41</f>
        <v>2222043</v>
      </c>
      <c r="C2913" s="2" t="s">
        <v>594</v>
      </c>
      <c r="D2913" s="2" t="str">
        <f t="shared" si="44"/>
        <v>Error?</v>
      </c>
    </row>
    <row r="2914" spans="1:4" x14ac:dyDescent="0.2">
      <c r="A2914" s="5">
        <v>2853</v>
      </c>
      <c r="B2914" s="138">
        <f>'Assets-Liab 5-6'!L33</f>
        <v>268041</v>
      </c>
      <c r="D2914" s="2" t="str">
        <f t="shared" si="44"/>
        <v>Error?</v>
      </c>
    </row>
    <row r="2915" spans="1:4" x14ac:dyDescent="0.2">
      <c r="A2915" s="10">
        <v>2854</v>
      </c>
      <c r="D2915" s="2" t="str">
        <f t="shared" si="44"/>
        <v>OK</v>
      </c>
    </row>
    <row r="2916" spans="1:4" x14ac:dyDescent="0.2">
      <c r="A2916" s="5">
        <v>2855</v>
      </c>
      <c r="B2916" s="138">
        <f>'Assets-Liab 5-6'!L34</f>
        <v>268041</v>
      </c>
      <c r="C2916" s="2" t="s">
        <v>594</v>
      </c>
      <c r="D2916" s="2" t="str">
        <f t="shared" si="44"/>
        <v>Error?</v>
      </c>
    </row>
    <row r="2917" spans="1:4" x14ac:dyDescent="0.2">
      <c r="A2917" s="5">
        <v>2856</v>
      </c>
      <c r="B2917" s="138">
        <f>'Assets-Liab 5-6'!L41</f>
        <v>268041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14100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14100</v>
      </c>
      <c r="C2973" s="2" t="s">
        <v>594</v>
      </c>
      <c r="D2973" s="2" t="str">
        <f t="shared" si="45"/>
        <v>Error?</v>
      </c>
    </row>
    <row r="2974" spans="1:4" x14ac:dyDescent="0.2">
      <c r="A2974" s="5">
        <v>2913</v>
      </c>
      <c r="B2974" s="138">
        <f>'Expenditures 15-22'!K79</f>
        <v>1190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56983</v>
      </c>
      <c r="D3055" s="2" t="str">
        <f t="shared" si="46"/>
        <v>Error?</v>
      </c>
    </row>
    <row r="3056" spans="1:4" x14ac:dyDescent="0.2">
      <c r="A3056" s="5">
        <v>2995</v>
      </c>
      <c r="B3056" s="138">
        <f>'Expenditures 15-22'!D10</f>
        <v>9320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77317</v>
      </c>
      <c r="D3058" s="2" t="str">
        <f t="shared" si="46"/>
        <v>Error?</v>
      </c>
    </row>
    <row r="3059" spans="1:4" x14ac:dyDescent="0.2">
      <c r="A3059" s="5">
        <v>2998</v>
      </c>
      <c r="B3059" s="138">
        <f>'Expenditures 15-22'!G10</f>
        <v>30807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174427</v>
      </c>
      <c r="C3062" s="2" t="s">
        <v>594</v>
      </c>
      <c r="D3062" s="2" t="str">
        <f t="shared" si="46"/>
        <v>Error?</v>
      </c>
    </row>
    <row r="3063" spans="1:4" x14ac:dyDescent="0.2">
      <c r="A3063" s="10">
        <v>3002</v>
      </c>
      <c r="D3063" s="2" t="str">
        <f t="shared" si="46"/>
        <v>OK</v>
      </c>
    </row>
    <row r="3064" spans="1:4" x14ac:dyDescent="0.2">
      <c r="A3064" s="5">
        <v>3003</v>
      </c>
      <c r="B3064" s="138">
        <f>'Expenditures 15-22'!D219</f>
        <v>520</v>
      </c>
      <c r="D3064" s="2" t="str">
        <f t="shared" si="46"/>
        <v>Error?</v>
      </c>
    </row>
    <row r="3065" spans="1:4" x14ac:dyDescent="0.2">
      <c r="A3065" s="5">
        <v>3004</v>
      </c>
      <c r="B3065" s="138">
        <f>'Expenditures 15-22'!K219</f>
        <v>520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15167</v>
      </c>
      <c r="C3225" s="2" t="s">
        <v>594</v>
      </c>
      <c r="D3225" s="2" t="str">
        <f t="shared" si="49"/>
        <v>Error?</v>
      </c>
    </row>
    <row r="3226" spans="1:4" x14ac:dyDescent="0.2">
      <c r="A3226" s="5">
        <v>3165</v>
      </c>
      <c r="B3226" s="138">
        <f>'Acct Summary 7-8'!I8</f>
        <v>15167</v>
      </c>
      <c r="C3226" s="2" t="s">
        <v>594</v>
      </c>
      <c r="D3226" s="2" t="str">
        <f t="shared" si="49"/>
        <v>Error?</v>
      </c>
    </row>
    <row r="3227" spans="1:4" x14ac:dyDescent="0.2">
      <c r="A3227" s="5">
        <v>3166</v>
      </c>
      <c r="B3227" s="138">
        <f>'Acct Summary 7-8'!I20</f>
        <v>15167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3999319</v>
      </c>
      <c r="D3230" s="2" t="str">
        <f t="shared" si="49"/>
        <v>Error?</v>
      </c>
    </row>
    <row r="3231" spans="1:4" x14ac:dyDescent="0.2">
      <c r="A3231" s="5">
        <v>3170</v>
      </c>
      <c r="B3231" s="138">
        <f>'Acct Summary 7-8'!C76</f>
        <v>3999319</v>
      </c>
      <c r="C3231" s="2" t="s">
        <v>594</v>
      </c>
      <c r="D3231" s="2" t="str">
        <f t="shared" si="49"/>
        <v>Error?</v>
      </c>
    </row>
    <row r="3232" spans="1:4" x14ac:dyDescent="0.2">
      <c r="A3232" s="5">
        <v>3171</v>
      </c>
      <c r="B3232" s="138">
        <f>'Acct Summary 7-8'!C77</f>
        <v>-3999319</v>
      </c>
      <c r="C3232" s="2" t="s">
        <v>594</v>
      </c>
      <c r="D3232" s="2" t="str">
        <f t="shared" si="49"/>
        <v>Error?</v>
      </c>
    </row>
    <row r="3233" spans="1:4" x14ac:dyDescent="0.2">
      <c r="A3233" s="5">
        <v>3172</v>
      </c>
      <c r="B3233" s="138">
        <f>'Acct Summary 7-8'!C78</f>
        <v>1485329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155653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78357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131670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-20986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-3434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15167</v>
      </c>
      <c r="C3320" s="2" t="s">
        <v>594</v>
      </c>
      <c r="D3320" s="2" t="str">
        <f t="shared" si="50"/>
        <v>Error?</v>
      </c>
    </row>
    <row r="3321" spans="1:4" x14ac:dyDescent="0.2">
      <c r="A3321" s="5">
        <v>3260</v>
      </c>
      <c r="B3321" s="138">
        <f>'Acct Summary 7-8'!I79</f>
        <v>2206876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2222043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1513597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387111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22028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100662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3218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1639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2028255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89805</v>
      </c>
      <c r="D3387" s="2" t="str">
        <f t="shared" si="51"/>
        <v>Error?</v>
      </c>
    </row>
    <row r="3388" spans="1:4" x14ac:dyDescent="0.2">
      <c r="A3388" s="5">
        <v>3327</v>
      </c>
      <c r="B3388" s="138">
        <f>'Expenditures 15-22'!D217</f>
        <v>53486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89805</v>
      </c>
      <c r="C3390" s="2" t="s">
        <v>594</v>
      </c>
      <c r="D3390" s="2" t="str">
        <f t="shared" si="51"/>
        <v>Error?</v>
      </c>
    </row>
    <row r="3391" spans="1:4" x14ac:dyDescent="0.2">
      <c r="A3391" s="5">
        <v>3330</v>
      </c>
      <c r="B3391" s="138">
        <f>'Expenditures 15-22'!K217</f>
        <v>53486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2409390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2149622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762263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86975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396148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257375</v>
      </c>
      <c r="D3425" s="2" t="str">
        <f t="shared" si="52"/>
        <v>Error?</v>
      </c>
    </row>
    <row r="3426" spans="1:4" x14ac:dyDescent="0.2">
      <c r="A3426" s="10">
        <v>3365</v>
      </c>
      <c r="D3426" s="2" t="str">
        <f t="shared" si="52"/>
        <v>OK</v>
      </c>
    </row>
    <row r="3427" spans="1:4" x14ac:dyDescent="0.2">
      <c r="A3427" s="5">
        <v>3366</v>
      </c>
      <c r="B3427" s="138">
        <f>'Assets-Liab 5-6'!I4</f>
        <v>63069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268041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391635</v>
      </c>
      <c r="C3446" s="2" t="s">
        <v>594</v>
      </c>
      <c r="D3446" s="2" t="str">
        <f t="shared" si="52"/>
        <v>Error?</v>
      </c>
    </row>
    <row r="3447" spans="1:4" x14ac:dyDescent="0.2">
      <c r="A3447" s="5">
        <v>3386</v>
      </c>
      <c r="B3447" s="138">
        <f>'Tax Sched 23'!D16</f>
        <v>390468</v>
      </c>
      <c r="C3447" s="2" t="s">
        <v>594</v>
      </c>
      <c r="D3447" s="2" t="str">
        <f t="shared" si="52"/>
        <v>Error?</v>
      </c>
    </row>
    <row r="3448" spans="1:4" x14ac:dyDescent="0.2">
      <c r="A3448" s="5">
        <v>3387</v>
      </c>
      <c r="B3448" s="138">
        <f>'Tax Sched 23'!C16</f>
        <v>1167</v>
      </c>
      <c r="D3448" s="2" t="str">
        <f t="shared" si="52"/>
        <v>Error?</v>
      </c>
    </row>
    <row r="3449" spans="1:4" x14ac:dyDescent="0.2">
      <c r="A3449" s="5">
        <v>3388</v>
      </c>
      <c r="B3449" s="138">
        <f>'Tax Sched 23'!F16</f>
        <v>403012</v>
      </c>
      <c r="C3449" s="2" t="s">
        <v>594</v>
      </c>
      <c r="D3449" s="2" t="str">
        <f t="shared" si="52"/>
        <v>Error?</v>
      </c>
    </row>
    <row r="3450" spans="1:4" x14ac:dyDescent="0.2">
      <c r="A3450" s="5">
        <v>3389</v>
      </c>
      <c r="B3450" s="138">
        <f>'Tax Sched 23'!E16</f>
        <v>404179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98079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88673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186752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186752</v>
      </c>
      <c r="D3567" s="2" t="str">
        <f t="shared" si="54"/>
        <v>Error?</v>
      </c>
    </row>
    <row r="3568" spans="1:4" x14ac:dyDescent="0.2">
      <c r="A3568" s="5">
        <v>3507</v>
      </c>
      <c r="B3568" s="138">
        <f>'Assets-Liab 5-6'!K41</f>
        <v>186752</v>
      </c>
      <c r="C3568" s="2" t="s">
        <v>594</v>
      </c>
      <c r="D3568" s="2" t="str">
        <f t="shared" si="54"/>
        <v>Error?</v>
      </c>
    </row>
    <row r="3569" spans="1:4" x14ac:dyDescent="0.2">
      <c r="A3569" s="5">
        <v>3508</v>
      </c>
      <c r="B3569" s="138">
        <f>'Acct Summary 7-8'!K4</f>
        <v>51634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51634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51634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51634</v>
      </c>
      <c r="C3588" s="2" t="s">
        <v>594</v>
      </c>
      <c r="D3588" s="2" t="str">
        <f t="shared" si="55"/>
        <v>Error?</v>
      </c>
    </row>
    <row r="3589" spans="1:4" x14ac:dyDescent="0.2">
      <c r="A3589" s="5">
        <v>3528</v>
      </c>
      <c r="B3589" s="138">
        <f>'Acct Summary 7-8'!K79</f>
        <v>135118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186752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51634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221573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6763443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27488452</v>
      </c>
      <c r="C4122" s="2" t="s">
        <v>594</v>
      </c>
      <c r="D4122" s="2" t="str">
        <f t="shared" si="63"/>
        <v>Error?</v>
      </c>
    </row>
    <row r="4123" spans="1:4" x14ac:dyDescent="0.2">
      <c r="A4123" s="5">
        <v>4062</v>
      </c>
      <c r="B4123" s="138">
        <f>'Acct Summary 7-8'!D10</f>
        <v>1918242</v>
      </c>
      <c r="C4123" s="2" t="s">
        <v>594</v>
      </c>
      <c r="D4123" s="2" t="str">
        <f t="shared" si="63"/>
        <v>Error?</v>
      </c>
    </row>
    <row r="4124" spans="1:4" x14ac:dyDescent="0.2">
      <c r="A4124" s="5">
        <v>4063</v>
      </c>
      <c r="B4124" s="138">
        <f>'Acct Summary 7-8'!E10</f>
        <v>4080777</v>
      </c>
      <c r="C4124" s="2" t="s">
        <v>594</v>
      </c>
      <c r="D4124" s="2" t="str">
        <f t="shared" si="63"/>
        <v>Error?</v>
      </c>
    </row>
    <row r="4125" spans="1:4" x14ac:dyDescent="0.2">
      <c r="A4125" s="5">
        <v>4064</v>
      </c>
      <c r="B4125" s="138">
        <f>'Acct Summary 7-8'!F10</f>
        <v>1052110</v>
      </c>
      <c r="C4125" s="2" t="s">
        <v>594</v>
      </c>
      <c r="D4125" s="2" t="str">
        <f t="shared" si="63"/>
        <v>Error?</v>
      </c>
    </row>
    <row r="4126" spans="1:4" x14ac:dyDescent="0.2">
      <c r="A4126" s="5">
        <v>4065</v>
      </c>
      <c r="B4126" s="138">
        <f>'Acct Summary 7-8'!G10</f>
        <v>652481</v>
      </c>
      <c r="C4126" s="2" t="s">
        <v>594</v>
      </c>
      <c r="D4126" s="2" t="str">
        <f t="shared" si="63"/>
        <v>Error?</v>
      </c>
    </row>
    <row r="4127" spans="1:4" x14ac:dyDescent="0.2">
      <c r="A4127" s="5">
        <v>4066</v>
      </c>
      <c r="B4127" s="138">
        <f>'Acct Summary 7-8'!H10</f>
        <v>366</v>
      </c>
      <c r="C4127" s="2" t="s">
        <v>594</v>
      </c>
      <c r="D4127" s="2" t="str">
        <f t="shared" si="63"/>
        <v>Error?</v>
      </c>
    </row>
    <row r="4128" spans="1:4" x14ac:dyDescent="0.2">
      <c r="A4128" s="5">
        <v>4067</v>
      </c>
      <c r="B4128" s="138">
        <f>'Acct Summary 7-8'!I10</f>
        <v>15167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51634</v>
      </c>
      <c r="C4130" s="2" t="s">
        <v>594</v>
      </c>
      <c r="D4130" s="2" t="str">
        <f t="shared" si="63"/>
        <v>Error?</v>
      </c>
    </row>
    <row r="4131" spans="1:4" x14ac:dyDescent="0.2">
      <c r="A4131" s="5">
        <v>4070</v>
      </c>
      <c r="B4131" s="138">
        <f>'Acct Summary 7-8'!C18</f>
        <v>6763443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22003804</v>
      </c>
      <c r="C4136" s="2" t="s">
        <v>594</v>
      </c>
      <c r="D4136" s="2" t="str">
        <f t="shared" si="63"/>
        <v>Error?</v>
      </c>
    </row>
    <row r="4137" spans="1:4" x14ac:dyDescent="0.2">
      <c r="A4137" s="5">
        <v>4076</v>
      </c>
      <c r="B4137" s="138">
        <f>'Acct Summary 7-8'!D19</f>
        <v>1762589</v>
      </c>
      <c r="C4137" s="2" t="s">
        <v>594</v>
      </c>
      <c r="D4137" s="2" t="str">
        <f t="shared" si="63"/>
        <v>Error?</v>
      </c>
    </row>
    <row r="4138" spans="1:4" x14ac:dyDescent="0.2">
      <c r="A4138" s="5">
        <v>4077</v>
      </c>
      <c r="B4138" s="138">
        <f>'Acct Summary 7-8'!E19</f>
        <v>4101763</v>
      </c>
      <c r="C4138" s="2" t="s">
        <v>594</v>
      </c>
      <c r="D4138" s="2" t="str">
        <f t="shared" si="63"/>
        <v>Error?</v>
      </c>
    </row>
    <row r="4139" spans="1:4" x14ac:dyDescent="0.2">
      <c r="A4139" s="5">
        <v>4078</v>
      </c>
      <c r="B4139" s="138">
        <f>'Acct Summary 7-8'!F19</f>
        <v>973753</v>
      </c>
      <c r="C4139" s="2" t="s">
        <v>594</v>
      </c>
      <c r="D4139" s="2" t="str">
        <f t="shared" si="63"/>
        <v>Error?</v>
      </c>
    </row>
    <row r="4140" spans="1:4" x14ac:dyDescent="0.2">
      <c r="A4140" s="5">
        <v>4079</v>
      </c>
      <c r="B4140" s="138">
        <f>'Acct Summary 7-8'!G19</f>
        <v>520811</v>
      </c>
      <c r="C4140" s="2" t="s">
        <v>594</v>
      </c>
      <c r="D4140" s="2" t="str">
        <f t="shared" si="63"/>
        <v>Error?</v>
      </c>
    </row>
    <row r="4141" spans="1:4" x14ac:dyDescent="0.2">
      <c r="A4141" s="5">
        <v>4080</v>
      </c>
      <c r="B4141" s="138">
        <f>'Acct Summary 7-8'!H19</f>
        <v>3800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30085933</v>
      </c>
      <c r="C4171" s="2" t="s">
        <v>594</v>
      </c>
      <c r="D4171" s="2" t="str">
        <f t="shared" si="64"/>
        <v>Error?</v>
      </c>
    </row>
    <row r="4172" spans="1:4" x14ac:dyDescent="0.2">
      <c r="A4172" s="5">
        <v>4111</v>
      </c>
      <c r="B4172" s="138">
        <f>'Short-Term Long-Term Debt 24'!J49</f>
        <v>29950813</v>
      </c>
      <c r="C4172" s="2" t="s">
        <v>594</v>
      </c>
      <c r="D4172" s="2" t="str">
        <f t="shared" si="64"/>
        <v>Error?</v>
      </c>
    </row>
    <row r="4173" spans="1:4" x14ac:dyDescent="0.2">
      <c r="A4173" s="5">
        <v>4112</v>
      </c>
      <c r="B4173" s="138">
        <f>'Short-Term Long-Term Debt 24'!H49</f>
        <v>2498790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3485.9</v>
      </c>
      <c r="C4265" s="2" t="s">
        <v>594</v>
      </c>
      <c r="D4265" s="2" t="str">
        <f t="shared" si="65"/>
        <v>Error?</v>
      </c>
      <c r="E4265" s="128"/>
    </row>
    <row r="4266" spans="1:5" x14ac:dyDescent="0.2">
      <c r="A4266" s="12">
        <v>4205</v>
      </c>
      <c r="B4266" s="138">
        <f>('FP Info 3'!F10)*100000</f>
        <v>648.79999999999995</v>
      </c>
      <c r="C4266" s="2" t="s">
        <v>594</v>
      </c>
      <c r="D4266" s="2" t="str">
        <f t="shared" si="65"/>
        <v>Error?</v>
      </c>
      <c r="E4266" s="128"/>
    </row>
    <row r="4267" spans="1:5" x14ac:dyDescent="0.2">
      <c r="A4267" s="12">
        <v>4206</v>
      </c>
      <c r="B4267" s="138">
        <f>('FP Info 3'!H10)*100000</f>
        <v>216</v>
      </c>
      <c r="C4267" s="2" t="s">
        <v>594</v>
      </c>
      <c r="D4267" s="2" t="str">
        <f t="shared" si="65"/>
        <v>Error?</v>
      </c>
      <c r="E4267" s="128"/>
    </row>
    <row r="4268" spans="1:5" x14ac:dyDescent="0.2">
      <c r="A4268" s="12">
        <v>4207</v>
      </c>
      <c r="B4268" s="138">
        <f>('FP Info 3'!J10)*100000</f>
        <v>4351</v>
      </c>
      <c r="C4268" s="2" t="s">
        <v>594</v>
      </c>
      <c r="D4268" s="2" t="str">
        <f t="shared" si="65"/>
        <v>Error?</v>
      </c>
    </row>
    <row r="4269" spans="1:5" x14ac:dyDescent="0.2">
      <c r="A4269" s="12">
        <v>4208</v>
      </c>
      <c r="B4269" s="138">
        <f>'FP Info 3'!J16</f>
        <v>18676289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57148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29574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6950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34273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1.9000000000000001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2704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30696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271808368</v>
      </c>
      <c r="D4995" s="2" t="str">
        <f t="shared" si="77"/>
        <v>Error?</v>
      </c>
    </row>
    <row r="4996" spans="1:4" x14ac:dyDescent="0.2">
      <c r="A4996" s="12">
        <v>4935</v>
      </c>
      <c r="B4996" s="138">
        <f>'FP Info 3'!H31</f>
        <v>37509554.784000002</v>
      </c>
      <c r="D4996" s="2" t="str">
        <f t="shared" si="77"/>
        <v>Error?</v>
      </c>
    </row>
    <row r="4997" spans="1:4" x14ac:dyDescent="0.2">
      <c r="A4997" s="12">
        <v>4936</v>
      </c>
      <c r="B4997" s="138">
        <f>'FP Info 3'!H37</f>
        <v>30085933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8605731</v>
      </c>
      <c r="D5061" s="2" t="str">
        <f t="shared" si="78"/>
        <v>Error?</v>
      </c>
    </row>
    <row r="5062" spans="1:4" x14ac:dyDescent="0.2">
      <c r="A5062" s="10">
        <v>5001</v>
      </c>
      <c r="D5062" s="2" t="str">
        <f t="shared" si="78"/>
        <v>OK</v>
      </c>
    </row>
    <row r="5063" spans="1:4" x14ac:dyDescent="0.2">
      <c r="A5063" s="5">
        <v>5002</v>
      </c>
      <c r="B5063" s="138">
        <f>'Revenues 9-14'!C7</f>
        <v>536626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9142357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101569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101569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6080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272930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279010</v>
      </c>
      <c r="C5087" s="2" t="s">
        <v>594</v>
      </c>
      <c r="D5087" s="2" t="str">
        <f t="shared" si="78"/>
        <v>Error?</v>
      </c>
    </row>
    <row r="5088" spans="1:4" x14ac:dyDescent="0.2">
      <c r="A5088" s="5">
        <v>5027</v>
      </c>
      <c r="B5088" s="138">
        <f>'Revenues 9-14'!C65</f>
        <v>33613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33613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296361</v>
      </c>
      <c r="C5096" s="2" t="s">
        <v>594</v>
      </c>
      <c r="D5096" s="2" t="str">
        <f t="shared" si="78"/>
        <v>Error?</v>
      </c>
    </row>
    <row r="5097" spans="1:4" x14ac:dyDescent="0.2">
      <c r="A5097" s="5">
        <v>5036</v>
      </c>
      <c r="B5097" s="138">
        <f>'Revenues 9-14'!C77</f>
        <v>17050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61031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2204</v>
      </c>
      <c r="D5101" s="2" t="str">
        <f t="shared" si="78"/>
        <v>Error?</v>
      </c>
    </row>
    <row r="5102" spans="1:4" x14ac:dyDescent="0.2">
      <c r="A5102" s="5">
        <v>5041</v>
      </c>
      <c r="B5102" s="138">
        <f>'Revenues 9-14'!C82</f>
        <v>80285</v>
      </c>
      <c r="C5102" s="2" t="s">
        <v>594</v>
      </c>
      <c r="D5102" s="2" t="str">
        <f t="shared" si="78"/>
        <v>Error?</v>
      </c>
    </row>
    <row r="5103" spans="1:4" x14ac:dyDescent="0.2">
      <c r="A5103" s="5">
        <v>5042</v>
      </c>
      <c r="B5103" s="138">
        <f>'Revenues 9-14'!C84</f>
        <v>173468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173468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22369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17769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3251</v>
      </c>
      <c r="D5119" s="2" t="str">
        <f t="shared" ref="D5119:D5182" si="79">IF(ISBLANK(B5119),"OK",IF(A5119-B5119=0,"OK","Error?"))</f>
        <v>Error?</v>
      </c>
    </row>
    <row r="5120" spans="1:4" x14ac:dyDescent="0.2">
      <c r="A5120" s="5">
        <v>5059</v>
      </c>
      <c r="B5120" s="138">
        <f>'Revenues 9-14'!C108</f>
        <v>87584</v>
      </c>
      <c r="C5120" s="2" t="s">
        <v>594</v>
      </c>
      <c r="D5120" s="2" t="str">
        <f t="shared" si="79"/>
        <v>Error?</v>
      </c>
    </row>
    <row r="5121" spans="1:4" x14ac:dyDescent="0.2">
      <c r="A5121" s="5">
        <v>5060</v>
      </c>
      <c r="B5121" s="138">
        <f>'Revenues 9-14'!C109</f>
        <v>10194247</v>
      </c>
      <c r="C5121" s="2" t="s">
        <v>594</v>
      </c>
      <c r="D5121" s="2" t="str">
        <f t="shared" si="79"/>
        <v>Error?</v>
      </c>
    </row>
    <row r="5122" spans="1:4" x14ac:dyDescent="0.2">
      <c r="A5122" s="5">
        <v>5061</v>
      </c>
      <c r="B5122" s="138">
        <f>'Revenues 9-14'!C111</f>
        <v>2409390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2409390</v>
      </c>
      <c r="C5125" s="2" t="s">
        <v>594</v>
      </c>
      <c r="D5125" s="2" t="str">
        <f t="shared" si="79"/>
        <v>Error?</v>
      </c>
    </row>
    <row r="5126" spans="1:4" x14ac:dyDescent="0.2">
      <c r="A5126" s="5">
        <v>5065</v>
      </c>
      <c r="B5126" s="138">
        <f>'Revenues 9-14'!C117</f>
        <v>4962279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4962279</v>
      </c>
      <c r="C5132" s="2" t="s">
        <v>594</v>
      </c>
      <c r="D5132" s="2" t="str">
        <f t="shared" si="79"/>
        <v>Error?</v>
      </c>
    </row>
    <row r="5133" spans="1:4" x14ac:dyDescent="0.2">
      <c r="A5133" s="5">
        <v>5072</v>
      </c>
      <c r="B5133" s="138">
        <f>'Revenues 9-14'!C124</f>
        <v>563914</v>
      </c>
      <c r="D5133" s="2" t="str">
        <f t="shared" si="79"/>
        <v>Error?</v>
      </c>
    </row>
    <row r="5134" spans="1:4" x14ac:dyDescent="0.2">
      <c r="A5134" s="5">
        <v>5073</v>
      </c>
      <c r="B5134" s="138">
        <f>'Revenues 9-14'!C125</f>
        <v>127514</v>
      </c>
      <c r="D5134" s="2" t="str">
        <f t="shared" si="79"/>
        <v>Error?</v>
      </c>
    </row>
    <row r="5135" spans="1:4" x14ac:dyDescent="0.2">
      <c r="A5135" s="5">
        <v>5074</v>
      </c>
      <c r="B5135" s="138">
        <f>'Revenues 9-14'!C126</f>
        <v>209533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967075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3692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1871728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3419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3183</v>
      </c>
      <c r="D5167" s="2" t="str">
        <f t="shared" si="79"/>
        <v>Error?</v>
      </c>
    </row>
    <row r="5168" spans="1:4" x14ac:dyDescent="0.2">
      <c r="A5168" s="5">
        <v>5107</v>
      </c>
      <c r="B5168" s="138">
        <f>'Revenues 9-14'!C147</f>
        <v>28992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301582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2211608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7173887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221573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221573</v>
      </c>
      <c r="C5246" s="2" t="s">
        <v>594</v>
      </c>
      <c r="D5246" s="2" t="str">
        <f t="shared" si="80"/>
        <v>Error?</v>
      </c>
    </row>
    <row r="5247" spans="1:4" x14ac:dyDescent="0.2">
      <c r="A5247" s="5">
        <v>5186</v>
      </c>
      <c r="B5247" s="138">
        <f>'Revenues 9-14'!C203</f>
        <v>151954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6950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151954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8134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404984</v>
      </c>
      <c r="D5278" s="2" t="str">
        <f t="shared" si="81"/>
        <v>Error?</v>
      </c>
    </row>
    <row r="5279" spans="1:4" x14ac:dyDescent="0.2">
      <c r="A5279" s="5">
        <v>5218</v>
      </c>
      <c r="B5279" s="138">
        <f>'Revenues 9-14'!C221</f>
        <v>2199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415317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947485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947485</v>
      </c>
      <c r="C5326" s="2" t="s">
        <v>594</v>
      </c>
      <c r="D5326" s="2" t="str">
        <f t="shared" si="82"/>
        <v>Error?</v>
      </c>
    </row>
    <row r="5327" spans="1:4" x14ac:dyDescent="0.2">
      <c r="A5327" s="5">
        <v>5266</v>
      </c>
      <c r="B5327" s="138">
        <f>'Revenues 9-14'!C275</f>
        <v>20725009</v>
      </c>
      <c r="C5327" s="2" t="s">
        <v>594</v>
      </c>
      <c r="D5327" s="2" t="str">
        <f t="shared" si="82"/>
        <v>Error?</v>
      </c>
    </row>
    <row r="5328" spans="1:4" x14ac:dyDescent="0.2">
      <c r="A5328" s="5">
        <v>5267</v>
      </c>
      <c r="B5328" s="138">
        <f>'Revenues 9-14'!D5</f>
        <v>1658042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1658042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32192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32192</v>
      </c>
      <c r="C5339" s="2" t="s">
        <v>594</v>
      </c>
      <c r="D5339" s="2" t="str">
        <f t="shared" si="82"/>
        <v>Error?</v>
      </c>
    </row>
    <row r="5340" spans="1:4" x14ac:dyDescent="0.2">
      <c r="A5340" s="5">
        <v>5279</v>
      </c>
      <c r="B5340" s="138">
        <f>'Revenues 9-14'!D65</f>
        <v>18007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18007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37714</v>
      </c>
      <c r="D5349" s="2" t="str">
        <f t="shared" si="82"/>
        <v>Error?</v>
      </c>
    </row>
    <row r="5350" spans="1:4" x14ac:dyDescent="0.2">
      <c r="A5350" s="5">
        <v>5289</v>
      </c>
      <c r="B5350" s="138">
        <f>'Revenues 9-14'!D96</f>
        <v>30000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604</v>
      </c>
      <c r="D5354" s="2" t="str">
        <f t="shared" si="82"/>
        <v>Error?</v>
      </c>
    </row>
    <row r="5355" spans="1:4" x14ac:dyDescent="0.2">
      <c r="A5355" s="5">
        <v>5294</v>
      </c>
      <c r="B5355" s="138">
        <f>'Revenues 9-14'!D108</f>
        <v>210001</v>
      </c>
      <c r="C5355" s="2" t="s">
        <v>594</v>
      </c>
      <c r="D5355" s="2" t="str">
        <f t="shared" si="82"/>
        <v>Error?</v>
      </c>
    </row>
    <row r="5356" spans="1:4" x14ac:dyDescent="0.2">
      <c r="A5356" s="5">
        <v>5295</v>
      </c>
      <c r="B5356" s="138">
        <f>'Revenues 9-14'!D109</f>
        <v>1918242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1918242</v>
      </c>
      <c r="C5508" s="2" t="s">
        <v>594</v>
      </c>
      <c r="D5508" s="2" t="str">
        <f t="shared" si="85"/>
        <v>Error?</v>
      </c>
    </row>
    <row r="5509" spans="1:4" x14ac:dyDescent="0.2">
      <c r="A5509" s="5">
        <v>5448</v>
      </c>
      <c r="B5509" s="138">
        <f>'Revenues 9-14'!E5</f>
        <v>4071260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4071260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9517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9517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4080777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4080777</v>
      </c>
      <c r="C5552" s="2" t="s">
        <v>594</v>
      </c>
      <c r="D5552" s="2" t="str">
        <f t="shared" si="85"/>
        <v>Error?</v>
      </c>
    </row>
    <row r="5553" spans="1:4" x14ac:dyDescent="0.2">
      <c r="A5553" s="5">
        <v>5492</v>
      </c>
      <c r="B5553" s="138">
        <f>'Revenues 9-14'!F5</f>
        <v>562857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562857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10253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10253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573110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228319</v>
      </c>
      <c r="D5615" s="2" t="str">
        <f t="shared" si="86"/>
        <v>Error?</v>
      </c>
    </row>
    <row r="5616" spans="1:4" x14ac:dyDescent="0.2">
      <c r="A5616" s="10">
        <v>5555</v>
      </c>
      <c r="D5616" s="2" t="str">
        <f t="shared" si="86"/>
        <v>OK</v>
      </c>
    </row>
    <row r="5617" spans="1:4" x14ac:dyDescent="0.2">
      <c r="A5617" s="5">
        <v>5556</v>
      </c>
      <c r="B5617" s="138">
        <f>'Revenues 9-14'!F152</f>
        <v>250681</v>
      </c>
      <c r="D5617" s="2" t="str">
        <f t="shared" si="86"/>
        <v>Error?</v>
      </c>
    </row>
    <row r="5618" spans="1:4" x14ac:dyDescent="0.2">
      <c r="A5618" s="5">
        <v>5557</v>
      </c>
      <c r="B5618" s="138">
        <f>'Revenues 9-14'!F154</f>
        <v>479000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479000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479000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1052110</v>
      </c>
      <c r="C5720" s="2" t="s">
        <v>594</v>
      </c>
      <c r="D5720" s="2" t="str">
        <f t="shared" si="88"/>
        <v>Error?</v>
      </c>
    </row>
    <row r="5721" spans="1:4" x14ac:dyDescent="0.2">
      <c r="A5721" s="5">
        <v>5660</v>
      </c>
      <c r="B5721" s="138">
        <f>'Revenues 9-14'!G5</f>
        <v>239858</v>
      </c>
      <c r="D5721" s="2" t="str">
        <f t="shared" si="88"/>
        <v>Error?</v>
      </c>
    </row>
    <row r="5722" spans="1:4" x14ac:dyDescent="0.2">
      <c r="A5722" s="5">
        <v>5661</v>
      </c>
      <c r="B5722" s="138">
        <f>'Revenues 9-14'!G7</f>
        <v>0</v>
      </c>
      <c r="D5722" s="2" t="str">
        <f t="shared" si="88"/>
        <v>Error?</v>
      </c>
    </row>
    <row r="5723" spans="1:4" x14ac:dyDescent="0.2">
      <c r="A5723" s="5">
        <v>5662</v>
      </c>
      <c r="B5723" s="138">
        <f>'Revenues 9-14'!G8</f>
        <v>391635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631493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17420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17420</v>
      </c>
      <c r="C5730" s="2" t="s">
        <v>594</v>
      </c>
      <c r="D5730" s="2" t="str">
        <f t="shared" si="88"/>
        <v>Error?</v>
      </c>
    </row>
    <row r="5731" spans="1:4" x14ac:dyDescent="0.2">
      <c r="A5731" s="5">
        <v>5670</v>
      </c>
      <c r="B5731" s="138">
        <f>'Revenues 9-14'!G65</f>
        <v>3568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652481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366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366</v>
      </c>
      <c r="C5915" s="2" t="s">
        <v>594</v>
      </c>
      <c r="D5915" s="2" t="str">
        <f t="shared" si="91"/>
        <v>Error?</v>
      </c>
    </row>
    <row r="5916" spans="1:4" x14ac:dyDescent="0.2">
      <c r="A5916" s="5">
        <v>5855</v>
      </c>
      <c r="B5916" s="138">
        <f>'Revenues 9-14'!I5</f>
        <v>5196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5196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9971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9971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15167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49350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49350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2284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2284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51634</v>
      </c>
      <c r="C6023" s="2" t="s">
        <v>594</v>
      </c>
      <c r="D6023" s="2" t="str">
        <f t="shared" si="93"/>
        <v>Error?</v>
      </c>
    </row>
    <row r="6024" spans="1:5" x14ac:dyDescent="0.2">
      <c r="A6024" s="5">
        <v>5963</v>
      </c>
      <c r="B6024" s="138">
        <f>'Revenues 9-14'!G109</f>
        <v>652481</v>
      </c>
      <c r="C6024" s="2" t="s">
        <v>594</v>
      </c>
      <c r="D6024" s="2" t="str">
        <f t="shared" si="93"/>
        <v>Error?</v>
      </c>
    </row>
    <row r="6025" spans="1:5" x14ac:dyDescent="0.2">
      <c r="A6025" s="5">
        <v>5964</v>
      </c>
      <c r="B6025" s="138">
        <f>'Revenues 9-14'!H109</f>
        <v>366</v>
      </c>
      <c r="C6025" s="2" t="s">
        <v>594</v>
      </c>
      <c r="D6025" s="2" t="str">
        <f t="shared" si="93"/>
        <v>Error?</v>
      </c>
    </row>
    <row r="6026" spans="1:5" x14ac:dyDescent="0.2">
      <c r="A6026" s="5">
        <v>5965</v>
      </c>
      <c r="B6026" s="138">
        <f>'Revenues 9-14'!I109</f>
        <v>15167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51634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296361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50214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1810.65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465725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38</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465687</v>
      </c>
      <c r="D6215" s="2" t="str">
        <f t="shared" si="96"/>
        <v>Error?</v>
      </c>
      <c r="E6215" s="2" t="s">
        <v>199</v>
      </c>
    </row>
    <row r="6216" spans="1:5" x14ac:dyDescent="0.2">
      <c r="A6216">
        <v>6155</v>
      </c>
      <c r="B6216" s="138">
        <f>'Assets-Liab 5-6'!J41</f>
        <v>465725</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465725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297836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297836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297836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363660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363660</v>
      </c>
      <c r="D6229" s="2" t="str">
        <f t="shared" si="96"/>
        <v>Error?</v>
      </c>
      <c r="E6229" s="2" t="s">
        <v>199</v>
      </c>
    </row>
    <row r="6230" spans="1:5" x14ac:dyDescent="0.2">
      <c r="A6230">
        <v>6169</v>
      </c>
      <c r="B6230" s="138">
        <f>'Acct Summary 7-8'!J20</f>
        <v>-65824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-65824</v>
      </c>
      <c r="D6263" s="2" t="str">
        <f t="shared" si="96"/>
        <v>Error?</v>
      </c>
      <c r="E6263" s="2" t="s">
        <v>199</v>
      </c>
    </row>
    <row r="6264" spans="1:5" x14ac:dyDescent="0.2">
      <c r="A6264">
        <v>6203</v>
      </c>
      <c r="B6264" s="138">
        <f>'Acct Summary 7-8'!J79</f>
        <v>531511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465687</v>
      </c>
      <c r="D6266" s="2" t="str">
        <f t="shared" si="96"/>
        <v>Error?</v>
      </c>
      <c r="E6266" s="2" t="s">
        <v>199</v>
      </c>
    </row>
    <row r="6267" spans="1:5" x14ac:dyDescent="0.2">
      <c r="A6267">
        <v>6206</v>
      </c>
      <c r="B6267" s="138">
        <f>'Acct Summary 7-8'!C82</f>
        <v>1485329</v>
      </c>
      <c r="D6267" s="2" t="str">
        <f t="shared" si="96"/>
        <v>Error?</v>
      </c>
      <c r="E6267" s="2" t="s">
        <v>199</v>
      </c>
    </row>
    <row r="6268" spans="1:5" x14ac:dyDescent="0.2">
      <c r="A6268">
        <v>6207</v>
      </c>
      <c r="B6268" s="138">
        <f>'Acct Summary 7-8'!D82</f>
        <v>155653</v>
      </c>
      <c r="D6268" s="2" t="str">
        <f t="shared" si="96"/>
        <v>Error?</v>
      </c>
      <c r="E6268" s="2" t="s">
        <v>199</v>
      </c>
    </row>
    <row r="6269" spans="1:5" x14ac:dyDescent="0.2">
      <c r="A6269">
        <v>6208</v>
      </c>
      <c r="B6269" s="138">
        <f>'Acct Summary 7-8'!E82</f>
        <v>-20986</v>
      </c>
      <c r="D6269" s="2" t="str">
        <f t="shared" si="96"/>
        <v>Error?</v>
      </c>
      <c r="E6269" s="2" t="s">
        <v>199</v>
      </c>
    </row>
    <row r="6270" spans="1:5" x14ac:dyDescent="0.2">
      <c r="A6270">
        <v>6209</v>
      </c>
      <c r="B6270" s="138">
        <f>'Acct Summary 7-8'!F82</f>
        <v>78357</v>
      </c>
      <c r="D6270" s="2" t="str">
        <f t="shared" si="96"/>
        <v>Error?</v>
      </c>
      <c r="E6270" s="2" t="s">
        <v>199</v>
      </c>
    </row>
    <row r="6271" spans="1:5" x14ac:dyDescent="0.2">
      <c r="A6271">
        <v>6210</v>
      </c>
      <c r="B6271" s="138">
        <f>'Acct Summary 7-8'!G82</f>
        <v>131670</v>
      </c>
      <c r="D6271" s="2" t="str">
        <f t="shared" ref="D6271:D6334" si="97">IF(ISBLANK(B6271),"OK",IF(A6271-B6271=0,"OK","Error?"))</f>
        <v>Error?</v>
      </c>
      <c r="E6271" s="2" t="s">
        <v>199</v>
      </c>
    </row>
    <row r="6272" spans="1:5" x14ac:dyDescent="0.2">
      <c r="A6272">
        <v>6211</v>
      </c>
      <c r="B6272" s="138">
        <f>'Acct Summary 7-8'!H82</f>
        <v>-3434</v>
      </c>
      <c r="D6272" s="2" t="str">
        <f t="shared" si="97"/>
        <v>Error?</v>
      </c>
      <c r="E6272" s="2" t="s">
        <v>199</v>
      </c>
    </row>
    <row r="6273" spans="1:5" x14ac:dyDescent="0.2">
      <c r="A6273">
        <v>6212</v>
      </c>
      <c r="B6273" s="138">
        <f>'Acct Summary 7-8'!I82</f>
        <v>15167</v>
      </c>
      <c r="D6273" s="2" t="str">
        <f t="shared" si="97"/>
        <v>Error?</v>
      </c>
      <c r="E6273" s="2" t="s">
        <v>199</v>
      </c>
    </row>
    <row r="6274" spans="1:5" x14ac:dyDescent="0.2">
      <c r="A6274">
        <v>6213</v>
      </c>
      <c r="B6274" s="138">
        <f>'Acct Summary 7-8'!J82</f>
        <v>-65824</v>
      </c>
      <c r="D6274" s="2" t="str">
        <f t="shared" si="97"/>
        <v>Error?</v>
      </c>
      <c r="E6274" s="2" t="s">
        <v>199</v>
      </c>
    </row>
    <row r="6275" spans="1:5" x14ac:dyDescent="0.2">
      <c r="A6275">
        <v>6214</v>
      </c>
      <c r="B6275" s="138">
        <f>'Acct Summary 7-8'!K82</f>
        <v>51634</v>
      </c>
      <c r="D6275" s="2" t="str">
        <f t="shared" si="97"/>
        <v>Error?</v>
      </c>
      <c r="E6275" s="2" t="s">
        <v>199</v>
      </c>
    </row>
    <row r="6276" spans="1:5" x14ac:dyDescent="0.2">
      <c r="A6276">
        <v>6215</v>
      </c>
      <c r="B6276" s="138">
        <f>'Acct Summary 7-8'!C83</f>
        <v>0.12143566149012947</v>
      </c>
      <c r="D6276" s="2" t="str">
        <f t="shared" si="97"/>
        <v>Error?</v>
      </c>
      <c r="E6276" s="2" t="s">
        <v>199</v>
      </c>
    </row>
    <row r="6277" spans="1:5" x14ac:dyDescent="0.2">
      <c r="A6277">
        <v>6216</v>
      </c>
      <c r="B6277" s="138">
        <f>'Acct Summary 7-8'!D83</f>
        <v>4.1844139030084188E-2</v>
      </c>
      <c r="D6277" s="2" t="str">
        <f t="shared" si="97"/>
        <v>Error?</v>
      </c>
      <c r="E6277" s="2" t="s">
        <v>199</v>
      </c>
    </row>
    <row r="6278" spans="1:5" x14ac:dyDescent="0.2">
      <c r="A6278">
        <v>6217</v>
      </c>
      <c r="B6278" s="138">
        <f>'Acct Summary 7-8'!E83</f>
        <v>-0.15531379514505625</v>
      </c>
      <c r="D6278" s="2" t="str">
        <f t="shared" si="97"/>
        <v>Error?</v>
      </c>
      <c r="E6278" s="2" t="s">
        <v>199</v>
      </c>
    </row>
    <row r="6279" spans="1:5" x14ac:dyDescent="0.2">
      <c r="A6279">
        <v>6218</v>
      </c>
      <c r="B6279" s="138">
        <f>'Acct Summary 7-8'!F83</f>
        <v>0.15577591742526506</v>
      </c>
      <c r="D6279" s="2" t="str">
        <f t="shared" si="97"/>
        <v>Error?</v>
      </c>
      <c r="E6279" s="2" t="s">
        <v>199</v>
      </c>
    </row>
    <row r="6280" spans="1:5" x14ac:dyDescent="0.2">
      <c r="A6280">
        <v>6219</v>
      </c>
      <c r="B6280" s="138">
        <f>'Acct Summary 7-8'!G83</f>
        <v>0.18512165699840566</v>
      </c>
      <c r="D6280" s="2" t="str">
        <f t="shared" si="97"/>
        <v>Error?</v>
      </c>
      <c r="E6280" s="2" t="s">
        <v>199</v>
      </c>
    </row>
    <row r="6281" spans="1:5" x14ac:dyDescent="0.2">
      <c r="A6281">
        <v>6220</v>
      </c>
      <c r="B6281" s="138">
        <f>'Acct Summary 7-8'!H83</f>
        <v>-1.334239922292375E-2</v>
      </c>
      <c r="D6281" s="2" t="str">
        <f t="shared" si="97"/>
        <v>Error?</v>
      </c>
      <c r="E6281" s="2" t="s">
        <v>199</v>
      </c>
    </row>
    <row r="6282" spans="1:5" x14ac:dyDescent="0.2">
      <c r="A6282">
        <v>6221</v>
      </c>
      <c r="B6282" s="138">
        <f>'Acct Summary 7-8'!I83</f>
        <v>6.8257004927447396E-3</v>
      </c>
      <c r="D6282" s="2" t="str">
        <f t="shared" si="97"/>
        <v>Error?</v>
      </c>
      <c r="E6282" s="2" t="s">
        <v>199</v>
      </c>
    </row>
    <row r="6283" spans="1:5" x14ac:dyDescent="0.2">
      <c r="A6283">
        <v>6222</v>
      </c>
      <c r="B6283" s="138">
        <f>'Acct Summary 7-8'!J83</f>
        <v>-0.14134815874181586</v>
      </c>
      <c r="D6283" s="2" t="str">
        <f t="shared" si="97"/>
        <v>Error?</v>
      </c>
      <c r="E6283" s="2" t="s">
        <v>199</v>
      </c>
    </row>
    <row r="6284" spans="1:5" x14ac:dyDescent="0.2">
      <c r="A6284">
        <v>6223</v>
      </c>
      <c r="B6284" s="138">
        <f>'Acct Summary 7-8'!K83</f>
        <v>0.27648432145305002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283864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283864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13972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13972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43279</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98404</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25235</v>
      </c>
      <c r="D6339" s="2" t="str">
        <f t="shared" si="98"/>
        <v>Error?</v>
      </c>
      <c r="E6339" s="2" t="s">
        <v>199</v>
      </c>
    </row>
    <row r="6340" spans="1:5" x14ac:dyDescent="0.2">
      <c r="A6340">
        <v>6279</v>
      </c>
      <c r="B6340" s="138">
        <f>'Revenues 9-14'!C102</f>
        <v>18960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297836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3419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112335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162106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79498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797690</v>
      </c>
      <c r="D6983" s="2" t="str">
        <f t="shared" si="108"/>
        <v>Error?</v>
      </c>
    </row>
    <row r="6984" spans="1:4" x14ac:dyDescent="0.2">
      <c r="A6984">
        <v>6923</v>
      </c>
      <c r="B6984" s="138">
        <f>'Expenditures 15-22'!K86</f>
        <v>797690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797690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363660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297836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3554</v>
      </c>
      <c r="D7073" s="2" t="str">
        <f t="shared" si="109"/>
        <v>Error?</v>
      </c>
    </row>
    <row r="7074" spans="1:4" x14ac:dyDescent="0.2">
      <c r="A7074">
        <v>7013</v>
      </c>
      <c r="B7074" s="138">
        <f>'Expenditures 15-22'!K216</f>
        <v>3554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909</v>
      </c>
      <c r="D7079" s="2" t="str">
        <f t="shared" si="109"/>
        <v>Error?</v>
      </c>
    </row>
    <row r="7080" spans="1:4" x14ac:dyDescent="0.2">
      <c r="A7080">
        <v>7019</v>
      </c>
      <c r="B7080" s="138">
        <f>'Expenditures 15-22'!K226</f>
        <v>909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14545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14545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173</v>
      </c>
      <c r="D7146" s="2" t="str">
        <f t="shared" si="110"/>
        <v>Error?</v>
      </c>
    </row>
    <row r="7147" spans="1:4" x14ac:dyDescent="0.2">
      <c r="A7147">
        <v>7086</v>
      </c>
      <c r="B7147" s="138">
        <f>'Expenditures 15-22'!E322</f>
        <v>217701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217874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101249</v>
      </c>
      <c r="D7172" s="2" t="str">
        <f t="shared" si="111"/>
        <v>Error?</v>
      </c>
    </row>
    <row r="7173" spans="1:4" x14ac:dyDescent="0.2">
      <c r="A7173">
        <v>7112</v>
      </c>
      <c r="B7173" s="138">
        <f>'Expenditures 15-22'!D325</f>
        <v>29992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131241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101249</v>
      </c>
      <c r="D7199" s="2" t="str">
        <f t="shared" si="111"/>
        <v>Error?</v>
      </c>
    </row>
    <row r="7200" spans="1:4" x14ac:dyDescent="0.2">
      <c r="A7200">
        <v>7139</v>
      </c>
      <c r="B7200" s="138">
        <f>'Expenditures 15-22'!D330</f>
        <v>30165</v>
      </c>
      <c r="D7200" s="2" t="str">
        <f t="shared" si="111"/>
        <v>Error?</v>
      </c>
    </row>
    <row r="7201" spans="1:4" x14ac:dyDescent="0.2">
      <c r="A7201">
        <v>7140</v>
      </c>
      <c r="B7201" s="138">
        <f>'Expenditures 15-22'!E330</f>
        <v>232246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363660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101249</v>
      </c>
      <c r="D7216" s="2" t="str">
        <f t="shared" si="111"/>
        <v>Error?</v>
      </c>
    </row>
    <row r="7217" spans="1:4" x14ac:dyDescent="0.2">
      <c r="A7217">
        <v>7156</v>
      </c>
      <c r="B7217" s="138">
        <f>'Expenditures 15-22'!D342</f>
        <v>30165</v>
      </c>
      <c r="D7217" s="2" t="str">
        <f t="shared" si="111"/>
        <v>Error?</v>
      </c>
    </row>
    <row r="7218" spans="1:4" x14ac:dyDescent="0.2">
      <c r="A7218">
        <v>7157</v>
      </c>
      <c r="B7218" s="138">
        <f>'Expenditures 15-22'!E342</f>
        <v>232246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363660</v>
      </c>
      <c r="D7224" s="2" t="str">
        <f t="shared" si="111"/>
        <v>Error?</v>
      </c>
    </row>
    <row r="7225" spans="1:4" x14ac:dyDescent="0.2">
      <c r="A7225">
        <v>7164</v>
      </c>
      <c r="B7225" s="138">
        <f>'Expenditures 15-22'!K343</f>
        <v>-65824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41868</v>
      </c>
      <c r="D7246" s="2" t="str">
        <f t="shared" si="112"/>
        <v>Error?</v>
      </c>
    </row>
    <row r="7247" spans="1:4" x14ac:dyDescent="0.2">
      <c r="A7247">
        <f t="shared" si="113"/>
        <v>7186</v>
      </c>
      <c r="B7247" s="138">
        <f>'Expenditures 15-22'!E7</f>
        <v>391</v>
      </c>
      <c r="D7247" s="2" t="str">
        <f t="shared" si="112"/>
        <v>Error?</v>
      </c>
    </row>
    <row r="7248" spans="1:4" x14ac:dyDescent="0.2">
      <c r="A7248">
        <f t="shared" si="113"/>
        <v>7187</v>
      </c>
      <c r="B7248" s="138">
        <f>'Expenditures 15-22'!F7</f>
        <v>7512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62668</v>
      </c>
      <c r="D7263" s="2" t="str">
        <f t="shared" si="112"/>
        <v>Error?</v>
      </c>
    </row>
    <row r="7264" spans="1:4" x14ac:dyDescent="0.2">
      <c r="A7264">
        <f t="shared" si="113"/>
        <v>7203</v>
      </c>
      <c r="B7264" s="138">
        <f>'Expenditures 15-22'!D17</f>
        <v>14743</v>
      </c>
      <c r="D7264" s="2" t="str">
        <f t="shared" si="112"/>
        <v>Error?</v>
      </c>
    </row>
    <row r="7265" spans="1:5" x14ac:dyDescent="0.2">
      <c r="A7265">
        <f t="shared" si="113"/>
        <v>7204</v>
      </c>
      <c r="B7265" s="138">
        <f>'Expenditures 15-22'!E17</f>
        <v>496</v>
      </c>
      <c r="D7265" s="2" t="str">
        <f t="shared" si="112"/>
        <v>Error?</v>
      </c>
    </row>
    <row r="7266" spans="1:5" x14ac:dyDescent="0.2">
      <c r="A7266">
        <f t="shared" si="113"/>
        <v>7205</v>
      </c>
      <c r="B7266" s="138">
        <f>'Expenditures 15-22'!F17</f>
        <v>1591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34494</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34494</v>
      </c>
      <c r="D7609" s="2" t="str">
        <f t="shared" si="122"/>
        <v>Error?</v>
      </c>
      <c r="E7609" s="2" t="s">
        <v>19</v>
      </c>
    </row>
    <row r="7610" spans="1:5" x14ac:dyDescent="0.2">
      <c r="A7610">
        <f t="shared" si="123"/>
        <v>7549</v>
      </c>
      <c r="B7610" s="138">
        <f>'Cap Outlay Deprec 26'!H9</f>
        <v>9544</v>
      </c>
      <c r="D7610" s="2" t="str">
        <f t="shared" si="122"/>
        <v>Error?</v>
      </c>
      <c r="E7610" s="2" t="s">
        <v>19</v>
      </c>
    </row>
    <row r="7611" spans="1:5" x14ac:dyDescent="0.2">
      <c r="A7611">
        <f t="shared" si="123"/>
        <v>7550</v>
      </c>
      <c r="B7611" s="138">
        <f>'Cap Outlay Deprec 26'!I9</f>
        <v>1379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10923</v>
      </c>
      <c r="D7613" s="2" t="str">
        <f t="shared" si="122"/>
        <v>Error?</v>
      </c>
      <c r="E7613" s="2" t="s">
        <v>19</v>
      </c>
    </row>
    <row r="7614" spans="1:5" x14ac:dyDescent="0.2">
      <c r="A7614">
        <f t="shared" si="123"/>
        <v>7553</v>
      </c>
      <c r="B7614" s="138">
        <f>'Cap Outlay Deprec 26'!L9</f>
        <v>23571</v>
      </c>
      <c r="D7614" s="2" t="str">
        <f t="shared" si="122"/>
        <v>Error?</v>
      </c>
      <c r="E7614" s="2" t="s">
        <v>19</v>
      </c>
    </row>
    <row r="7615" spans="1:5" x14ac:dyDescent="0.2">
      <c r="A7615">
        <f t="shared" si="123"/>
        <v>7554</v>
      </c>
      <c r="B7615" s="138">
        <f>'Cap Outlay Deprec 26'!C14</f>
        <v>82823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82823</v>
      </c>
      <c r="D7618" s="2" t="str">
        <f t="shared" si="124"/>
        <v>Error?</v>
      </c>
      <c r="E7618" s="2" t="s">
        <v>19</v>
      </c>
    </row>
    <row r="7619" spans="1:5" x14ac:dyDescent="0.2">
      <c r="A7619">
        <f t="shared" si="123"/>
        <v>7558</v>
      </c>
      <c r="B7619" s="138">
        <f>'Cap Outlay Deprec 26'!H14</f>
        <v>82823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82823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1075851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420988.89</v>
      </c>
      <c r="D7797" s="2" t="str">
        <f t="shared" si="127"/>
        <v>Error?</v>
      </c>
      <c r="E7797" s="4" t="s">
        <v>2017</v>
      </c>
    </row>
    <row r="7798" spans="1:5" x14ac:dyDescent="0.2">
      <c r="A7798">
        <v>7737</v>
      </c>
      <c r="B7798" s="138">
        <f>'Contracts Paid in CY 29'!F141</f>
        <v>123539.89</v>
      </c>
      <c r="D7798" s="2" t="str">
        <f t="shared" si="127"/>
        <v>Error?</v>
      </c>
      <c r="E7798" s="4" t="s">
        <v>2017</v>
      </c>
    </row>
    <row r="7799" spans="1:5" x14ac:dyDescent="0.2">
      <c r="A7799">
        <v>7738</v>
      </c>
      <c r="B7799" s="138">
        <f>'Contracts Paid in CY 29'!G141</f>
        <v>297449</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18" t="s">
        <v>1252</v>
      </c>
      <c r="B3" s="2418"/>
      <c r="C3" s="2418"/>
      <c r="D3" s="2418"/>
      <c r="E3" s="2418"/>
      <c r="F3" s="2418"/>
      <c r="G3" s="2418"/>
      <c r="H3" s="2418"/>
      <c r="I3" s="2418"/>
      <c r="J3" s="2418"/>
      <c r="K3" s="2418"/>
      <c r="L3" s="2418"/>
    </row>
    <row r="4" spans="1:29" ht="13.5" customHeight="1" x14ac:dyDescent="0.2">
      <c r="A4" s="2432" t="s">
        <v>1799</v>
      </c>
      <c r="B4" s="2449"/>
      <c r="C4" s="2449"/>
      <c r="D4" s="2449"/>
      <c r="E4" s="2449"/>
      <c r="F4" s="2449"/>
      <c r="G4" s="2449"/>
      <c r="H4" s="2449"/>
      <c r="I4" s="2449"/>
      <c r="J4" s="2449"/>
      <c r="K4" s="2449"/>
      <c r="L4" s="244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2" t="str">
        <f>COVER!A17</f>
        <v>Manteno CUSD 5</v>
      </c>
      <c r="B7" s="2413"/>
      <c r="C7" s="2413"/>
      <c r="D7" s="2450"/>
      <c r="E7" s="2451">
        <f>COVER!A13</f>
        <v>32046005026</v>
      </c>
      <c r="F7" s="2452"/>
      <c r="G7" s="2419" t="str">
        <f>COVER!T23</f>
        <v>066-005281</v>
      </c>
      <c r="H7" s="2420"/>
      <c r="I7" s="2420"/>
      <c r="J7" s="2420"/>
      <c r="K7" s="2420"/>
      <c r="L7" s="242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2"/>
      <c r="B9" s="2423"/>
      <c r="C9" s="2423"/>
      <c r="D9" s="2423"/>
      <c r="E9" s="2423"/>
      <c r="F9" s="2424"/>
      <c r="G9" s="2425" t="str">
        <f>COVER!T13</f>
        <v>Smith, Koelling, Dykstra &amp; Ohm, P.C.</v>
      </c>
      <c r="H9" s="2426"/>
      <c r="I9" s="2426"/>
      <c r="J9" s="2426"/>
      <c r="K9" s="2426"/>
      <c r="L9" s="2427"/>
    </row>
    <row r="10" spans="1:29" ht="13.5" customHeight="1" x14ac:dyDescent="0.2">
      <c r="A10" s="2409" t="str">
        <f>COVER!A38</f>
        <v>Mrs. Lisa Harrod</v>
      </c>
      <c r="B10" s="2410"/>
      <c r="C10" s="2410"/>
      <c r="D10" s="2410"/>
      <c r="E10" s="2410"/>
      <c r="F10" s="2411"/>
      <c r="G10" s="2425" t="str">
        <f>COVER!T17</f>
        <v>1605 North Convent</v>
      </c>
      <c r="H10" s="2438"/>
      <c r="I10" s="2438"/>
      <c r="J10" s="2438"/>
      <c r="K10" s="2438"/>
      <c r="L10" s="2439"/>
    </row>
    <row r="11" spans="1:29" ht="13.5" customHeight="1" x14ac:dyDescent="0.2">
      <c r="A11" s="1185" t="s">
        <v>1599</v>
      </c>
      <c r="B11" s="1186"/>
      <c r="C11" s="1187"/>
      <c r="D11" s="1192"/>
      <c r="E11" s="1187"/>
      <c r="F11" s="1191"/>
      <c r="G11" s="2425" t="str">
        <f>COVER!T19</f>
        <v>Bourbonnais</v>
      </c>
      <c r="H11" s="2438"/>
      <c r="I11" s="2438"/>
      <c r="J11" s="2438"/>
      <c r="K11" s="2438"/>
      <c r="L11" s="2439"/>
    </row>
    <row r="12" spans="1:29" ht="13.5" customHeight="1" x14ac:dyDescent="0.2">
      <c r="A12" s="2443" t="s">
        <v>1598</v>
      </c>
      <c r="B12" s="2444"/>
      <c r="C12" s="2444"/>
      <c r="D12" s="2444"/>
      <c r="E12" s="2444"/>
      <c r="F12" s="2445"/>
      <c r="G12" s="2440"/>
      <c r="H12" s="2441"/>
      <c r="I12" s="2441"/>
      <c r="J12" s="2441"/>
      <c r="K12" s="2441"/>
      <c r="L12" s="2442"/>
    </row>
    <row r="13" spans="1:29" ht="13.5" customHeight="1" x14ac:dyDescent="0.2">
      <c r="A13" s="2425"/>
      <c r="B13" s="2438"/>
      <c r="C13" s="2438"/>
      <c r="D13" s="2438"/>
      <c r="E13" s="2438"/>
      <c r="F13" s="2439"/>
      <c r="G13" s="2433" t="s">
        <v>1600</v>
      </c>
      <c r="H13" s="2434"/>
      <c r="I13" s="2446" t="str">
        <f>COVER!T25</f>
        <v>marciek@skdocpa.com</v>
      </c>
      <c r="J13" s="2447"/>
      <c r="K13" s="2447"/>
      <c r="L13" s="2448"/>
    </row>
    <row r="14" spans="1:29" ht="13.5" customHeight="1" x14ac:dyDescent="0.2">
      <c r="A14" s="2425" t="str">
        <f>COVER!A19</f>
        <v>84 North Oak Street</v>
      </c>
      <c r="B14" s="2438"/>
      <c r="C14" s="2438"/>
      <c r="D14" s="2438"/>
      <c r="E14" s="2438"/>
      <c r="F14" s="2439"/>
      <c r="G14" s="1196" t="s">
        <v>1247</v>
      </c>
      <c r="H14" s="1194"/>
      <c r="I14" s="1194"/>
      <c r="J14" s="1194"/>
      <c r="K14" s="1194"/>
      <c r="L14" s="1195"/>
    </row>
    <row r="15" spans="1:29" ht="13.5" customHeight="1" x14ac:dyDescent="0.2">
      <c r="A15" s="2425" t="str">
        <f>COVER!A21</f>
        <v>Manteno</v>
      </c>
      <c r="B15" s="2438"/>
      <c r="C15" s="2438"/>
      <c r="D15" s="2438"/>
      <c r="E15" s="2438"/>
      <c r="F15" s="2439"/>
      <c r="G15" s="2435" t="str">
        <f>COVER!T15</f>
        <v>Marcie Meents Kolberg</v>
      </c>
      <c r="H15" s="2436"/>
      <c r="I15" s="2436"/>
      <c r="J15" s="2436"/>
      <c r="K15" s="2436"/>
      <c r="L15" s="2437"/>
    </row>
    <row r="16" spans="1:29" ht="12.2" customHeight="1" x14ac:dyDescent="0.2">
      <c r="A16" s="2415">
        <f>COVER!A25</f>
        <v>60950</v>
      </c>
      <c r="B16" s="2416"/>
      <c r="C16" s="2416"/>
      <c r="D16" s="2416"/>
      <c r="E16" s="2416"/>
      <c r="F16" s="2417"/>
      <c r="G16" s="2428"/>
      <c r="H16" s="2429"/>
      <c r="I16" s="2429"/>
      <c r="J16" s="2429"/>
      <c r="K16" s="2429"/>
      <c r="L16" s="2430"/>
    </row>
    <row r="17" spans="1:13" ht="12.2" customHeight="1" x14ac:dyDescent="0.2">
      <c r="A17" s="2431"/>
      <c r="B17" s="2416"/>
      <c r="C17" s="2416"/>
      <c r="D17" s="2416"/>
      <c r="E17" s="2416"/>
      <c r="F17" s="2417"/>
      <c r="G17" s="1196" t="s">
        <v>1246</v>
      </c>
      <c r="H17" s="1194"/>
      <c r="I17" s="1194"/>
      <c r="J17" s="1194"/>
      <c r="K17" s="1198" t="s">
        <v>1245</v>
      </c>
      <c r="L17" s="1191"/>
      <c r="M17" s="1184"/>
    </row>
    <row r="18" spans="1:13" ht="12.2" customHeight="1" x14ac:dyDescent="0.2">
      <c r="A18" s="2409"/>
      <c r="B18" s="2410"/>
      <c r="C18" s="2410"/>
      <c r="D18" s="2410"/>
      <c r="E18" s="2410"/>
      <c r="F18" s="2411"/>
      <c r="G18" s="2412" t="str">
        <f>COVER!T21</f>
        <v>815-937-1997</v>
      </c>
      <c r="H18" s="2413"/>
      <c r="I18" s="2413"/>
      <c r="J18" s="2413"/>
      <c r="K18" s="2412" t="str">
        <f>COVER!X21</f>
        <v>815-935-0360</v>
      </c>
      <c r="L18" s="241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2098</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2098</v>
      </c>
      <c r="C26" s="1203" t="s">
        <v>1801</v>
      </c>
    </row>
    <row r="27" spans="1:13" s="1199" customFormat="1" ht="9" customHeight="1" x14ac:dyDescent="0.2">
      <c r="B27" s="1204"/>
      <c r="C27" s="1203"/>
    </row>
    <row r="28" spans="1:13" s="1199" customFormat="1" ht="12.2" customHeight="1" x14ac:dyDescent="0.2">
      <c r="A28" s="1206"/>
      <c r="B28" s="1202" t="s">
        <v>2098</v>
      </c>
      <c r="C28" s="1203" t="s">
        <v>1802</v>
      </c>
    </row>
    <row r="29" spans="1:13" s="1199" customFormat="1" ht="9" customHeight="1" x14ac:dyDescent="0.2">
      <c r="A29" s="1206"/>
      <c r="B29" s="1204"/>
      <c r="C29" s="1203"/>
    </row>
    <row r="30" spans="1:13" s="1199" customFormat="1" ht="12.2" customHeight="1" x14ac:dyDescent="0.2">
      <c r="B30" s="1202" t="s">
        <v>2098</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2098</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2098</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2098</v>
      </c>
      <c r="C38" s="1203" t="s">
        <v>1647</v>
      </c>
    </row>
    <row r="39" spans="1:8" ht="9" customHeight="1" x14ac:dyDescent="0.2">
      <c r="B39" s="1204"/>
      <c r="C39" s="1207"/>
    </row>
    <row r="40" spans="1:8" s="1199" customFormat="1" ht="13.5" customHeight="1" x14ac:dyDescent="0.2">
      <c r="B40" s="1202" t="s">
        <v>2098</v>
      </c>
      <c r="C40" s="1203" t="s">
        <v>1648</v>
      </c>
    </row>
    <row r="41" spans="1:8" ht="9" customHeight="1" x14ac:dyDescent="0.2">
      <c r="A41" s="1208"/>
      <c r="B41" s="1204"/>
      <c r="C41" s="1207"/>
    </row>
    <row r="42" spans="1:8" s="1199" customFormat="1" ht="13.5" customHeight="1" x14ac:dyDescent="0.2">
      <c r="B42" s="1202" t="s">
        <v>2098</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3" t="str">
        <f>'Single Audit Cover'!A7</f>
        <v>Manteno CUSD 5</v>
      </c>
      <c r="B1" s="2449"/>
      <c r="C1" s="2449"/>
      <c r="D1" s="2449"/>
    </row>
    <row r="2" spans="1:11" s="1215" customFormat="1" ht="12.75" x14ac:dyDescent="0.2">
      <c r="A2" s="2454">
        <f>'Single Audit Cover'!E7</f>
        <v>32046005026</v>
      </c>
      <c r="B2" s="2455"/>
      <c r="C2" s="2455"/>
      <c r="D2" s="2455"/>
    </row>
    <row r="3" spans="1:11" s="1215" customFormat="1" ht="12.75" x14ac:dyDescent="0.2">
      <c r="A3" s="2453" t="s">
        <v>1593</v>
      </c>
      <c r="B3" s="2449"/>
      <c r="C3" s="2449"/>
      <c r="D3" s="244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2098</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2098</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2098</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2098</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2098</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2098</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2098</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2098</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2098</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2114</v>
      </c>
      <c r="C42" s="1232">
        <v>11</v>
      </c>
      <c r="D42" s="1243" t="s">
        <v>1655</v>
      </c>
      <c r="E42" s="312"/>
    </row>
    <row r="43" spans="1:5" ht="3" customHeight="1" x14ac:dyDescent="0.2">
      <c r="A43" s="1222"/>
      <c r="B43" s="1239"/>
      <c r="C43" s="1240"/>
      <c r="D43" s="1221"/>
    </row>
    <row r="44" spans="1:5" x14ac:dyDescent="0.2">
      <c r="A44" s="1222"/>
      <c r="B44" s="1225" t="s">
        <v>2098</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2098</v>
      </c>
      <c r="C48" s="1226">
        <f>C44+1</f>
        <v>13</v>
      </c>
      <c r="D48" s="1237" t="s">
        <v>1656</v>
      </c>
    </row>
    <row r="49" spans="1:4" ht="3" customHeight="1" x14ac:dyDescent="0.2">
      <c r="A49" s="1222"/>
      <c r="B49" s="1229"/>
      <c r="C49" s="1226"/>
      <c r="D49" s="1237"/>
    </row>
    <row r="50" spans="1:4" x14ac:dyDescent="0.2">
      <c r="A50" s="1222"/>
      <c r="B50" s="1225" t="s">
        <v>2098</v>
      </c>
      <c r="C50" s="1226">
        <f>C48+1</f>
        <v>14</v>
      </c>
      <c r="D50" s="1237" t="s">
        <v>1274</v>
      </c>
    </row>
    <row r="51" spans="1:4" ht="3" customHeight="1" x14ac:dyDescent="0.2">
      <c r="A51" s="1222"/>
      <c r="B51" s="1229"/>
      <c r="C51" s="1226"/>
      <c r="D51" s="1237"/>
    </row>
    <row r="52" spans="1:4" x14ac:dyDescent="0.2">
      <c r="A52" s="1222"/>
      <c r="B52" s="1225" t="s">
        <v>2098</v>
      </c>
      <c r="C52" s="1226">
        <f>C50+1</f>
        <v>15</v>
      </c>
      <c r="D52" s="1237" t="s">
        <v>1273</v>
      </c>
    </row>
    <row r="53" spans="1:4" ht="3" customHeight="1" x14ac:dyDescent="0.2">
      <c r="A53" s="1222"/>
      <c r="B53" s="1229"/>
      <c r="C53" s="1226"/>
      <c r="D53" s="1237"/>
    </row>
    <row r="54" spans="1:4" x14ac:dyDescent="0.2">
      <c r="A54" s="1222"/>
      <c r="B54" s="1225" t="s">
        <v>2114</v>
      </c>
      <c r="C54" s="1226">
        <f>C52+1</f>
        <v>16</v>
      </c>
      <c r="D54" s="1237" t="s">
        <v>1272</v>
      </c>
    </row>
    <row r="55" spans="1:4" ht="3" customHeight="1" x14ac:dyDescent="0.2">
      <c r="A55" s="1222"/>
      <c r="B55" s="1229"/>
      <c r="C55" s="1226"/>
      <c r="D55" s="1237"/>
    </row>
    <row r="56" spans="1:4" x14ac:dyDescent="0.2">
      <c r="A56" s="1222"/>
      <c r="B56" s="1225" t="s">
        <v>2098</v>
      </c>
      <c r="C56" s="1226">
        <f>C54+1</f>
        <v>17</v>
      </c>
      <c r="D56" s="1221" t="s">
        <v>1811</v>
      </c>
    </row>
    <row r="57" spans="1:4" ht="10.5" customHeight="1" x14ac:dyDescent="0.2">
      <c r="A57" s="1222"/>
      <c r="D57" s="1237" t="s">
        <v>1812</v>
      </c>
    </row>
    <row r="58" spans="1:4" x14ac:dyDescent="0.2">
      <c r="A58" s="1222"/>
      <c r="C58" s="1244" t="s">
        <v>2098</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2098</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2114</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2114</v>
      </c>
      <c r="D69" s="1237" t="s">
        <v>1816</v>
      </c>
    </row>
    <row r="70" spans="1:4" x14ac:dyDescent="0.2">
      <c r="A70" s="1222"/>
      <c r="D70" s="1246" t="s">
        <v>1268</v>
      </c>
    </row>
    <row r="71" spans="1:4" ht="3" customHeight="1" x14ac:dyDescent="0.2">
      <c r="A71" s="1222"/>
      <c r="D71" s="1221"/>
    </row>
    <row r="72" spans="1:4" x14ac:dyDescent="0.2">
      <c r="A72" s="1222"/>
      <c r="B72" s="1225" t="s">
        <v>2098</v>
      </c>
      <c r="C72" s="1226">
        <f>C56+1</f>
        <v>18</v>
      </c>
      <c r="D72" s="1247" t="s">
        <v>1817</v>
      </c>
    </row>
    <row r="73" spans="1:4" ht="3" customHeight="1" x14ac:dyDescent="0.2">
      <c r="A73" s="1222"/>
      <c r="B73" s="1229"/>
      <c r="C73" s="1226"/>
      <c r="D73" s="1247"/>
    </row>
    <row r="74" spans="1:4" x14ac:dyDescent="0.2">
      <c r="A74" s="1222"/>
      <c r="B74" s="1225" t="s">
        <v>2098</v>
      </c>
      <c r="C74" s="1226">
        <f>C72+1</f>
        <v>19</v>
      </c>
      <c r="D74" s="1237" t="s">
        <v>1267</v>
      </c>
    </row>
    <row r="75" spans="1:4" ht="3" customHeight="1" x14ac:dyDescent="0.2">
      <c r="A75" s="1222"/>
      <c r="B75" s="1229"/>
      <c r="C75" s="1226"/>
      <c r="D75" s="1237"/>
    </row>
    <row r="76" spans="1:4" x14ac:dyDescent="0.2">
      <c r="A76" s="1222"/>
      <c r="B76" s="1225" t="s">
        <v>2098</v>
      </c>
      <c r="C76" s="1226">
        <f>C74+1</f>
        <v>20</v>
      </c>
      <c r="D76" s="1248" t="s">
        <v>1818</v>
      </c>
    </row>
    <row r="77" spans="1:4" ht="3" customHeight="1" x14ac:dyDescent="0.2">
      <c r="A77" s="1222"/>
      <c r="B77" s="1229"/>
      <c r="C77" s="1226"/>
      <c r="D77" s="1248"/>
    </row>
    <row r="78" spans="1:4" x14ac:dyDescent="0.2">
      <c r="A78" s="1222"/>
      <c r="B78" s="1225" t="s">
        <v>2098</v>
      </c>
      <c r="C78" s="1226">
        <f>C76+1</f>
        <v>21</v>
      </c>
      <c r="D78" s="1221" t="s">
        <v>1819</v>
      </c>
    </row>
    <row r="79" spans="1:4" ht="3" customHeight="1" x14ac:dyDescent="0.2">
      <c r="A79" s="1222"/>
      <c r="B79" s="1229" t="s">
        <v>2098</v>
      </c>
      <c r="C79" s="1226"/>
      <c r="D79" s="1221"/>
    </row>
    <row r="80" spans="1:4" x14ac:dyDescent="0.2">
      <c r="A80" s="1222"/>
      <c r="B80" s="1225" t="s">
        <v>2098</v>
      </c>
      <c r="C80" s="1226">
        <f>C78+1</f>
        <v>22</v>
      </c>
      <c r="D80" s="1249" t="s">
        <v>1820</v>
      </c>
    </row>
    <row r="81" spans="1:4" ht="3" customHeight="1" x14ac:dyDescent="0.2">
      <c r="A81" s="1222"/>
      <c r="B81" s="1229"/>
      <c r="C81" s="1226"/>
      <c r="D81" s="1249"/>
    </row>
    <row r="82" spans="1:4" x14ac:dyDescent="0.2">
      <c r="A82" s="1222"/>
      <c r="B82" s="1225" t="s">
        <v>2098</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2098</v>
      </c>
      <c r="C85" s="1226">
        <f>C82+1</f>
        <v>24</v>
      </c>
      <c r="D85" s="1237" t="s">
        <v>1265</v>
      </c>
    </row>
    <row r="86" spans="1:4" ht="3" customHeight="1" x14ac:dyDescent="0.2">
      <c r="A86" s="1222"/>
      <c r="B86" s="1229"/>
      <c r="C86" s="1226"/>
      <c r="D86" s="1237"/>
    </row>
    <row r="87" spans="1:4" x14ac:dyDescent="0.2">
      <c r="A87" s="1222"/>
      <c r="B87" s="1225" t="s">
        <v>2098</v>
      </c>
      <c r="C87" s="1226">
        <f>C85+1</f>
        <v>25</v>
      </c>
      <c r="D87" s="1237" t="s">
        <v>1264</v>
      </c>
    </row>
    <row r="88" spans="1:4" ht="3" customHeight="1" x14ac:dyDescent="0.2">
      <c r="A88" s="1222"/>
      <c r="B88" s="1229"/>
      <c r="C88" s="1226"/>
      <c r="D88" s="1237"/>
    </row>
    <row r="89" spans="1:4" x14ac:dyDescent="0.2">
      <c r="A89" s="1222"/>
      <c r="B89" s="1225" t="s">
        <v>2098</v>
      </c>
      <c r="C89" s="1226">
        <f>C87+1</f>
        <v>26</v>
      </c>
      <c r="D89" s="1237" t="s">
        <v>1263</v>
      </c>
    </row>
    <row r="90" spans="1:4" ht="3" customHeight="1" x14ac:dyDescent="0.2">
      <c r="A90" s="1222"/>
      <c r="B90" s="1229"/>
      <c r="C90" s="1226"/>
      <c r="D90" s="1237"/>
    </row>
    <row r="91" spans="1:4" x14ac:dyDescent="0.2">
      <c r="A91" s="1222"/>
      <c r="B91" s="1225" t="s">
        <v>2114</v>
      </c>
      <c r="C91" s="1226">
        <f>C89+1</f>
        <v>27</v>
      </c>
      <c r="D91" s="1237" t="s">
        <v>1822</v>
      </c>
    </row>
    <row r="92" spans="1:4" x14ac:dyDescent="0.2">
      <c r="A92" s="1222"/>
      <c r="B92" s="1250"/>
      <c r="C92" s="1244" t="s">
        <v>2114</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2098</v>
      </c>
      <c r="C96" s="1226">
        <f>C91+1</f>
        <v>28</v>
      </c>
      <c r="D96" s="1237" t="s">
        <v>1823</v>
      </c>
    </row>
    <row r="97" spans="1:4" ht="3" customHeight="1" x14ac:dyDescent="0.2">
      <c r="A97" s="1222"/>
      <c r="B97" s="1229"/>
      <c r="C97" s="1226"/>
      <c r="D97" s="1237"/>
    </row>
    <row r="98" spans="1:4" x14ac:dyDescent="0.2">
      <c r="A98" s="1222"/>
      <c r="B98" s="1225" t="s">
        <v>2098</v>
      </c>
      <c r="C98" s="1226">
        <f>C96+1</f>
        <v>29</v>
      </c>
      <c r="D98" s="1251" t="s">
        <v>1824</v>
      </c>
    </row>
    <row r="99" spans="1:4" ht="3" customHeight="1" x14ac:dyDescent="0.2">
      <c r="A99" s="1222"/>
      <c r="B99" s="1229"/>
      <c r="C99" s="1226"/>
      <c r="D99" s="1251"/>
    </row>
    <row r="100" spans="1:4" x14ac:dyDescent="0.2">
      <c r="A100" s="1222"/>
      <c r="B100" s="1225" t="s">
        <v>2098</v>
      </c>
      <c r="C100" s="1226">
        <f>C98+1</f>
        <v>30</v>
      </c>
      <c r="D100" s="1237" t="s">
        <v>1825</v>
      </c>
    </row>
    <row r="101" spans="1:4" ht="3" customHeight="1" x14ac:dyDescent="0.2">
      <c r="A101" s="1222"/>
      <c r="B101" s="1229"/>
      <c r="C101" s="1226"/>
      <c r="D101" s="1252"/>
    </row>
    <row r="102" spans="1:4" x14ac:dyDescent="0.2">
      <c r="A102" s="1222"/>
      <c r="B102" s="1225" t="s">
        <v>2098</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2114</v>
      </c>
      <c r="C106" s="1226">
        <f>C102+1</f>
        <v>32</v>
      </c>
      <c r="D106" s="1221" t="s">
        <v>1661</v>
      </c>
    </row>
    <row r="107" spans="1:4" ht="3" customHeight="1" x14ac:dyDescent="0.2">
      <c r="A107" s="1222"/>
      <c r="B107" s="1229"/>
      <c r="C107" s="1226"/>
      <c r="D107" s="1221"/>
    </row>
    <row r="108" spans="1:4" x14ac:dyDescent="0.2">
      <c r="A108" s="1222"/>
      <c r="B108" s="1225" t="s">
        <v>2114</v>
      </c>
      <c r="C108" s="1226">
        <v>33</v>
      </c>
      <c r="D108" s="1221" t="s">
        <v>1826</v>
      </c>
    </row>
    <row r="109" spans="1:4" ht="3" customHeight="1" x14ac:dyDescent="0.2">
      <c r="A109" s="1222"/>
      <c r="B109" s="1229"/>
      <c r="C109" s="1226"/>
      <c r="D109" s="1221"/>
    </row>
    <row r="110" spans="1:4" x14ac:dyDescent="0.2">
      <c r="A110" s="1222"/>
      <c r="B110" s="1225" t="s">
        <v>2114</v>
      </c>
      <c r="C110" s="1226">
        <f>C108+1</f>
        <v>34</v>
      </c>
      <c r="D110" s="1221" t="s">
        <v>1260</v>
      </c>
    </row>
    <row r="111" spans="1:4" ht="3" customHeight="1" x14ac:dyDescent="0.2">
      <c r="A111" s="1222"/>
      <c r="B111" s="1229"/>
      <c r="C111" s="1226"/>
      <c r="D111" s="1221"/>
    </row>
    <row r="112" spans="1:4" x14ac:dyDescent="0.2">
      <c r="A112" s="1222"/>
      <c r="B112" s="1225" t="s">
        <v>2114</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2114</v>
      </c>
      <c r="C115" s="1226">
        <f>C112+1</f>
        <v>36</v>
      </c>
      <c r="D115" s="1237" t="s">
        <v>1257</v>
      </c>
    </row>
    <row r="116" spans="1:4" ht="3" customHeight="1" x14ac:dyDescent="0.2">
      <c r="A116" s="1222"/>
      <c r="B116" s="1229"/>
      <c r="C116" s="1226"/>
      <c r="D116" s="1237"/>
    </row>
    <row r="117" spans="1:4" x14ac:dyDescent="0.2">
      <c r="A117" s="1222"/>
      <c r="B117" s="1225" t="s">
        <v>2114</v>
      </c>
      <c r="C117" s="1226">
        <f>C115+1</f>
        <v>37</v>
      </c>
      <c r="D117" s="1237" t="s">
        <v>1827</v>
      </c>
    </row>
    <row r="118" spans="1:4" ht="3" customHeight="1" x14ac:dyDescent="0.2">
      <c r="A118" s="1222"/>
      <c r="B118" s="1229"/>
      <c r="C118" s="1226"/>
      <c r="D118" s="1237"/>
    </row>
    <row r="119" spans="1:4" x14ac:dyDescent="0.2">
      <c r="A119" s="1222"/>
      <c r="B119" s="1225" t="s">
        <v>2114</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2114</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7" t="str">
        <f>'Single Audit Cover'!A7</f>
        <v>Manteno CUSD 5</v>
      </c>
      <c r="B1" s="2457"/>
      <c r="C1" s="2457"/>
      <c r="D1" s="2457"/>
      <c r="E1" s="2457"/>
    </row>
    <row r="2" spans="1:5" x14ac:dyDescent="0.2">
      <c r="A2" s="2458">
        <f>'Single Audit Cover'!E7</f>
        <v>32046005026</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60" t="s">
        <v>1305</v>
      </c>
    </row>
    <row r="10" spans="1:5" x14ac:dyDescent="0.2">
      <c r="A10" s="1261" t="s">
        <v>1304</v>
      </c>
      <c r="B10" s="1262" t="s">
        <v>1303</v>
      </c>
      <c r="C10" s="1262"/>
      <c r="D10" s="1263">
        <f>SUM('Acct Summary 7-8'!C7:K7)</f>
        <v>947485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50214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-29574</v>
      </c>
    </row>
    <row r="19" spans="1:4" ht="13.5" thickBot="1" x14ac:dyDescent="0.25">
      <c r="A19" s="1265" t="s">
        <v>1297</v>
      </c>
      <c r="D19" s="1266">
        <f>SUM(D10:D17)</f>
        <v>968125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9"/>
      <c r="B24" s="2459"/>
      <c r="D24" s="1268"/>
    </row>
    <row r="25" spans="1:4" x14ac:dyDescent="0.2">
      <c r="A25" s="2456"/>
      <c r="B25" s="2456"/>
      <c r="D25" s="1268"/>
    </row>
    <row r="26" spans="1:4" x14ac:dyDescent="0.2">
      <c r="A26" s="2456"/>
      <c r="B26" s="2456"/>
      <c r="D26" s="1268"/>
    </row>
    <row r="27" spans="1:4" x14ac:dyDescent="0.2">
      <c r="A27" s="2456"/>
      <c r="B27" s="2456"/>
      <c r="D27" s="1268"/>
    </row>
    <row r="28" spans="1:4" x14ac:dyDescent="0.2">
      <c r="A28" s="2456"/>
      <c r="B28" s="2456"/>
      <c r="D28" s="1268"/>
    </row>
    <row r="29" spans="1:4" x14ac:dyDescent="0.2">
      <c r="A29" s="2456"/>
      <c r="B29" s="2456"/>
      <c r="D29" s="1268"/>
    </row>
    <row r="30" spans="1:4" x14ac:dyDescent="0.2">
      <c r="A30" s="2456"/>
      <c r="B30" s="2456"/>
      <c r="D30" s="1268"/>
    </row>
    <row r="32" spans="1:4" x14ac:dyDescent="0.2">
      <c r="A32" s="1260" t="s">
        <v>1295</v>
      </c>
      <c r="D32" s="1263">
        <f>SUM(D19:D30)</f>
        <v>968125</v>
      </c>
    </row>
    <row r="33" spans="1:4" x14ac:dyDescent="0.2">
      <c r="D33" s="1269"/>
    </row>
    <row r="34" spans="1:4" x14ac:dyDescent="0.2">
      <c r="A34" s="317" t="s">
        <v>1294</v>
      </c>
    </row>
    <row r="35" spans="1:4" x14ac:dyDescent="0.2">
      <c r="A35" s="317" t="s">
        <v>1293</v>
      </c>
      <c r="B35" s="1258" t="s">
        <v>1292</v>
      </c>
      <c r="D35" s="1270">
        <f>+' SEFA (3)'!F26</f>
        <v>970507</v>
      </c>
    </row>
    <row r="37" spans="1:4" x14ac:dyDescent="0.2">
      <c r="A37" s="1260" t="s">
        <v>1291</v>
      </c>
    </row>
    <row r="39" spans="1:4" ht="13.35" customHeight="1" x14ac:dyDescent="0.2">
      <c r="A39" s="1267" t="s">
        <v>1290</v>
      </c>
    </row>
    <row r="40" spans="1:4" x14ac:dyDescent="0.2">
      <c r="A40" s="2456"/>
      <c r="B40" s="2456"/>
      <c r="D40" s="1268"/>
    </row>
    <row r="41" spans="1:4" x14ac:dyDescent="0.2">
      <c r="A41" s="2456" t="s">
        <v>2149</v>
      </c>
      <c r="B41" s="2456"/>
      <c r="D41" s="1271">
        <v>-2382</v>
      </c>
    </row>
    <row r="42" spans="1:4" x14ac:dyDescent="0.2">
      <c r="A42" s="2456"/>
      <c r="B42" s="2456"/>
      <c r="D42" s="1271"/>
    </row>
    <row r="43" spans="1:4" x14ac:dyDescent="0.2">
      <c r="A43" s="2456"/>
      <c r="B43" s="2456"/>
      <c r="D43" s="1271"/>
    </row>
    <row r="44" spans="1:4" x14ac:dyDescent="0.2">
      <c r="A44" s="2456"/>
      <c r="B44" s="2456"/>
      <c r="D44" s="1271"/>
    </row>
    <row r="45" spans="1:4" x14ac:dyDescent="0.2">
      <c r="A45" s="2456"/>
      <c r="B45" s="2456"/>
      <c r="D45" s="1271"/>
    </row>
    <row r="47" spans="1:4" x14ac:dyDescent="0.2">
      <c r="B47" s="1272" t="s">
        <v>1289</v>
      </c>
      <c r="C47" s="1272"/>
      <c r="D47" s="1273">
        <f>SUM(D35:D45)</f>
        <v>968125</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Manteno CUSD 5</v>
      </c>
      <c r="B1" s="2462"/>
      <c r="C1" s="2462"/>
      <c r="D1" s="2462"/>
      <c r="E1" s="2462"/>
      <c r="F1" s="2462"/>
    </row>
    <row r="2" spans="1:7" ht="13.5" customHeight="1" x14ac:dyDescent="0.2">
      <c r="A2" s="2463">
        <f>'Single Audit Cover'!E7</f>
        <v>32046005026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2180</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2098</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1" t="s">
        <v>2181</v>
      </c>
      <c r="B13" s="2461"/>
      <c r="C13" s="2461"/>
      <c r="D13" s="2461"/>
      <c r="E13" s="2461"/>
      <c r="F13" s="2461"/>
    </row>
    <row r="14" spans="1:7" ht="9.75" customHeight="1" x14ac:dyDescent="0.2">
      <c r="C14" s="1260"/>
      <c r="D14" s="1260"/>
    </row>
    <row r="15" spans="1:7" ht="13.5" customHeight="1" x14ac:dyDescent="0.2">
      <c r="C15" s="1870" t="s">
        <v>1332</v>
      </c>
      <c r="D15" s="2467" t="s">
        <v>1331</v>
      </c>
      <c r="E15" s="2467"/>
      <c r="F15" s="2467"/>
    </row>
    <row r="16" spans="1:7" ht="13.5" customHeight="1" x14ac:dyDescent="0.2">
      <c r="A16" s="1282"/>
      <c r="B16" s="1276" t="s">
        <v>1330</v>
      </c>
      <c r="C16" s="1870" t="s">
        <v>1329</v>
      </c>
      <c r="D16" s="2468" t="s">
        <v>1670</v>
      </c>
      <c r="E16" s="2468"/>
      <c r="F16" s="2468"/>
    </row>
    <row r="17" spans="1:6" ht="20.45" customHeight="1" x14ac:dyDescent="0.2">
      <c r="A17" s="1283"/>
      <c r="B17" s="1284" t="s">
        <v>2182</v>
      </c>
      <c r="C17" s="1285"/>
      <c r="D17" s="2466"/>
      <c r="E17" s="2466"/>
      <c r="F17" s="2466"/>
    </row>
    <row r="18" spans="1:6" ht="20.65" customHeight="1" x14ac:dyDescent="0.2">
      <c r="A18" s="1283"/>
      <c r="B18" s="1284"/>
      <c r="C18" s="1285"/>
      <c r="D18" s="2466"/>
      <c r="E18" s="2466"/>
      <c r="F18" s="2466"/>
    </row>
    <row r="19" spans="1:6" ht="20.65" customHeight="1" x14ac:dyDescent="0.2">
      <c r="A19" s="1283"/>
      <c r="B19" s="1284"/>
      <c r="C19" s="1285"/>
      <c r="D19" s="2466"/>
      <c r="E19" s="2466"/>
      <c r="F19" s="2466"/>
    </row>
    <row r="20" spans="1:6" ht="20.65" customHeight="1" x14ac:dyDescent="0.2">
      <c r="A20" s="1283"/>
      <c r="B20" s="1284"/>
      <c r="C20" s="1285"/>
      <c r="D20" s="2466"/>
      <c r="E20" s="2466"/>
      <c r="F20" s="2466"/>
    </row>
    <row r="21" spans="1:6" ht="20.65" customHeight="1" x14ac:dyDescent="0.2">
      <c r="A21" s="1283"/>
      <c r="B21" s="1284"/>
      <c r="C21" s="1285"/>
      <c r="D21" s="2466"/>
      <c r="E21" s="2466"/>
      <c r="F21" s="2466"/>
    </row>
    <row r="22" spans="1:6" ht="20.65" customHeight="1" x14ac:dyDescent="0.2">
      <c r="A22" s="1283"/>
      <c r="B22" s="1284"/>
      <c r="C22" s="1285"/>
      <c r="D22" s="2466"/>
      <c r="E22" s="2466"/>
      <c r="F22" s="2466"/>
    </row>
    <row r="23" spans="1:6" ht="20.65" customHeight="1" x14ac:dyDescent="0.2">
      <c r="A23" s="1283"/>
      <c r="B23" s="1284"/>
      <c r="C23" s="1285"/>
      <c r="D23" s="2466"/>
      <c r="E23" s="2466"/>
      <c r="F23" s="2466"/>
    </row>
    <row r="24" spans="1:6" ht="20.65" customHeight="1" x14ac:dyDescent="0.2">
      <c r="A24" s="1283"/>
      <c r="B24" s="1284"/>
      <c r="C24" s="1285"/>
      <c r="D24" s="2466"/>
      <c r="E24" s="2466"/>
      <c r="F24" s="2466"/>
    </row>
    <row r="25" spans="1:6" ht="20.65" customHeight="1" x14ac:dyDescent="0.2">
      <c r="A25" s="1283"/>
      <c r="B25" s="1284"/>
      <c r="C25" s="1285"/>
      <c r="D25" s="2466"/>
      <c r="E25" s="2466"/>
      <c r="F25" s="2466"/>
    </row>
    <row r="26" spans="1:6" ht="20.65" customHeight="1" x14ac:dyDescent="0.2">
      <c r="A26" s="1283"/>
      <c r="B26" s="1284"/>
      <c r="C26" s="1285"/>
      <c r="D26" s="2466"/>
      <c r="E26" s="2466"/>
      <c r="F26" s="2466"/>
    </row>
    <row r="27" spans="1:6" ht="20.65" customHeight="1" x14ac:dyDescent="0.2">
      <c r="A27" s="1283"/>
      <c r="B27" s="1284"/>
      <c r="C27" s="1285"/>
      <c r="D27" s="2466"/>
      <c r="E27" s="2466"/>
      <c r="F27" s="2466"/>
    </row>
    <row r="28" spans="1:6" ht="20.65" customHeight="1" x14ac:dyDescent="0.2">
      <c r="A28" s="1283"/>
      <c r="B28" s="1284"/>
      <c r="C28" s="1285"/>
      <c r="D28" s="2466"/>
      <c r="E28" s="2466"/>
      <c r="F28" s="2466"/>
    </row>
    <row r="29" spans="1:6" ht="20.65" customHeight="1" x14ac:dyDescent="0.2">
      <c r="A29" s="1283"/>
      <c r="B29" s="1284"/>
      <c r="C29" s="1285"/>
      <c r="D29" s="2466"/>
      <c r="E29" s="2466"/>
      <c r="F29" s="246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70" t="s">
        <v>2183</v>
      </c>
      <c r="B32" s="2470"/>
      <c r="C32" s="2470"/>
      <c r="D32" s="2470"/>
      <c r="E32" s="2470"/>
      <c r="F32" s="2470"/>
    </row>
    <row r="33" spans="1:6" ht="13.5" customHeight="1" x14ac:dyDescent="0.2">
      <c r="A33" s="328" t="s">
        <v>1509</v>
      </c>
      <c r="B33" s="328"/>
      <c r="C33" s="1288">
        <v>50214</v>
      </c>
      <c r="D33" s="1927"/>
      <c r="E33" s="1286"/>
    </row>
    <row r="34" spans="1:6" ht="13.5" customHeight="1" x14ac:dyDescent="0.2">
      <c r="A34" s="328" t="s">
        <v>1946</v>
      </c>
      <c r="B34" s="328"/>
      <c r="C34" s="1289">
        <v>0</v>
      </c>
      <c r="D34" s="1927" t="s">
        <v>1671</v>
      </c>
      <c r="E34" s="2471">
        <f>+C33+C34</f>
        <v>50214</v>
      </c>
      <c r="F34" s="247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2184</v>
      </c>
      <c r="D38" s="1927"/>
      <c r="E38" s="1286"/>
    </row>
    <row r="39" spans="1:6" ht="14.25" customHeight="1" x14ac:dyDescent="0.2">
      <c r="A39" s="328"/>
      <c r="B39" s="328" t="s">
        <v>1511</v>
      </c>
      <c r="C39" s="1292" t="s">
        <v>2184</v>
      </c>
      <c r="D39" s="1927"/>
      <c r="E39" s="1286"/>
    </row>
    <row r="40" spans="1:6" ht="14.25" customHeight="1" x14ac:dyDescent="0.2">
      <c r="A40" s="328"/>
      <c r="B40" s="328" t="s">
        <v>1512</v>
      </c>
      <c r="C40" s="1292" t="s">
        <v>2184</v>
      </c>
      <c r="D40" s="1927"/>
      <c r="E40" s="1286"/>
    </row>
    <row r="41" spans="1:6" ht="14.25" customHeight="1" x14ac:dyDescent="0.2">
      <c r="A41" s="328"/>
      <c r="B41" s="328" t="s">
        <v>1513</v>
      </c>
      <c r="C41" s="1292" t="s">
        <v>2184</v>
      </c>
      <c r="D41" s="1927"/>
      <c r="E41" s="1286"/>
    </row>
    <row r="42" spans="1:6" ht="14.25" customHeight="1" x14ac:dyDescent="0.2">
      <c r="A42" s="328" t="s">
        <v>1514</v>
      </c>
      <c r="B42" s="328"/>
      <c r="C42" s="1925" t="s">
        <v>2184</v>
      </c>
      <c r="D42" s="1927"/>
      <c r="E42" s="1286"/>
    </row>
    <row r="43" spans="1:6" ht="14.25" customHeight="1" x14ac:dyDescent="0.2">
      <c r="A43" s="328" t="s">
        <v>1515</v>
      </c>
      <c r="B43" s="328"/>
      <c r="C43" s="1293" t="s">
        <v>2185</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3" t="s">
        <v>1672</v>
      </c>
      <c r="C49" s="2473"/>
      <c r="D49" s="2473"/>
      <c r="E49" s="1399"/>
    </row>
    <row r="50" spans="1:5" s="1300" customFormat="1" ht="3.75" customHeight="1" x14ac:dyDescent="0.2">
      <c r="A50" s="1299"/>
      <c r="B50" s="1869"/>
      <c r="C50" s="1869"/>
      <c r="D50" s="1869"/>
      <c r="E50" s="1399"/>
    </row>
    <row r="51" spans="1:5" s="1300" customFormat="1" ht="20.25" customHeight="1" x14ac:dyDescent="0.2">
      <c r="A51" s="1301">
        <v>6</v>
      </c>
      <c r="B51" s="2469" t="s">
        <v>1632</v>
      </c>
      <c r="C51" s="2469"/>
      <c r="D51" s="2469"/>
    </row>
    <row r="52" spans="1:5" ht="14.25" customHeight="1" x14ac:dyDescent="0.2">
      <c r="A52" s="1301"/>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4"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8" t="str">
        <f>'Single Audit Cover'!A7</f>
        <v>Manteno CUSD 5</v>
      </c>
      <c r="C1" s="2474"/>
      <c r="D1" s="2474"/>
      <c r="E1" s="2474"/>
      <c r="F1" s="2474"/>
      <c r="G1" s="2474"/>
      <c r="H1" s="2474"/>
      <c r="I1" s="2474"/>
      <c r="J1" s="2474"/>
      <c r="K1" s="2474"/>
      <c r="L1" s="2474"/>
      <c r="M1" s="2474"/>
    </row>
    <row r="2" spans="2:14" ht="15" x14ac:dyDescent="0.2">
      <c r="B2" s="2463">
        <f>'Single Audit Cover'!E7</f>
        <v>32046005026</v>
      </c>
      <c r="C2" s="2463"/>
      <c r="D2" s="2463"/>
      <c r="E2" s="2463"/>
      <c r="F2" s="2463"/>
      <c r="G2" s="2463"/>
      <c r="H2" s="2463"/>
      <c r="I2" s="2463"/>
      <c r="J2" s="2463"/>
      <c r="K2" s="2463"/>
      <c r="L2" s="2463"/>
      <c r="M2" s="2463"/>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3" t="s">
        <v>2106</v>
      </c>
      <c r="C11" s="1338"/>
      <c r="D11" s="1339"/>
      <c r="E11" s="1340"/>
      <c r="F11" s="1340"/>
      <c r="G11" s="1340"/>
      <c r="H11" s="1340"/>
      <c r="I11" s="1340"/>
      <c r="J11" s="1340"/>
      <c r="K11" s="1340"/>
      <c r="L11" s="1340">
        <f>+G11+I11+K11</f>
        <v>0</v>
      </c>
      <c r="M11" s="1340"/>
    </row>
    <row r="12" spans="2:14" ht="20.100000000000001" customHeight="1" x14ac:dyDescent="0.2">
      <c r="B12" s="1954" t="s">
        <v>2107</v>
      </c>
      <c r="C12" s="1341"/>
      <c r="D12" s="1342"/>
      <c r="E12" s="1343"/>
      <c r="F12" s="1343"/>
      <c r="G12" s="1343"/>
      <c r="H12" s="1343"/>
      <c r="I12" s="1343"/>
      <c r="J12" s="1343"/>
      <c r="K12" s="1343"/>
      <c r="L12" s="1340">
        <f t="shared" ref="L12:L28" si="0">+G12+I12+K12</f>
        <v>0</v>
      </c>
      <c r="M12" s="1343"/>
    </row>
    <row r="13" spans="2:14" ht="20.100000000000001" customHeight="1" x14ac:dyDescent="0.2">
      <c r="B13" s="1337" t="s">
        <v>2108</v>
      </c>
      <c r="C13" s="1341">
        <v>84.01</v>
      </c>
      <c r="D13" s="1342" t="s">
        <v>2111</v>
      </c>
      <c r="E13" s="1343">
        <v>131991</v>
      </c>
      <c r="F13" s="1343">
        <v>102300</v>
      </c>
      <c r="G13" s="1343">
        <v>212199</v>
      </c>
      <c r="H13" s="1343" t="s">
        <v>2114</v>
      </c>
      <c r="I13" s="1343">
        <v>22092</v>
      </c>
      <c r="J13" s="1343" t="s">
        <v>2114</v>
      </c>
      <c r="K13" s="1343">
        <v>0</v>
      </c>
      <c r="L13" s="1340">
        <f t="shared" si="0"/>
        <v>234291</v>
      </c>
      <c r="M13" s="1343">
        <v>259367</v>
      </c>
    </row>
    <row r="14" spans="2:14" ht="20.100000000000001" customHeight="1" x14ac:dyDescent="0.2">
      <c r="B14" s="1337" t="s">
        <v>2108</v>
      </c>
      <c r="C14" s="1341">
        <v>84.01</v>
      </c>
      <c r="D14" s="1342" t="s">
        <v>2112</v>
      </c>
      <c r="E14" s="1343">
        <v>0</v>
      </c>
      <c r="F14" s="1343">
        <v>49654</v>
      </c>
      <c r="G14" s="1343">
        <v>0</v>
      </c>
      <c r="H14" s="1343" t="s">
        <v>2114</v>
      </c>
      <c r="I14" s="1343">
        <v>160237</v>
      </c>
      <c r="J14" s="1343" t="s">
        <v>2114</v>
      </c>
      <c r="K14" s="1957">
        <v>55863</v>
      </c>
      <c r="L14" s="1340">
        <f t="shared" si="0"/>
        <v>216100</v>
      </c>
      <c r="M14" s="1343">
        <v>278578</v>
      </c>
    </row>
    <row r="15" spans="2:14" ht="20.100000000000001" customHeight="1" x14ac:dyDescent="0.2">
      <c r="B15" s="1955" t="s">
        <v>2109</v>
      </c>
      <c r="C15" s="1341"/>
      <c r="D15" s="1342"/>
      <c r="E15" s="1956">
        <f>SUBTOTAL(9,E13:E14)</f>
        <v>131991</v>
      </c>
      <c r="F15" s="1956">
        <f t="shared" ref="F15:K15" si="1">SUBTOTAL(9,F13:F14)</f>
        <v>151954</v>
      </c>
      <c r="G15" s="1956">
        <f t="shared" si="1"/>
        <v>212199</v>
      </c>
      <c r="H15" s="1956"/>
      <c r="I15" s="1956">
        <f t="shared" si="1"/>
        <v>182329</v>
      </c>
      <c r="J15" s="1956"/>
      <c r="K15" s="1956">
        <f t="shared" si="1"/>
        <v>55863</v>
      </c>
      <c r="L15" s="1340">
        <f t="shared" si="0"/>
        <v>450391</v>
      </c>
      <c r="M15" s="1343"/>
    </row>
    <row r="16" spans="2:14" ht="20.100000000000001" customHeight="1" x14ac:dyDescent="0.2">
      <c r="B16" s="1337" t="s">
        <v>782</v>
      </c>
      <c r="C16" s="1341">
        <v>84.367000000000004</v>
      </c>
      <c r="D16" s="1342" t="s">
        <v>2113</v>
      </c>
      <c r="E16" s="1343">
        <v>13346</v>
      </c>
      <c r="F16" s="1343">
        <v>8646</v>
      </c>
      <c r="G16" s="1343">
        <v>20986</v>
      </c>
      <c r="H16" s="1343" t="s">
        <v>2114</v>
      </c>
      <c r="I16" s="1343">
        <v>1006</v>
      </c>
      <c r="J16" s="1343" t="s">
        <v>2114</v>
      </c>
      <c r="K16" s="1343">
        <v>0</v>
      </c>
      <c r="L16" s="1340">
        <f t="shared" si="0"/>
        <v>21992</v>
      </c>
      <c r="M16" s="1343">
        <v>50961</v>
      </c>
    </row>
    <row r="17" spans="2:14" ht="20.100000000000001" customHeight="1" x14ac:dyDescent="0.2">
      <c r="B17" s="1337" t="s">
        <v>782</v>
      </c>
      <c r="C17" s="1341">
        <v>84.367000000000004</v>
      </c>
      <c r="D17" s="1342" t="s">
        <v>2198</v>
      </c>
      <c r="E17" s="1343">
        <v>0</v>
      </c>
      <c r="F17" s="1343">
        <v>25627</v>
      </c>
      <c r="G17" s="1343">
        <v>0</v>
      </c>
      <c r="H17" s="1343" t="s">
        <v>2114</v>
      </c>
      <c r="I17" s="1343">
        <v>49615</v>
      </c>
      <c r="J17" s="1343" t="s">
        <v>2114</v>
      </c>
      <c r="K17" s="1957">
        <v>4500</v>
      </c>
      <c r="L17" s="1340">
        <f t="shared" si="0"/>
        <v>54115</v>
      </c>
      <c r="M17" s="1343">
        <v>90166</v>
      </c>
    </row>
    <row r="18" spans="2:14" ht="20.100000000000001" customHeight="1" x14ac:dyDescent="0.2">
      <c r="B18" s="1955" t="s">
        <v>2110</v>
      </c>
      <c r="C18" s="1341"/>
      <c r="D18" s="1342"/>
      <c r="E18" s="1956">
        <f>SUBTOTAL(9,E16:E17)</f>
        <v>13346</v>
      </c>
      <c r="F18" s="1956">
        <f t="shared" ref="F18" si="2">SUBTOTAL(9,F16:F17)</f>
        <v>34273</v>
      </c>
      <c r="G18" s="1956">
        <f t="shared" ref="G18" si="3">SUBTOTAL(9,G16:G17)</f>
        <v>20986</v>
      </c>
      <c r="H18" s="1956"/>
      <c r="I18" s="1956">
        <f t="shared" ref="I18" si="4">SUBTOTAL(9,I16:I17)</f>
        <v>50621</v>
      </c>
      <c r="J18" s="1956"/>
      <c r="K18" s="1956">
        <f t="shared" ref="K18" si="5">SUBTOTAL(9,K16:K17)</f>
        <v>4500</v>
      </c>
      <c r="L18" s="1340">
        <f t="shared" si="0"/>
        <v>76107</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2115</v>
      </c>
      <c r="C20" s="1341"/>
      <c r="D20" s="1342"/>
      <c r="E20" s="1343"/>
      <c r="F20" s="1343"/>
      <c r="G20" s="1343"/>
      <c r="H20" s="1343"/>
      <c r="I20" s="1343"/>
      <c r="J20" s="1343"/>
      <c r="K20" s="1343"/>
      <c r="L20" s="1340">
        <f t="shared" si="0"/>
        <v>0</v>
      </c>
      <c r="M20" s="1343"/>
    </row>
    <row r="21" spans="2:14" ht="20.100000000000001" customHeight="1" x14ac:dyDescent="0.2">
      <c r="B21" s="1337" t="s">
        <v>2116</v>
      </c>
      <c r="C21" s="1341">
        <v>84.173000000000002</v>
      </c>
      <c r="D21" s="1341" t="s">
        <v>2119</v>
      </c>
      <c r="E21" s="1343">
        <v>7721</v>
      </c>
      <c r="F21" s="1343">
        <v>0</v>
      </c>
      <c r="G21" s="1343">
        <v>7721</v>
      </c>
      <c r="H21" s="1343" t="s">
        <v>2114</v>
      </c>
      <c r="I21" s="1957">
        <v>0</v>
      </c>
      <c r="J21" s="1343" t="s">
        <v>2114</v>
      </c>
      <c r="K21" s="1957">
        <v>0</v>
      </c>
      <c r="L21" s="1340">
        <f t="shared" si="0"/>
        <v>7721</v>
      </c>
      <c r="M21" s="1343">
        <v>9704</v>
      </c>
    </row>
    <row r="22" spans="2:14" ht="20.100000000000001" customHeight="1" x14ac:dyDescent="0.2">
      <c r="B22" s="1337" t="s">
        <v>2116</v>
      </c>
      <c r="C22" s="1341">
        <v>84.173000000000002</v>
      </c>
      <c r="D22" s="1341" t="s">
        <v>2120</v>
      </c>
      <c r="E22" s="1343">
        <v>604</v>
      </c>
      <c r="F22" s="1343">
        <v>8134</v>
      </c>
      <c r="G22" s="1343">
        <v>0</v>
      </c>
      <c r="H22" s="1343" t="s">
        <v>2114</v>
      </c>
      <c r="I22" s="1343">
        <v>6600</v>
      </c>
      <c r="J22" s="1343" t="s">
        <v>2114</v>
      </c>
      <c r="K22" s="1957">
        <v>1332</v>
      </c>
      <c r="L22" s="1340">
        <f t="shared" si="0"/>
        <v>7932</v>
      </c>
      <c r="M22" s="1343">
        <v>9504</v>
      </c>
    </row>
    <row r="23" spans="2:14" ht="20.100000000000001" customHeight="1" x14ac:dyDescent="0.2">
      <c r="B23" s="1337" t="s">
        <v>2117</v>
      </c>
      <c r="C23" s="1341">
        <v>84.027000000000001</v>
      </c>
      <c r="D23" s="1341" t="s">
        <v>2121</v>
      </c>
      <c r="E23" s="1957">
        <v>133256</v>
      </c>
      <c r="F23" s="1957">
        <v>251343</v>
      </c>
      <c r="G23" s="1957">
        <v>384599</v>
      </c>
      <c r="H23" s="1957" t="s">
        <v>2114</v>
      </c>
      <c r="I23" s="1957">
        <v>0</v>
      </c>
      <c r="J23" s="1957" t="s">
        <v>2114</v>
      </c>
      <c r="K23" s="1957">
        <v>0</v>
      </c>
      <c r="L23" s="1340">
        <f t="shared" si="0"/>
        <v>384599</v>
      </c>
      <c r="M23" s="1343">
        <v>470614</v>
      </c>
    </row>
    <row r="24" spans="2:14" ht="20.100000000000001" customHeight="1" x14ac:dyDescent="0.2">
      <c r="B24" s="1337" t="s">
        <v>2117</v>
      </c>
      <c r="C24" s="1341">
        <v>84.027000000000001</v>
      </c>
      <c r="D24" s="1341" t="s">
        <v>2122</v>
      </c>
      <c r="E24" s="1343">
        <v>0</v>
      </c>
      <c r="F24" s="1343">
        <v>153641</v>
      </c>
      <c r="G24" s="1343"/>
      <c r="H24" s="1343" t="s">
        <v>2114</v>
      </c>
      <c r="I24" s="1343">
        <v>374154</v>
      </c>
      <c r="J24" s="1343" t="s">
        <v>2114</v>
      </c>
      <c r="K24" s="1957">
        <v>0</v>
      </c>
      <c r="L24" s="1340">
        <f t="shared" si="0"/>
        <v>374154</v>
      </c>
      <c r="M24" s="1343">
        <v>486386</v>
      </c>
    </row>
    <row r="25" spans="2:14" ht="20.100000000000001" customHeight="1" x14ac:dyDescent="0.2">
      <c r="B25" s="1337" t="s">
        <v>2123</v>
      </c>
      <c r="C25" s="1341">
        <v>84.027000000000001</v>
      </c>
      <c r="D25" s="1342" t="s">
        <v>2124</v>
      </c>
      <c r="E25" s="1343">
        <v>2832</v>
      </c>
      <c r="F25" s="1343">
        <v>0</v>
      </c>
      <c r="G25" s="1343">
        <v>0</v>
      </c>
      <c r="H25" s="1343" t="s">
        <v>2114</v>
      </c>
      <c r="I25" s="1343">
        <v>0</v>
      </c>
      <c r="J25" s="1343" t="s">
        <v>2114</v>
      </c>
      <c r="K25" s="1957">
        <v>0</v>
      </c>
      <c r="L25" s="1340">
        <f t="shared" si="0"/>
        <v>0</v>
      </c>
      <c r="M25" s="1343" t="s">
        <v>2114</v>
      </c>
    </row>
    <row r="26" spans="2:14" ht="20.100000000000001" customHeight="1" x14ac:dyDescent="0.2">
      <c r="B26" s="1337" t="s">
        <v>2123</v>
      </c>
      <c r="C26" s="1341">
        <v>84.027000000000001</v>
      </c>
      <c r="D26" s="1342" t="s">
        <v>2125</v>
      </c>
      <c r="E26" s="1343">
        <v>0</v>
      </c>
      <c r="F26" s="1343">
        <v>2199</v>
      </c>
      <c r="G26" s="1957">
        <v>2199</v>
      </c>
      <c r="H26" s="1957" t="s">
        <v>2114</v>
      </c>
      <c r="I26" s="1343">
        <v>0</v>
      </c>
      <c r="J26" s="1343" t="s">
        <v>2114</v>
      </c>
      <c r="K26" s="1957">
        <v>0</v>
      </c>
      <c r="L26" s="1340">
        <f t="shared" si="0"/>
        <v>2199</v>
      </c>
      <c r="M26" s="1343" t="s">
        <v>2114</v>
      </c>
    </row>
    <row r="27" spans="2:14" ht="20.100000000000001" customHeight="1" x14ac:dyDescent="0.2">
      <c r="B27" s="1955" t="s">
        <v>2118</v>
      </c>
      <c r="C27" s="1341"/>
      <c r="D27" s="1342"/>
      <c r="E27" s="1956">
        <f>SUBTOTAL(9,E21:E26)</f>
        <v>144413</v>
      </c>
      <c r="F27" s="1956">
        <f t="shared" ref="F27:K27" si="6">SUBTOTAL(9,F21:F26)</f>
        <v>415317</v>
      </c>
      <c r="G27" s="1956">
        <f t="shared" si="6"/>
        <v>394519</v>
      </c>
      <c r="H27" s="1956"/>
      <c r="I27" s="1956">
        <f t="shared" si="6"/>
        <v>380754</v>
      </c>
      <c r="J27" s="1956"/>
      <c r="K27" s="1956">
        <f t="shared" si="6"/>
        <v>1332</v>
      </c>
      <c r="L27" s="1340">
        <f t="shared" si="0"/>
        <v>776605</v>
      </c>
      <c r="M27" s="1343"/>
    </row>
    <row r="28" spans="2:14" ht="20.100000000000001" customHeight="1" x14ac:dyDescent="0.2">
      <c r="B28" s="1337"/>
      <c r="C28" s="1341"/>
      <c r="D28" s="1342"/>
      <c r="E28" s="1343"/>
      <c r="F28" s="1343"/>
      <c r="G28" s="1343"/>
      <c r="H28" s="1343"/>
      <c r="I28" s="1343"/>
      <c r="J28" s="1343"/>
      <c r="K28" s="1343"/>
      <c r="L28" s="1340">
        <f t="shared" si="0"/>
        <v>0</v>
      </c>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1837</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1948</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1838</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1839</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1840</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1841</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2098</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2098</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t="s">
        <v>2154</v>
      </c>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2074</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8" t="str">
        <f>'Single Audit Cover'!A7</f>
        <v>Manteno CUSD 5</v>
      </c>
      <c r="C1" s="2474"/>
      <c r="D1" s="2474"/>
      <c r="E1" s="2474"/>
      <c r="F1" s="2474"/>
      <c r="G1" s="2474"/>
      <c r="H1" s="2474"/>
      <c r="I1" s="2474"/>
      <c r="J1" s="2474"/>
      <c r="K1" s="2474"/>
      <c r="L1" s="2474"/>
      <c r="M1" s="2474"/>
    </row>
    <row r="2" spans="2:14" ht="15" x14ac:dyDescent="0.2">
      <c r="B2" s="2463">
        <f>'Single Audit Cover'!E7</f>
        <v>32046005026</v>
      </c>
      <c r="C2" s="2463"/>
      <c r="D2" s="2463"/>
      <c r="E2" s="2463"/>
      <c r="F2" s="2463"/>
      <c r="G2" s="2463"/>
      <c r="H2" s="2463"/>
      <c r="I2" s="2463"/>
      <c r="J2" s="2463"/>
      <c r="K2" s="2463"/>
      <c r="L2" s="2463"/>
      <c r="M2" s="2463"/>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2131</v>
      </c>
      <c r="C11" s="1341">
        <v>84.424000000000007</v>
      </c>
      <c r="D11" s="1342" t="s">
        <v>2132</v>
      </c>
      <c r="E11" s="1343">
        <v>0</v>
      </c>
      <c r="F11" s="1343">
        <v>6950</v>
      </c>
      <c r="G11" s="1343">
        <v>0</v>
      </c>
      <c r="H11" s="1343" t="s">
        <v>2114</v>
      </c>
      <c r="I11" s="1343">
        <v>6950</v>
      </c>
      <c r="J11" s="1343" t="s">
        <v>2114</v>
      </c>
      <c r="K11" s="1957">
        <v>0</v>
      </c>
      <c r="L11" s="1340">
        <f>+G11+I11+K11</f>
        <v>6950</v>
      </c>
      <c r="M11" s="1340">
        <v>10000</v>
      </c>
    </row>
    <row r="12" spans="2:14" ht="20.100000000000001" customHeight="1" x14ac:dyDescent="0.2">
      <c r="B12" s="1954" t="s">
        <v>2133</v>
      </c>
      <c r="C12" s="1341"/>
      <c r="D12" s="1342"/>
      <c r="E12" s="1958">
        <f>SUBTOTAL(9,' SEFA'!E11:E28)+E11</f>
        <v>289750</v>
      </c>
      <c r="F12" s="1958">
        <f>SUBTOTAL(9,' SEFA'!F11:F28)+F11</f>
        <v>608494</v>
      </c>
      <c r="G12" s="1958">
        <f>SUBTOTAL(9,' SEFA'!G11:G28)+G11</f>
        <v>627704</v>
      </c>
      <c r="H12" s="1958"/>
      <c r="I12" s="1958">
        <f>SUBTOTAL(9,' SEFA'!I11:I28)+I11</f>
        <v>620654</v>
      </c>
      <c r="J12" s="1958"/>
      <c r="K12" s="1958">
        <f>SUBTOTAL(9,' SEFA'!K11:K28)+K11</f>
        <v>61695</v>
      </c>
      <c r="L12" s="1340">
        <f t="shared" ref="L12:L27" si="0">+G12+I12+K12</f>
        <v>1310053</v>
      </c>
      <c r="M12" s="1343"/>
    </row>
    <row r="13" spans="2:14" ht="20.100000000000001" customHeight="1" x14ac:dyDescent="0.2">
      <c r="B13" s="1337"/>
      <c r="C13" s="1341"/>
      <c r="D13" s="1959"/>
      <c r="E13" s="1343"/>
      <c r="F13" s="1343"/>
      <c r="G13" s="1343"/>
      <c r="H13" s="1343"/>
      <c r="I13" s="1343"/>
      <c r="J13" s="1343"/>
      <c r="K13" s="1343"/>
      <c r="L13" s="1340">
        <f t="shared" si="0"/>
        <v>0</v>
      </c>
      <c r="M13" s="1343"/>
    </row>
    <row r="14" spans="2:14" ht="20.100000000000001" customHeight="1" x14ac:dyDescent="0.2">
      <c r="B14" s="1954" t="s">
        <v>2126</v>
      </c>
      <c r="C14" s="1338"/>
      <c r="D14" s="1339"/>
      <c r="E14" s="1340"/>
      <c r="F14" s="1340"/>
      <c r="G14" s="1340"/>
      <c r="H14" s="1340"/>
      <c r="I14" s="1340"/>
      <c r="J14" s="1340"/>
      <c r="K14" s="1340"/>
      <c r="L14" s="1340">
        <f t="shared" si="0"/>
        <v>0</v>
      </c>
      <c r="M14" s="1343"/>
    </row>
    <row r="15" spans="2:14" ht="20.100000000000001" customHeight="1" x14ac:dyDescent="0.2">
      <c r="B15" s="1337" t="s">
        <v>2127</v>
      </c>
      <c r="C15" s="1341">
        <v>84.126000000000005</v>
      </c>
      <c r="D15" s="1342" t="s">
        <v>2129</v>
      </c>
      <c r="E15" s="1343">
        <v>32297</v>
      </c>
      <c r="F15" s="1343">
        <v>0</v>
      </c>
      <c r="G15" s="1343">
        <v>32297</v>
      </c>
      <c r="H15" s="1343" t="s">
        <v>2114</v>
      </c>
      <c r="I15" s="1343">
        <v>0</v>
      </c>
      <c r="J15" s="1343" t="s">
        <v>2114</v>
      </c>
      <c r="K15" s="1343">
        <v>0</v>
      </c>
      <c r="L15" s="1340">
        <f t="shared" si="0"/>
        <v>32297</v>
      </c>
      <c r="M15" s="1343" t="s">
        <v>2114</v>
      </c>
    </row>
    <row r="16" spans="2:14" ht="20.100000000000001" customHeight="1" x14ac:dyDescent="0.2">
      <c r="B16" s="1337" t="s">
        <v>2127</v>
      </c>
      <c r="C16" s="1341">
        <v>84.126000000000005</v>
      </c>
      <c r="D16" s="1959" t="s">
        <v>2130</v>
      </c>
      <c r="E16" s="1343">
        <v>0</v>
      </c>
      <c r="F16" s="1343">
        <v>30696</v>
      </c>
      <c r="G16" s="1343">
        <v>0</v>
      </c>
      <c r="H16" s="1343" t="s">
        <v>2114</v>
      </c>
      <c r="I16" s="1343">
        <v>33916</v>
      </c>
      <c r="J16" s="1343" t="s">
        <v>2114</v>
      </c>
      <c r="K16" s="1343">
        <v>0</v>
      </c>
      <c r="L16" s="1340">
        <f t="shared" si="0"/>
        <v>33916</v>
      </c>
      <c r="M16" s="1343" t="s">
        <v>2114</v>
      </c>
    </row>
    <row r="17" spans="2:14" ht="20.100000000000001" customHeight="1" x14ac:dyDescent="0.2">
      <c r="B17" s="1954" t="s">
        <v>2128</v>
      </c>
      <c r="C17" s="1341"/>
      <c r="D17" s="1342"/>
      <c r="E17" s="1958">
        <f>SUBTOTAL(9,E15:E16)</f>
        <v>32297</v>
      </c>
      <c r="F17" s="1958">
        <f t="shared" ref="F17" si="1">SUBTOTAL(9,F15:F16)</f>
        <v>30696</v>
      </c>
      <c r="G17" s="1958">
        <f t="shared" ref="G17" si="2">SUBTOTAL(9,G15:G16)</f>
        <v>32297</v>
      </c>
      <c r="H17" s="1958"/>
      <c r="I17" s="1958">
        <f t="shared" ref="I17" si="3">SUBTOTAL(9,I15:I16)</f>
        <v>33916</v>
      </c>
      <c r="J17" s="1958"/>
      <c r="K17" s="1958">
        <f t="shared" ref="K17" si="4">SUBTOTAL(9,K15:K16)</f>
        <v>0</v>
      </c>
      <c r="L17" s="1340">
        <f t="shared" si="0"/>
        <v>66213</v>
      </c>
      <c r="M17" s="1343"/>
    </row>
    <row r="18" spans="2:14" ht="20.100000000000001" customHeight="1" x14ac:dyDescent="0.2">
      <c r="B18" s="1953" t="s">
        <v>2134</v>
      </c>
      <c r="C18" s="1341"/>
      <c r="D18" s="1342"/>
      <c r="E18" s="1960">
        <f>SUBTOTAL(9,' SEFA'!E13:E27)+SUBTOTAL(9,E11:E17)</f>
        <v>322047</v>
      </c>
      <c r="F18" s="1960">
        <f>SUBTOTAL(9,' SEFA'!F13:F27)+SUBTOTAL(9,F11:F17)</f>
        <v>639190</v>
      </c>
      <c r="G18" s="1960">
        <f>SUBTOTAL(9,' SEFA'!G13:G27)+SUBTOTAL(9,G11:G17)</f>
        <v>660001</v>
      </c>
      <c r="H18" s="1960"/>
      <c r="I18" s="1960">
        <f>SUBTOTAL(9,' SEFA'!I13:I27)+SUBTOTAL(9,I11:I17)</f>
        <v>654570</v>
      </c>
      <c r="J18" s="1960"/>
      <c r="K18" s="1960">
        <f>SUBTOTAL(9,' SEFA'!K13:K27)+SUBTOTAL(9,K11:K17)</f>
        <v>61695</v>
      </c>
      <c r="L18" s="1340">
        <f t="shared" si="0"/>
        <v>1376266</v>
      </c>
      <c r="M18" s="1343"/>
    </row>
    <row r="19" spans="2:14" ht="20.100000000000001" customHeight="1" x14ac:dyDescent="0.2">
      <c r="B19" s="1954"/>
      <c r="C19" s="1338"/>
      <c r="D19" s="1339"/>
      <c r="E19" s="1960"/>
      <c r="F19" s="1340"/>
      <c r="G19" s="1340"/>
      <c r="H19" s="1340"/>
      <c r="I19" s="1340"/>
      <c r="J19" s="1340"/>
      <c r="K19" s="1340"/>
      <c r="L19" s="1340">
        <f t="shared" si="0"/>
        <v>0</v>
      </c>
      <c r="M19" s="1343"/>
    </row>
    <row r="20" spans="2:14" ht="20.100000000000001" customHeight="1" x14ac:dyDescent="0.2">
      <c r="B20" s="1953" t="s">
        <v>2135</v>
      </c>
      <c r="C20" s="1341"/>
      <c r="D20" s="1342"/>
      <c r="E20" s="1343"/>
      <c r="F20" s="1343"/>
      <c r="G20" s="1343"/>
      <c r="H20" s="1343"/>
      <c r="I20" s="1343"/>
      <c r="J20" s="1343"/>
      <c r="K20" s="1343"/>
      <c r="L20" s="1340">
        <f t="shared" si="0"/>
        <v>0</v>
      </c>
      <c r="M20" s="1343"/>
    </row>
    <row r="21" spans="2:14" ht="20.100000000000001" customHeight="1" x14ac:dyDescent="0.2">
      <c r="B21" s="1954" t="s">
        <v>2136</v>
      </c>
      <c r="C21" s="1341"/>
      <c r="D21" s="1959"/>
      <c r="E21" s="1343"/>
      <c r="F21" s="1343"/>
      <c r="G21" s="1343"/>
      <c r="H21" s="1343"/>
      <c r="I21" s="1343"/>
      <c r="J21" s="1343"/>
      <c r="K21" s="1343"/>
      <c r="L21" s="1340">
        <f t="shared" si="0"/>
        <v>0</v>
      </c>
      <c r="M21" s="1343"/>
    </row>
    <row r="22" spans="2:14" ht="20.100000000000001" customHeight="1" x14ac:dyDescent="0.2">
      <c r="B22" s="1337" t="s">
        <v>2137</v>
      </c>
      <c r="C22" s="1341">
        <v>93.778000000000006</v>
      </c>
      <c r="D22" s="1342" t="s">
        <v>1663</v>
      </c>
      <c r="E22" s="1343">
        <v>61127</v>
      </c>
      <c r="F22" s="1343">
        <v>29566</v>
      </c>
      <c r="G22" s="1343">
        <v>61127</v>
      </c>
      <c r="H22" s="1343" t="s">
        <v>2114</v>
      </c>
      <c r="I22" s="1343">
        <v>0</v>
      </c>
      <c r="J22" s="1343" t="s">
        <v>2114</v>
      </c>
      <c r="K22" s="1343">
        <v>0</v>
      </c>
      <c r="L22" s="1340">
        <f t="shared" si="0"/>
        <v>61127</v>
      </c>
      <c r="M22" s="1343" t="s">
        <v>2114</v>
      </c>
    </row>
    <row r="23" spans="2:14" ht="20.100000000000001" customHeight="1" x14ac:dyDescent="0.2">
      <c r="B23" s="1337" t="s">
        <v>2137</v>
      </c>
      <c r="C23" s="1341">
        <v>93.778000000000006</v>
      </c>
      <c r="D23" s="1342" t="s">
        <v>1947</v>
      </c>
      <c r="E23" s="1343">
        <v>0</v>
      </c>
      <c r="F23" s="1343">
        <v>29963</v>
      </c>
      <c r="G23" s="1343">
        <v>0</v>
      </c>
      <c r="H23" s="1343" t="s">
        <v>2114</v>
      </c>
      <c r="I23" s="1343">
        <v>85866</v>
      </c>
      <c r="J23" s="1343" t="s">
        <v>2114</v>
      </c>
      <c r="K23" s="1343">
        <v>0</v>
      </c>
      <c r="L23" s="1340">
        <f t="shared" si="0"/>
        <v>85866</v>
      </c>
      <c r="M23" s="1343" t="s">
        <v>2114</v>
      </c>
    </row>
    <row r="24" spans="2:14" ht="20.100000000000001" customHeight="1" x14ac:dyDescent="0.2">
      <c r="B24" s="1953" t="s">
        <v>2138</v>
      </c>
      <c r="C24" s="1341"/>
      <c r="D24" s="1342"/>
      <c r="E24" s="1960">
        <f>SUBTOTAL(9,E22:E23)</f>
        <v>61127</v>
      </c>
      <c r="F24" s="1960">
        <f t="shared" ref="F24:K24" si="5">SUBTOTAL(9,F22:F23)</f>
        <v>59529</v>
      </c>
      <c r="G24" s="1960">
        <f t="shared" si="5"/>
        <v>61127</v>
      </c>
      <c r="H24" s="1960"/>
      <c r="I24" s="1960">
        <f t="shared" si="5"/>
        <v>85866</v>
      </c>
      <c r="J24" s="1960"/>
      <c r="K24" s="1960">
        <f t="shared" si="5"/>
        <v>0</v>
      </c>
      <c r="L24" s="1340">
        <f t="shared" si="0"/>
        <v>146993</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8" t="str">
        <f>'Single Audit Cover'!A7</f>
        <v>Manteno CUSD 5</v>
      </c>
      <c r="C1" s="2474"/>
      <c r="D1" s="2474"/>
      <c r="E1" s="2474"/>
      <c r="F1" s="2474"/>
      <c r="G1" s="2474"/>
      <c r="H1" s="2474"/>
      <c r="I1" s="2474"/>
      <c r="J1" s="2474"/>
      <c r="K1" s="2474"/>
      <c r="L1" s="2474"/>
      <c r="M1" s="2474"/>
    </row>
    <row r="2" spans="2:14" ht="15" x14ac:dyDescent="0.2">
      <c r="B2" s="2463">
        <f>'Single Audit Cover'!E7</f>
        <v>32046005026</v>
      </c>
      <c r="C2" s="2463"/>
      <c r="D2" s="2463"/>
      <c r="E2" s="2463"/>
      <c r="F2" s="2463"/>
      <c r="G2" s="2463"/>
      <c r="H2" s="2463"/>
      <c r="I2" s="2463"/>
      <c r="J2" s="2463"/>
      <c r="K2" s="2463"/>
      <c r="L2" s="2463"/>
      <c r="M2" s="2463"/>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1" t="s">
        <v>2143</v>
      </c>
      <c r="C11" s="1338"/>
      <c r="D11" s="1339"/>
      <c r="E11" s="1340"/>
      <c r="F11" s="1340"/>
      <c r="G11" s="1340"/>
      <c r="H11" s="1340"/>
      <c r="I11" s="1340"/>
      <c r="J11" s="1340"/>
      <c r="K11" s="1340"/>
      <c r="L11" s="1340">
        <f>+G11+I11+K11</f>
        <v>0</v>
      </c>
      <c r="M11" s="1340"/>
    </row>
    <row r="12" spans="2:14" ht="20.100000000000001" customHeight="1" x14ac:dyDescent="0.2">
      <c r="B12" s="1953" t="s">
        <v>2139</v>
      </c>
      <c r="C12" s="1341"/>
      <c r="D12" s="1342"/>
      <c r="E12" s="1343"/>
      <c r="F12" s="1343"/>
      <c r="G12" s="1343"/>
      <c r="H12" s="1343"/>
      <c r="I12" s="1343"/>
      <c r="J12" s="1343"/>
      <c r="K12" s="1343"/>
      <c r="L12" s="1340">
        <f t="shared" ref="L12:L27" si="0">+G12+I12+K12</f>
        <v>0</v>
      </c>
      <c r="M12" s="1343"/>
    </row>
    <row r="13" spans="2:14" ht="20.100000000000001" customHeight="1" x14ac:dyDescent="0.2">
      <c r="B13" s="1954" t="s">
        <v>2107</v>
      </c>
      <c r="C13" s="1341"/>
      <c r="D13" s="1342"/>
      <c r="E13" s="1343"/>
      <c r="F13" s="1343"/>
      <c r="G13" s="1343"/>
      <c r="H13" s="1343"/>
      <c r="I13" s="1343"/>
      <c r="J13" s="1343"/>
      <c r="K13" s="1343"/>
      <c r="L13" s="1340">
        <f t="shared" si="0"/>
        <v>0</v>
      </c>
      <c r="M13" s="1343"/>
    </row>
    <row r="14" spans="2:14" ht="20.100000000000001" customHeight="1" x14ac:dyDescent="0.2">
      <c r="B14" s="1337" t="s">
        <v>2144</v>
      </c>
      <c r="C14" s="1341">
        <v>10.555</v>
      </c>
      <c r="D14" s="1342" t="s">
        <v>2146</v>
      </c>
      <c r="E14" s="1343">
        <v>223079</v>
      </c>
      <c r="F14" s="1343">
        <v>41630</v>
      </c>
      <c r="G14" s="1343">
        <v>223079</v>
      </c>
      <c r="H14" s="1343" t="s">
        <v>2114</v>
      </c>
      <c r="I14" s="1343">
        <v>41630</v>
      </c>
      <c r="J14" s="1343" t="s">
        <v>2114</v>
      </c>
      <c r="K14" s="1343">
        <v>0</v>
      </c>
      <c r="L14" s="1340">
        <f t="shared" si="0"/>
        <v>264709</v>
      </c>
      <c r="M14" s="1343" t="s">
        <v>2114</v>
      </c>
    </row>
    <row r="15" spans="2:14" ht="20.100000000000001" customHeight="1" x14ac:dyDescent="0.2">
      <c r="B15" s="1337" t="s">
        <v>2144</v>
      </c>
      <c r="C15" s="1341">
        <v>10.555</v>
      </c>
      <c r="D15" s="1342" t="s">
        <v>2147</v>
      </c>
      <c r="E15" s="1343">
        <v>0</v>
      </c>
      <c r="F15" s="1343">
        <v>179944</v>
      </c>
      <c r="G15" s="1343">
        <v>0</v>
      </c>
      <c r="H15" s="1343" t="s">
        <v>2114</v>
      </c>
      <c r="I15" s="1343">
        <v>179944</v>
      </c>
      <c r="J15" s="1343" t="s">
        <v>2114</v>
      </c>
      <c r="K15" s="1343">
        <v>0</v>
      </c>
      <c r="L15" s="1340">
        <f t="shared" si="0"/>
        <v>179944</v>
      </c>
      <c r="M15" s="1343" t="s">
        <v>2114</v>
      </c>
    </row>
    <row r="16" spans="2:14" ht="20.100000000000001" customHeight="1" x14ac:dyDescent="0.2">
      <c r="B16" s="1337" t="s">
        <v>2145</v>
      </c>
      <c r="C16" s="1341">
        <v>10.555</v>
      </c>
      <c r="D16" s="1342">
        <v>2017</v>
      </c>
      <c r="E16" s="1343">
        <v>50350</v>
      </c>
      <c r="F16" s="1343">
        <v>0</v>
      </c>
      <c r="G16" s="1343">
        <v>50350</v>
      </c>
      <c r="H16" s="1343" t="s">
        <v>2114</v>
      </c>
      <c r="I16" s="1343">
        <v>0</v>
      </c>
      <c r="J16" s="1343" t="s">
        <v>2114</v>
      </c>
      <c r="K16" s="1343">
        <v>0</v>
      </c>
      <c r="L16" s="1340">
        <f t="shared" si="0"/>
        <v>50350</v>
      </c>
      <c r="M16" s="1343" t="s">
        <v>2114</v>
      </c>
    </row>
    <row r="17" spans="2:14" ht="20.100000000000001" customHeight="1" x14ac:dyDescent="0.2">
      <c r="B17" s="1337" t="s">
        <v>2145</v>
      </c>
      <c r="C17" s="1341">
        <v>10.555</v>
      </c>
      <c r="D17" s="1342">
        <v>2018</v>
      </c>
      <c r="E17" s="1343">
        <v>0</v>
      </c>
      <c r="F17" s="1343">
        <v>44552</v>
      </c>
      <c r="G17" s="1343">
        <v>0</v>
      </c>
      <c r="H17" s="1343" t="s">
        <v>2114</v>
      </c>
      <c r="I17" s="1343">
        <v>44552</v>
      </c>
      <c r="J17" s="1343" t="s">
        <v>2114</v>
      </c>
      <c r="K17" s="1343">
        <v>0</v>
      </c>
      <c r="L17" s="1340">
        <f t="shared" si="0"/>
        <v>44552</v>
      </c>
      <c r="M17" s="1343" t="s">
        <v>2114</v>
      </c>
    </row>
    <row r="18" spans="2:14" ht="20.100000000000001" customHeight="1" x14ac:dyDescent="0.2">
      <c r="B18" s="1953" t="s">
        <v>2140</v>
      </c>
      <c r="C18" s="1341"/>
      <c r="D18" s="1342"/>
      <c r="E18" s="1960">
        <f>SUBTOTAL(9,E12:E17)</f>
        <v>273429</v>
      </c>
      <c r="F18" s="1960">
        <f t="shared" ref="F18:K18" si="1">SUBTOTAL(9,F12:F17)</f>
        <v>266126</v>
      </c>
      <c r="G18" s="1960">
        <f t="shared" si="1"/>
        <v>273429</v>
      </c>
      <c r="H18" s="1960"/>
      <c r="I18" s="1960">
        <f t="shared" si="1"/>
        <v>266126</v>
      </c>
      <c r="J18" s="1960"/>
      <c r="K18" s="1960">
        <f t="shared" si="1"/>
        <v>0</v>
      </c>
      <c r="L18" s="1340">
        <f t="shared" si="0"/>
        <v>539555</v>
      </c>
      <c r="M18" s="1343"/>
    </row>
    <row r="19" spans="2:14" ht="20.100000000000001" customHeight="1" x14ac:dyDescent="0.2">
      <c r="B19" s="1953" t="s">
        <v>2141</v>
      </c>
      <c r="C19" s="1341"/>
      <c r="D19" s="1342"/>
      <c r="E19" s="1343"/>
      <c r="F19" s="1343"/>
      <c r="G19" s="1343"/>
      <c r="H19" s="1343"/>
      <c r="I19" s="1343"/>
      <c r="J19" s="1343"/>
      <c r="K19" s="1343"/>
      <c r="L19" s="1340">
        <f t="shared" si="0"/>
        <v>0</v>
      </c>
      <c r="M19" s="1343"/>
    </row>
    <row r="20" spans="2:14" ht="20.100000000000001" customHeight="1" x14ac:dyDescent="0.2">
      <c r="B20" s="1954" t="s">
        <v>2107</v>
      </c>
      <c r="C20" s="1341"/>
      <c r="D20" s="1342"/>
      <c r="E20" s="1343"/>
      <c r="F20" s="1343"/>
      <c r="G20" s="1343"/>
      <c r="H20" s="1343"/>
      <c r="I20" s="1343"/>
      <c r="J20" s="1343"/>
      <c r="K20" s="1343"/>
      <c r="L20" s="1340">
        <f t="shared" si="0"/>
        <v>0</v>
      </c>
      <c r="M20" s="1343"/>
    </row>
    <row r="21" spans="2:14" ht="20.100000000000001" customHeight="1" x14ac:dyDescent="0.2">
      <c r="B21" s="1337" t="s">
        <v>2145</v>
      </c>
      <c r="C21" s="1341">
        <v>10.555</v>
      </c>
      <c r="D21" s="1342">
        <v>2017</v>
      </c>
      <c r="E21" s="1343">
        <v>5999</v>
      </c>
      <c r="F21" s="1343">
        <v>0</v>
      </c>
      <c r="G21" s="1343">
        <v>5999</v>
      </c>
      <c r="H21" s="1343" t="s">
        <v>2114</v>
      </c>
      <c r="I21" s="1343">
        <v>0</v>
      </c>
      <c r="J21" s="1343" t="s">
        <v>2114</v>
      </c>
      <c r="K21" s="1343">
        <v>0</v>
      </c>
      <c r="L21" s="1340">
        <f t="shared" si="0"/>
        <v>5999</v>
      </c>
      <c r="M21" s="1343" t="s">
        <v>2114</v>
      </c>
    </row>
    <row r="22" spans="2:14" ht="20.100000000000001" customHeight="1" x14ac:dyDescent="0.2">
      <c r="B22" s="1337" t="s">
        <v>2145</v>
      </c>
      <c r="C22" s="1341">
        <v>10.555</v>
      </c>
      <c r="D22" s="1342">
        <v>2018</v>
      </c>
      <c r="E22" s="1343">
        <v>0</v>
      </c>
      <c r="F22" s="1343">
        <v>5662</v>
      </c>
      <c r="G22" s="1343">
        <v>0</v>
      </c>
      <c r="H22" s="1343" t="s">
        <v>2114</v>
      </c>
      <c r="I22" s="1343">
        <v>5662</v>
      </c>
      <c r="J22" s="1343" t="s">
        <v>2114</v>
      </c>
      <c r="K22" s="1343">
        <v>0</v>
      </c>
      <c r="L22" s="1340">
        <f t="shared" si="0"/>
        <v>5662</v>
      </c>
      <c r="M22" s="1343" t="s">
        <v>2114</v>
      </c>
    </row>
    <row r="23" spans="2:14" ht="20.100000000000001" customHeight="1" x14ac:dyDescent="0.2">
      <c r="B23" s="1953" t="s">
        <v>2142</v>
      </c>
      <c r="C23" s="1341"/>
      <c r="D23" s="1960"/>
      <c r="E23" s="1960">
        <f t="shared" ref="E23:G23" si="2">SUBTOTAL(9,E21:E22)</f>
        <v>5999</v>
      </c>
      <c r="F23" s="1960">
        <f t="shared" si="2"/>
        <v>5662</v>
      </c>
      <c r="G23" s="1960">
        <f t="shared" si="2"/>
        <v>5999</v>
      </c>
      <c r="H23" s="1960"/>
      <c r="I23" s="1960">
        <f t="shared" ref="I23" si="3">SUBTOTAL(9,I21:I22)</f>
        <v>5662</v>
      </c>
      <c r="J23" s="1960"/>
      <c r="K23" s="1960">
        <f t="shared" ref="K23" si="4">SUBTOTAL(9,K21:K22)</f>
        <v>0</v>
      </c>
      <c r="L23" s="1340">
        <f t="shared" si="0"/>
        <v>11661</v>
      </c>
      <c r="M23" s="1343"/>
    </row>
    <row r="24" spans="2:14" ht="20.100000000000001" customHeight="1" x14ac:dyDescent="0.2">
      <c r="B24" s="1961" t="s">
        <v>2199</v>
      </c>
      <c r="C24" s="1341"/>
      <c r="D24" s="1342"/>
      <c r="E24" s="1960">
        <f>SUBTOTAL(9,E13:E23)</f>
        <v>279428</v>
      </c>
      <c r="F24" s="1960">
        <f t="shared" ref="F24:G24" si="5">SUBTOTAL(9,F13:F23)</f>
        <v>271788</v>
      </c>
      <c r="G24" s="1960">
        <f t="shared" si="5"/>
        <v>279428</v>
      </c>
      <c r="H24" s="1960"/>
      <c r="I24" s="1960">
        <f>SUBTOTAL(9,I13:I23)</f>
        <v>271788</v>
      </c>
      <c r="J24" s="1960"/>
      <c r="K24" s="1960">
        <f t="shared" ref="K24" si="6">SUBTOTAL(9,K13:K23)</f>
        <v>0</v>
      </c>
      <c r="L24" s="1340">
        <f t="shared" si="0"/>
        <v>551216</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962" t="s">
        <v>2148</v>
      </c>
      <c r="C26" s="1341"/>
      <c r="D26" s="1960"/>
      <c r="E26" s="1960">
        <f>SUBTOTAL(9,E11:E25)+SUBTOTAL(9,' SEFA (2)'!E11:E27)+SUBTOTAL(9,' SEFA'!E11:E28)</f>
        <v>662602</v>
      </c>
      <c r="F26" s="1960">
        <f>SUBTOTAL(9,F11:F25)+SUBTOTAL(9,' SEFA (2)'!F11:F27)+SUBTOTAL(9,' SEFA'!F11:F28)</f>
        <v>970507</v>
      </c>
      <c r="G26" s="1960">
        <f>SUBTOTAL(9,G11:G25)+SUBTOTAL(9,' SEFA (2)'!G11:G27)+SUBTOTAL(9,' SEFA'!G11:G28)</f>
        <v>1000556</v>
      </c>
      <c r="H26" s="1960"/>
      <c r="I26" s="1960">
        <f>SUBTOTAL(9,I11:I25)+SUBTOTAL(9,' SEFA (2)'!I11:I27)+SUBTOTAL(9,' SEFA'!I11:I28)</f>
        <v>1012224</v>
      </c>
      <c r="J26" s="1960"/>
      <c r="K26" s="1960">
        <f>SUBTOTAL(9,K11:K25)+SUBTOTAL(9,' SEFA (2)'!K11:K27)+SUBTOTAL(9,' SEFA'!K11:K28)</f>
        <v>61695</v>
      </c>
      <c r="L26" s="1340">
        <f t="shared" si="0"/>
        <v>2074475</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Manteno CUSD 5</v>
      </c>
      <c r="C1" s="2482"/>
      <c r="D1" s="2482"/>
      <c r="E1" s="2482"/>
      <c r="F1" s="2482"/>
      <c r="G1" s="2482"/>
      <c r="H1" s="2482"/>
      <c r="I1" s="2482"/>
      <c r="J1" s="1422"/>
    </row>
    <row r="2" spans="2:10" s="317" customFormat="1" ht="12.75" customHeight="1" x14ac:dyDescent="0.2">
      <c r="B2" s="2483">
        <f>'Single Audit Cover'!E7</f>
        <v>32046005026</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t="s">
        <v>2150</v>
      </c>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2098</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2098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2098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2098</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2098</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t="s">
        <v>2151</v>
      </c>
      <c r="E29" s="2488"/>
      <c r="F29" s="2488"/>
      <c r="G29" s="2488"/>
      <c r="H29" s="2488"/>
      <c r="I29" s="248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281"/>
      <c r="F33" s="1963" t="s">
        <v>940</v>
      </c>
      <c r="G33" s="1281" t="s">
        <v>2098</v>
      </c>
      <c r="H33" s="1300" t="s">
        <v>101</v>
      </c>
    </row>
    <row r="34" spans="2:9" x14ac:dyDescent="0.2">
      <c r="E34" s="1964"/>
      <c r="F34" s="1278"/>
      <c r="G34" s="1278"/>
    </row>
    <row r="35" spans="2:9" x14ac:dyDescent="0.2">
      <c r="B35" s="1441" t="s">
        <v>1849</v>
      </c>
      <c r="C35" s="1442"/>
      <c r="D35" s="1267"/>
    </row>
    <row r="36" spans="2:9" ht="6" customHeight="1" x14ac:dyDescent="0.2">
      <c r="B36" s="1441"/>
      <c r="C36" s="1442"/>
      <c r="D36" s="1267"/>
    </row>
    <row r="37" spans="2:9" ht="17.25" customHeight="1" x14ac:dyDescent="0.2">
      <c r="B37" s="1443" t="s">
        <v>1850</v>
      </c>
      <c r="C37" s="2489" t="s">
        <v>1851</v>
      </c>
      <c r="D37" s="2490"/>
      <c r="E37" s="2490"/>
      <c r="F37" s="2491"/>
      <c r="G37" s="2489" t="s">
        <v>1674</v>
      </c>
      <c r="H37" s="2490"/>
      <c r="I37" s="2491"/>
    </row>
    <row r="38" spans="2:9" ht="16.5" customHeight="1" x14ac:dyDescent="0.2">
      <c r="B38" s="1444">
        <v>10.555</v>
      </c>
      <c r="C38" s="2477" t="s">
        <v>2152</v>
      </c>
      <c r="D38" s="2478"/>
      <c r="E38" s="2478"/>
      <c r="F38" s="2479"/>
      <c r="G38" s="2492">
        <v>271788</v>
      </c>
      <c r="H38" s="2493"/>
      <c r="I38" s="2494"/>
    </row>
    <row r="39" spans="2:9" ht="16.5" customHeight="1" x14ac:dyDescent="0.2">
      <c r="B39" s="1444">
        <v>84.01</v>
      </c>
      <c r="C39" s="2477" t="s">
        <v>2153</v>
      </c>
      <c r="D39" s="2478"/>
      <c r="E39" s="2478"/>
      <c r="F39" s="2479"/>
      <c r="G39" s="2480">
        <v>182329</v>
      </c>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95" t="s">
        <v>1675</v>
      </c>
      <c r="D43" s="2496"/>
      <c r="E43" s="2496"/>
      <c r="F43" s="2497"/>
      <c r="G43" s="2498">
        <f>SUM(G38:I42)</f>
        <v>454117</v>
      </c>
      <c r="H43" s="2498"/>
      <c r="I43" s="2498"/>
    </row>
    <row r="44" spans="2:9" ht="12.75" customHeight="1" x14ac:dyDescent="0.2"/>
    <row r="45" spans="2:9" ht="12.75" customHeight="1" x14ac:dyDescent="0.2">
      <c r="B45" s="1435" t="s">
        <v>1949</v>
      </c>
      <c r="D45" s="2499">
        <v>1012224</v>
      </c>
      <c r="E45" s="2500"/>
    </row>
    <row r="46" spans="2:9" ht="5.25" customHeight="1" x14ac:dyDescent="0.2">
      <c r="B46" s="1445"/>
      <c r="D46" s="1446"/>
      <c r="E46" s="1447"/>
    </row>
    <row r="47" spans="2:9" ht="12.75" customHeight="1" x14ac:dyDescent="0.2">
      <c r="B47" s="1300" t="s">
        <v>1676</v>
      </c>
      <c r="C47" s="1300"/>
      <c r="D47" s="1448">
        <f>+G43/D45</f>
        <v>0.44863291129236216</v>
      </c>
      <c r="E47" s="1449"/>
      <c r="F47" s="1450"/>
      <c r="I47" s="1451"/>
    </row>
    <row r="48" spans="2:9" ht="9.9499999999999993" customHeight="1" x14ac:dyDescent="0.2"/>
    <row r="49" spans="1:9" x14ac:dyDescent="0.2">
      <c r="B49" s="1368" t="s">
        <v>1335</v>
      </c>
      <c r="C49" s="1282"/>
      <c r="D49" s="1282"/>
      <c r="E49" s="2501">
        <v>750000</v>
      </c>
      <c r="F49" s="2501"/>
      <c r="G49" s="2501"/>
      <c r="H49" s="322"/>
    </row>
    <row r="51" spans="1:9" ht="13.5" customHeight="1" x14ac:dyDescent="0.2">
      <c r="B51" s="1368" t="s">
        <v>1334</v>
      </c>
      <c r="C51" s="1282"/>
      <c r="E51" s="1438"/>
      <c r="F51" s="1300" t="s">
        <v>940</v>
      </c>
      <c r="G51" s="1438" t="s">
        <v>2098</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Manteno CUSD 5</v>
      </c>
      <c r="C1" s="2481"/>
      <c r="D1" s="2481"/>
      <c r="E1" s="2481"/>
      <c r="F1" s="2481"/>
      <c r="G1" s="2481"/>
      <c r="H1" s="2481"/>
      <c r="I1" s="2481"/>
      <c r="J1" s="2481"/>
      <c r="K1" s="2481"/>
      <c r="L1" s="1374"/>
      <c r="M1" s="1374"/>
    </row>
    <row r="2" spans="1:13" ht="12" customHeight="1" x14ac:dyDescent="0.2">
      <c r="B2" s="2483">
        <f>'Single Audit Cover'!E7</f>
        <v>32046005026</v>
      </c>
      <c r="C2" s="2483"/>
      <c r="D2" s="2483"/>
      <c r="E2" s="2483"/>
      <c r="F2" s="2483"/>
      <c r="G2" s="2483"/>
      <c r="H2" s="2483"/>
      <c r="I2" s="2483"/>
      <c r="J2" s="2483"/>
      <c r="K2" s="2483"/>
      <c r="L2" s="1375"/>
      <c r="M2" s="1376"/>
    </row>
    <row r="3" spans="1:13" ht="10.35" customHeight="1" x14ac:dyDescent="0.2">
      <c r="B3" s="2504" t="s">
        <v>1347</v>
      </c>
      <c r="C3" s="2504"/>
      <c r="D3" s="2504"/>
      <c r="E3" s="2504"/>
      <c r="F3" s="2504"/>
      <c r="G3" s="2504"/>
      <c r="H3" s="2504"/>
      <c r="I3" s="2504"/>
      <c r="J3" s="2504"/>
      <c r="K3" s="2504"/>
      <c r="L3" s="1377"/>
      <c r="M3" s="1377"/>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2186</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7"/>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2"/>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2"/>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Manteno CUSD 5</v>
      </c>
      <c r="C1" s="2508"/>
      <c r="D1" s="2508"/>
      <c r="E1" s="2508"/>
      <c r="F1" s="2508"/>
      <c r="G1" s="2508"/>
      <c r="H1" s="2508"/>
      <c r="I1" s="2508"/>
      <c r="J1" s="2508"/>
      <c r="K1" s="2508"/>
      <c r="L1" s="1465"/>
    </row>
    <row r="2" spans="1:12" ht="12.75" customHeight="1" x14ac:dyDescent="0.2">
      <c r="B2" s="2509">
        <f>'Single Audit Cover'!E7</f>
        <v>32046005026</v>
      </c>
      <c r="C2" s="2509"/>
      <c r="D2" s="2509"/>
      <c r="E2" s="2509"/>
      <c r="F2" s="2509"/>
      <c r="G2" s="2509"/>
      <c r="H2" s="2509"/>
      <c r="I2" s="2509"/>
      <c r="J2" s="2509"/>
      <c r="K2" s="2509"/>
      <c r="L2" s="1466"/>
    </row>
    <row r="3" spans="1:12" ht="12.75" customHeight="1" x14ac:dyDescent="0.2">
      <c r="B3" s="2504" t="s">
        <v>1347</v>
      </c>
      <c r="C3" s="2504"/>
      <c r="D3" s="2504"/>
      <c r="E3" s="2504"/>
      <c r="F3" s="2504"/>
      <c r="G3" s="2504"/>
      <c r="H3" s="2504"/>
      <c r="I3" s="2504"/>
      <c r="J3" s="2504"/>
      <c r="K3" s="2504"/>
      <c r="L3" s="1377"/>
    </row>
    <row r="4" spans="1:12" ht="12.75" customHeight="1" x14ac:dyDescent="0.2">
      <c r="B4" s="2504" t="str">
        <f>'Single Audit Cover'!A4</f>
        <v>Year Ending June 30, 2018</v>
      </c>
      <c r="C4" s="2504"/>
      <c r="D4" s="2504"/>
      <c r="E4" s="2504"/>
      <c r="F4" s="2504"/>
      <c r="G4" s="2504"/>
      <c r="H4" s="2504"/>
      <c r="I4" s="2504"/>
      <c r="J4" s="2504"/>
      <c r="K4" s="2504"/>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2186</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c r="E14" s="2511"/>
      <c r="F14" s="2511"/>
      <c r="H14" s="1475" t="s">
        <v>1370</v>
      </c>
      <c r="I14" s="2512"/>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c r="E16" s="2512"/>
      <c r="F16" s="2512"/>
      <c r="G16" s="2512"/>
      <c r="H16" s="2512"/>
      <c r="I16" s="2512"/>
      <c r="J16" s="2512"/>
      <c r="K16" s="2512"/>
      <c r="L16" s="322"/>
    </row>
    <row r="17" spans="2:12" ht="13.5" customHeight="1" x14ac:dyDescent="0.2">
      <c r="B17" s="1387" t="s">
        <v>1368</v>
      </c>
      <c r="C17" s="1387"/>
      <c r="D17" s="2513"/>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3"/>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Manteno CUSD 5</v>
      </c>
      <c r="C1" s="2481"/>
      <c r="D1" s="2481"/>
      <c r="E1" s="1491"/>
    </row>
    <row r="2" spans="2:5" s="1282" customFormat="1" ht="12.75" customHeight="1" x14ac:dyDescent="0.2">
      <c r="B2" s="2483">
        <f>'Single Audit Cover'!E7</f>
        <v>32046005026</v>
      </c>
      <c r="C2" s="2483"/>
      <c r="D2" s="2483"/>
      <c r="E2" s="1492"/>
    </row>
    <row r="3" spans="2:5" ht="12.75" customHeight="1" x14ac:dyDescent="0.2">
      <c r="B3" s="2504" t="s">
        <v>1866</v>
      </c>
      <c r="C3" s="2504"/>
      <c r="D3" s="2504"/>
      <c r="E3" s="1274"/>
    </row>
    <row r="4" spans="2:5" s="1282" customFormat="1" ht="12.75" customHeight="1" x14ac:dyDescent="0.2">
      <c r="B4" s="2514" t="str">
        <f>'Single Audit Cover'!A4</f>
        <v>Year Ending June 30, 2018</v>
      </c>
      <c r="C4" s="2514"/>
      <c r="D4" s="251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2184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271808368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3.4859000000000001E-2</v>
      </c>
      <c r="E10" s="356" t="s">
        <v>1062</v>
      </c>
      <c r="F10" s="355">
        <v>6.4879999999999998E-3</v>
      </c>
      <c r="G10" s="356" t="s">
        <v>1062</v>
      </c>
      <c r="H10" s="355">
        <v>2.16E-3</v>
      </c>
      <c r="I10" s="356" t="s">
        <v>1063</v>
      </c>
      <c r="J10" s="1754">
        <f>ROUND(D10+F10+H10,5)</f>
        <v>4.351E-2</v>
      </c>
      <c r="K10" s="222"/>
      <c r="L10" s="355">
        <v>1.9000000000000001E-5</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23710528</v>
      </c>
      <c r="E16" s="356"/>
      <c r="F16" s="1755">
        <f>SUM('Acct Summary 7-8'!C17,'Acct Summary 7-8'!D17,'Acct Summary 7-8'!F17)</f>
        <v>17976703</v>
      </c>
      <c r="G16" s="356"/>
      <c r="H16" s="1755">
        <f>SUM(D16-F16)</f>
        <v>5733825</v>
      </c>
      <c r="I16" s="222"/>
      <c r="J16" s="1755">
        <f>SUM('Acct Summary 7-8'!C81,'Acct Summary 7-8'!D81,'Acct Summary 7-8'!F81,'Acct Summary 7-8'!I81)</f>
        <v>18676289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37509554.784000002</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30085933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Manteno CUSD 5</v>
      </c>
      <c r="E7" s="391"/>
      <c r="G7" s="252"/>
      <c r="H7" s="387"/>
      <c r="I7" s="387"/>
      <c r="J7" s="387"/>
      <c r="K7" s="387"/>
      <c r="L7" s="329"/>
      <c r="M7" s="329"/>
      <c r="N7" s="329"/>
      <c r="O7" s="329"/>
      <c r="P7" s="329"/>
    </row>
    <row r="8" spans="1:18" ht="12.75" x14ac:dyDescent="0.2">
      <c r="A8" s="329"/>
      <c r="B8" s="329"/>
      <c r="C8" s="389" t="s">
        <v>1187</v>
      </c>
      <c r="D8" s="392">
        <f>COVER!A13</f>
        <v>32046005026</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18676289</v>
      </c>
      <c r="I12" s="404"/>
      <c r="J12" s="404"/>
      <c r="K12" s="405">
        <f>TRUNC((H12/H13*100000),5)/100000</f>
        <v>0.78767916930000004</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23710528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17976703</v>
      </c>
      <c r="I17" s="404"/>
      <c r="J17" s="416"/>
      <c r="K17" s="405">
        <f>TRUNC((H17/H18*100000),5)/100000</f>
        <v>0.75817387950000004</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23710528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18690702</v>
      </c>
      <c r="I24" s="422"/>
      <c r="J24" s="422"/>
      <c r="K24" s="423">
        <f>TRUNC(((H24/H25*100000)/100000),2)</f>
        <v>374.29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49935.286110000001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10052424.777930001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30085933</v>
      </c>
      <c r="I32" s="420"/>
      <c r="J32" s="420"/>
      <c r="K32" s="423">
        <f>TRUNC(100-((((H32/H33*100))*100)/100),2)</f>
        <v>19.79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37509554.784000002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1750</v>
      </c>
      <c r="B4" s="464"/>
      <c r="C4" s="465">
        <v>2149622</v>
      </c>
      <c r="D4" s="466">
        <v>762263</v>
      </c>
      <c r="E4" s="466"/>
      <c r="F4" s="466">
        <v>86975</v>
      </c>
      <c r="G4" s="466">
        <v>396148</v>
      </c>
      <c r="H4" s="466">
        <v>257375</v>
      </c>
      <c r="I4" s="466">
        <v>63069</v>
      </c>
      <c r="J4" s="467"/>
      <c r="K4" s="466">
        <v>98079</v>
      </c>
      <c r="L4" s="466">
        <v>268041</v>
      </c>
      <c r="M4" s="468"/>
      <c r="N4" s="469"/>
    </row>
    <row r="5" spans="1:14" x14ac:dyDescent="0.2">
      <c r="A5" s="463" t="s">
        <v>1049</v>
      </c>
      <c r="B5" s="470">
        <v>120</v>
      </c>
      <c r="C5" s="465">
        <v>10096192</v>
      </c>
      <c r="D5" s="466">
        <v>2957448</v>
      </c>
      <c r="E5" s="466">
        <v>135120</v>
      </c>
      <c r="F5" s="466">
        <v>416159</v>
      </c>
      <c r="G5" s="466">
        <v>314486</v>
      </c>
      <c r="H5" s="466"/>
      <c r="I5" s="466">
        <v>2158974</v>
      </c>
      <c r="J5" s="467">
        <v>465725</v>
      </c>
      <c r="K5" s="471">
        <v>88673</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12245814</v>
      </c>
      <c r="D13" s="1759">
        <f t="shared" ref="D13:L13" si="0">SUM(D4:D12)</f>
        <v>3719711</v>
      </c>
      <c r="E13" s="1759">
        <f t="shared" si="0"/>
        <v>135120</v>
      </c>
      <c r="F13" s="1759">
        <f t="shared" si="0"/>
        <v>503134</v>
      </c>
      <c r="G13" s="1759">
        <f t="shared" si="0"/>
        <v>710634</v>
      </c>
      <c r="H13" s="1759">
        <f t="shared" si="0"/>
        <v>257375</v>
      </c>
      <c r="I13" s="1759">
        <f t="shared" si="0"/>
        <v>2222043</v>
      </c>
      <c r="J13" s="1759">
        <f t="shared" si="0"/>
        <v>465725</v>
      </c>
      <c r="K13" s="1759">
        <f t="shared" si="0"/>
        <v>186752</v>
      </c>
      <c r="L13" s="1759">
        <f t="shared" si="0"/>
        <v>268041</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5726534</v>
      </c>
      <c r="N16" s="484"/>
    </row>
    <row r="17" spans="1:14" s="485" customFormat="1" ht="12.75" customHeight="1" x14ac:dyDescent="0.2">
      <c r="A17" s="482" t="s">
        <v>1470</v>
      </c>
      <c r="B17" s="483">
        <v>230</v>
      </c>
      <c r="C17" s="477"/>
      <c r="D17" s="477"/>
      <c r="E17" s="477"/>
      <c r="F17" s="477"/>
      <c r="G17" s="477"/>
      <c r="H17" s="477"/>
      <c r="I17" s="477"/>
      <c r="J17" s="477"/>
      <c r="K17" s="477"/>
      <c r="L17" s="477"/>
      <c r="M17" s="467">
        <v>49772478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1287114</v>
      </c>
      <c r="N19" s="484"/>
    </row>
    <row r="20" spans="1:14" s="485" customFormat="1" ht="12.75" customHeight="1" x14ac:dyDescent="0.2">
      <c r="A20" s="482" t="s">
        <v>1473</v>
      </c>
      <c r="B20" s="483">
        <v>260</v>
      </c>
      <c r="C20" s="477"/>
      <c r="D20" s="477"/>
      <c r="E20" s="477"/>
      <c r="F20" s="477"/>
      <c r="G20" s="477"/>
      <c r="H20" s="477"/>
      <c r="I20" s="477"/>
      <c r="J20" s="477"/>
      <c r="K20" s="477"/>
      <c r="L20" s="477"/>
      <c r="M20" s="467">
        <v>9042605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135120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29950813</v>
      </c>
    </row>
    <row r="23" spans="1:14" ht="13.5" customHeight="1" thickBot="1" x14ac:dyDescent="0.25">
      <c r="A23" s="1758" t="s">
        <v>664</v>
      </c>
      <c r="B23" s="1763"/>
      <c r="C23" s="468"/>
      <c r="D23" s="468"/>
      <c r="E23" s="468"/>
      <c r="F23" s="468"/>
      <c r="G23" s="468"/>
      <c r="H23" s="468"/>
      <c r="I23" s="468"/>
      <c r="J23" s="468"/>
      <c r="K23" s="468"/>
      <c r="L23" s="468"/>
      <c r="M23" s="1710">
        <f>SUM(M15:M22)</f>
        <v>65828731</v>
      </c>
      <c r="N23" s="1710">
        <f>SUM(N21:N22)</f>
        <v>30085933</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14407</v>
      </c>
      <c r="D31" s="467">
        <v>-117</v>
      </c>
      <c r="E31" s="467"/>
      <c r="F31" s="466">
        <v>123</v>
      </c>
      <c r="G31" s="467">
        <v>-628</v>
      </c>
      <c r="H31" s="467"/>
      <c r="I31" s="467"/>
      <c r="J31" s="467">
        <v>38</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268041</v>
      </c>
      <c r="M33" s="468"/>
      <c r="N33" s="469"/>
    </row>
    <row r="34" spans="1:14" ht="13.5" customHeight="1" thickBot="1" x14ac:dyDescent="0.25">
      <c r="A34" s="1760" t="s">
        <v>675</v>
      </c>
      <c r="B34" s="1761"/>
      <c r="C34" s="1762">
        <f>SUM(C25:C33)</f>
        <v>14407</v>
      </c>
      <c r="D34" s="1762">
        <f t="shared" ref="D34:K34" si="1">SUM(D25:D33)</f>
        <v>-117</v>
      </c>
      <c r="E34" s="1762">
        <f t="shared" si="1"/>
        <v>0</v>
      </c>
      <c r="F34" s="1762">
        <f t="shared" si="1"/>
        <v>123</v>
      </c>
      <c r="G34" s="1762">
        <f t="shared" si="1"/>
        <v>-628</v>
      </c>
      <c r="H34" s="1762">
        <f t="shared" si="1"/>
        <v>0</v>
      </c>
      <c r="I34" s="1762">
        <f t="shared" si="1"/>
        <v>0</v>
      </c>
      <c r="J34" s="1762">
        <f t="shared" si="1"/>
        <v>38</v>
      </c>
      <c r="K34" s="1762">
        <f t="shared" si="1"/>
        <v>0</v>
      </c>
      <c r="L34" s="1743">
        <f>SUM(L33)</f>
        <v>268041</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30085933</v>
      </c>
    </row>
    <row r="37" spans="1:14" ht="13.5" thickBot="1" x14ac:dyDescent="0.25">
      <c r="A37" s="1758" t="s">
        <v>674</v>
      </c>
      <c r="B37" s="1763"/>
      <c r="C37" s="477"/>
      <c r="D37" s="477"/>
      <c r="E37" s="477"/>
      <c r="F37" s="477"/>
      <c r="G37" s="477"/>
      <c r="H37" s="477"/>
      <c r="I37" s="477"/>
      <c r="J37" s="477"/>
      <c r="K37" s="477"/>
      <c r="L37" s="480"/>
      <c r="M37" s="468"/>
      <c r="N37" s="1710">
        <f>SUM(N36:N36)</f>
        <v>30085933</v>
      </c>
    </row>
    <row r="38" spans="1:14" s="329" customFormat="1" ht="13.5" customHeight="1" thickTop="1" x14ac:dyDescent="0.2">
      <c r="A38" s="496" t="s">
        <v>440</v>
      </c>
      <c r="B38" s="483">
        <v>714</v>
      </c>
      <c r="C38" s="466"/>
      <c r="D38" s="466">
        <v>361000</v>
      </c>
      <c r="E38" s="466">
        <v>267495</v>
      </c>
      <c r="F38" s="466"/>
      <c r="G38" s="466"/>
      <c r="H38" s="466"/>
      <c r="I38" s="466"/>
      <c r="J38" s="467"/>
      <c r="K38" s="466"/>
      <c r="L38" s="481"/>
      <c r="M38" s="497"/>
      <c r="N38" s="497"/>
    </row>
    <row r="39" spans="1:14" s="329" customFormat="1" ht="13.5" customHeight="1" x14ac:dyDescent="0.2">
      <c r="A39" s="496" t="s">
        <v>360</v>
      </c>
      <c r="B39" s="483">
        <v>730</v>
      </c>
      <c r="C39" s="466">
        <v>12231407</v>
      </c>
      <c r="D39" s="466">
        <v>3358828</v>
      </c>
      <c r="E39" s="466">
        <v>-132375</v>
      </c>
      <c r="F39" s="466">
        <v>503011</v>
      </c>
      <c r="G39" s="466">
        <v>711262</v>
      </c>
      <c r="H39" s="466">
        <v>257375</v>
      </c>
      <c r="I39" s="466">
        <v>2222043</v>
      </c>
      <c r="J39" s="467">
        <v>465687</v>
      </c>
      <c r="K39" s="466">
        <v>186752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65828731</v>
      </c>
      <c r="N40" s="497"/>
    </row>
    <row r="41" spans="1:14" ht="13.5" customHeight="1" thickBot="1" x14ac:dyDescent="0.25">
      <c r="A41" s="1758" t="s">
        <v>676</v>
      </c>
      <c r="B41" s="1728"/>
      <c r="C41" s="1710">
        <f>(SUM(C34,C37,C38,C39))</f>
        <v>12245814</v>
      </c>
      <c r="D41" s="1710">
        <f t="shared" ref="D41:L41" si="2">SUM(D34,D37,D38:D39)</f>
        <v>3719711</v>
      </c>
      <c r="E41" s="1710">
        <f t="shared" si="2"/>
        <v>135120</v>
      </c>
      <c r="F41" s="1710">
        <f t="shared" si="2"/>
        <v>503134</v>
      </c>
      <c r="G41" s="1710">
        <f t="shared" si="2"/>
        <v>710634</v>
      </c>
      <c r="H41" s="1710">
        <f t="shared" si="2"/>
        <v>257375</v>
      </c>
      <c r="I41" s="1710">
        <f t="shared" si="2"/>
        <v>2222043</v>
      </c>
      <c r="J41" s="1710">
        <f t="shared" si="2"/>
        <v>465725</v>
      </c>
      <c r="K41" s="1710">
        <f t="shared" si="2"/>
        <v>186752</v>
      </c>
      <c r="L41" s="1710">
        <f t="shared" si="2"/>
        <v>268041</v>
      </c>
      <c r="M41" s="1710">
        <f>SUM(M40)</f>
        <v>65828731</v>
      </c>
      <c r="N41" s="1710">
        <f>SUM(N37)</f>
        <v>30085933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2160" t="s">
        <v>1579</v>
      </c>
      <c r="B4" s="2161"/>
      <c r="C4" s="1764">
        <f>'Revenues 9-14'!C109</f>
        <v>10194247</v>
      </c>
      <c r="D4" s="1764">
        <f>'Revenues 9-14'!D109</f>
        <v>1918242</v>
      </c>
      <c r="E4" s="1764">
        <f>'Revenues 9-14'!E109</f>
        <v>4080777</v>
      </c>
      <c r="F4" s="1764">
        <f>'Revenues 9-14'!F109</f>
        <v>573110</v>
      </c>
      <c r="G4" s="1764">
        <f>'Revenues 9-14'!G109</f>
        <v>652481</v>
      </c>
      <c r="H4" s="1764">
        <f>'Revenues 9-14'!H109</f>
        <v>366</v>
      </c>
      <c r="I4" s="1764">
        <f>'Revenues 9-14'!I109</f>
        <v>15167</v>
      </c>
      <c r="J4" s="1764">
        <f>'Revenues 9-14'!J109</f>
        <v>297836</v>
      </c>
      <c r="K4" s="1764">
        <f>'Revenues 9-14'!K109</f>
        <v>51634</v>
      </c>
      <c r="L4" s="347"/>
    </row>
    <row r="5" spans="1:13" ht="15.75" customHeight="1" x14ac:dyDescent="0.2">
      <c r="A5" s="1598" t="s">
        <v>1580</v>
      </c>
      <c r="B5" s="1599">
        <v>2000</v>
      </c>
      <c r="C5" s="1765">
        <f>'Revenues 9-14'!C114</f>
        <v>2409390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7173887</v>
      </c>
      <c r="D6" s="1765">
        <f>'Revenues 9-14'!D173</f>
        <v>0</v>
      </c>
      <c r="E6" s="1765">
        <f>'Revenues 9-14'!E173</f>
        <v>0</v>
      </c>
      <c r="F6" s="1765">
        <f>'Revenues 9-14'!F173</f>
        <v>479000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947485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20725009</v>
      </c>
      <c r="D8" s="1710">
        <f t="shared" ref="D8:K8" si="0">SUM(D4:D7)</f>
        <v>1918242</v>
      </c>
      <c r="E8" s="1710">
        <f t="shared" si="0"/>
        <v>4080777</v>
      </c>
      <c r="F8" s="1710">
        <f t="shared" si="0"/>
        <v>1052110</v>
      </c>
      <c r="G8" s="1710">
        <f t="shared" si="0"/>
        <v>652481</v>
      </c>
      <c r="H8" s="1710">
        <f t="shared" si="0"/>
        <v>366</v>
      </c>
      <c r="I8" s="1710">
        <f t="shared" si="0"/>
        <v>15167</v>
      </c>
      <c r="J8" s="1710">
        <f t="shared" si="0"/>
        <v>297836</v>
      </c>
      <c r="K8" s="1710">
        <f t="shared" si="0"/>
        <v>51634</v>
      </c>
      <c r="L8" s="347"/>
    </row>
    <row r="9" spans="1:13" ht="15.75" thickTop="1" x14ac:dyDescent="0.2">
      <c r="A9" s="514" t="s">
        <v>1752</v>
      </c>
      <c r="B9" s="515">
        <v>3998</v>
      </c>
      <c r="C9" s="481">
        <v>6763443</v>
      </c>
      <c r="D9" s="516"/>
      <c r="E9" s="481"/>
      <c r="F9" s="481"/>
      <c r="G9" s="517"/>
      <c r="H9" s="481"/>
      <c r="I9" s="509" t="s">
        <v>1231</v>
      </c>
      <c r="J9" s="478"/>
      <c r="K9" s="481"/>
      <c r="L9" s="347"/>
    </row>
    <row r="10" spans="1:13" s="519" customFormat="1" ht="13.5" thickBot="1" x14ac:dyDescent="0.25">
      <c r="A10" s="1758" t="s">
        <v>1235</v>
      </c>
      <c r="B10" s="1731"/>
      <c r="C10" s="1710">
        <f>SUM(C8:C9)</f>
        <v>27488452</v>
      </c>
      <c r="D10" s="1710">
        <f t="shared" ref="D10:K10" si="1">SUM(D8:D9)</f>
        <v>1918242</v>
      </c>
      <c r="E10" s="1710">
        <f t="shared" si="1"/>
        <v>4080777</v>
      </c>
      <c r="F10" s="1710">
        <f t="shared" si="1"/>
        <v>1052110</v>
      </c>
      <c r="G10" s="1710">
        <f t="shared" si="1"/>
        <v>652481</v>
      </c>
      <c r="H10" s="1710">
        <f t="shared" si="1"/>
        <v>366</v>
      </c>
      <c r="I10" s="1710">
        <f t="shared" si="1"/>
        <v>15167</v>
      </c>
      <c r="J10" s="1710">
        <f t="shared" si="1"/>
        <v>297836</v>
      </c>
      <c r="K10" s="1710">
        <f t="shared" si="1"/>
        <v>51634</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4">
        <f>'Expenditures 15-22'!K33</f>
        <v>9941989</v>
      </c>
      <c r="D12" s="520" t="s">
        <v>1231</v>
      </c>
      <c r="E12" s="468" t="s">
        <v>1231</v>
      </c>
      <c r="F12" s="468" t="s">
        <v>1231</v>
      </c>
      <c r="G12" s="1764">
        <f>'Expenditures 15-22'!K229</f>
        <v>165066</v>
      </c>
      <c r="H12" s="521"/>
      <c r="I12" s="468" t="s">
        <v>1231</v>
      </c>
      <c r="J12" s="468" t="s">
        <v>1231</v>
      </c>
      <c r="K12" s="521" t="s">
        <v>1231</v>
      </c>
      <c r="L12" s="347"/>
    </row>
    <row r="13" spans="1:13" ht="15.75" customHeight="1" x14ac:dyDescent="0.2">
      <c r="A13" s="1598" t="s">
        <v>477</v>
      </c>
      <c r="B13" s="1600">
        <v>2000</v>
      </c>
      <c r="C13" s="1765">
        <f>'Expenditures 15-22'!K74</f>
        <v>4484199</v>
      </c>
      <c r="D13" s="1765">
        <f>'Expenditures 15-22'!K129</f>
        <v>1762589</v>
      </c>
      <c r="E13" s="469" t="s">
        <v>1231</v>
      </c>
      <c r="F13" s="1765">
        <f>'Expenditures 15-22'!K184</f>
        <v>973753</v>
      </c>
      <c r="G13" s="1765">
        <f>'Expenditures 15-22'!K279</f>
        <v>355738</v>
      </c>
      <c r="H13" s="1765">
        <f>'Expenditures 15-22'!K303</f>
        <v>3800</v>
      </c>
      <c r="I13" s="468" t="s">
        <v>1231</v>
      </c>
      <c r="J13" s="1765">
        <f>'Expenditures 15-22'!K330</f>
        <v>363660</v>
      </c>
      <c r="K13" s="1769">
        <f>'Expenditures 15-22'!K352</f>
        <v>0</v>
      </c>
      <c r="L13" s="347"/>
    </row>
    <row r="14" spans="1:13" ht="15.75" customHeight="1" x14ac:dyDescent="0.2">
      <c r="A14" s="1598" t="s">
        <v>469</v>
      </c>
      <c r="B14" s="1600">
        <v>3000</v>
      </c>
      <c r="C14" s="1765">
        <f>'Expenditures 15-22'!K75</f>
        <v>1193</v>
      </c>
      <c r="D14" s="1765">
        <f>'Expenditures 15-22'!K130</f>
        <v>0</v>
      </c>
      <c r="E14" s="520" t="s">
        <v>1231</v>
      </c>
      <c r="F14" s="1765">
        <f>'Expenditures 15-22'!K185</f>
        <v>0</v>
      </c>
      <c r="G14" s="1765">
        <f>'Expenditures 15-22'!K280</f>
        <v>7</v>
      </c>
      <c r="H14" s="512"/>
      <c r="I14" s="468" t="s">
        <v>1231</v>
      </c>
      <c r="J14" s="468" t="s">
        <v>1231</v>
      </c>
      <c r="K14" s="512" t="s">
        <v>1231</v>
      </c>
      <c r="L14" s="347"/>
    </row>
    <row r="15" spans="1:13" ht="15.75" customHeight="1" x14ac:dyDescent="0.2">
      <c r="A15" s="1598" t="s">
        <v>109</v>
      </c>
      <c r="B15" s="1600">
        <v>4000</v>
      </c>
      <c r="C15" s="1765">
        <f>'Expenditures 15-22'!K102</f>
        <v>812980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4101763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15240361</v>
      </c>
      <c r="D17" s="1710">
        <f t="shared" si="2"/>
        <v>1762589</v>
      </c>
      <c r="E17" s="1710">
        <f t="shared" si="2"/>
        <v>4101763</v>
      </c>
      <c r="F17" s="1710">
        <f t="shared" si="2"/>
        <v>973753</v>
      </c>
      <c r="G17" s="1710">
        <f t="shared" si="2"/>
        <v>520811</v>
      </c>
      <c r="H17" s="1710">
        <f t="shared" si="2"/>
        <v>3800</v>
      </c>
      <c r="I17" s="468"/>
      <c r="J17" s="1710">
        <f>SUM(J12:J16)</f>
        <v>363660</v>
      </c>
      <c r="K17" s="1710">
        <f>SUM(K12:K16)</f>
        <v>0</v>
      </c>
      <c r="L17" s="347"/>
    </row>
    <row r="18" spans="1:12" ht="15" customHeight="1" thickTop="1" x14ac:dyDescent="0.2">
      <c r="A18" s="1766" t="s">
        <v>1753</v>
      </c>
      <c r="B18" s="1767">
        <v>4180</v>
      </c>
      <c r="C18" s="1764">
        <f t="shared" ref="C18:H18" si="3">C9</f>
        <v>6763443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22003804</v>
      </c>
      <c r="D19" s="1710">
        <f t="shared" si="4"/>
        <v>1762589</v>
      </c>
      <c r="E19" s="1710">
        <f t="shared" si="4"/>
        <v>4101763</v>
      </c>
      <c r="F19" s="1710">
        <f t="shared" si="4"/>
        <v>973753</v>
      </c>
      <c r="G19" s="1710">
        <f t="shared" si="4"/>
        <v>520811</v>
      </c>
      <c r="H19" s="1710">
        <f t="shared" si="4"/>
        <v>3800</v>
      </c>
      <c r="I19" s="468"/>
      <c r="J19" s="1710">
        <f>SUM(J17:J18)</f>
        <v>363660</v>
      </c>
      <c r="K19" s="1710">
        <f>SUM(K17:K18)</f>
        <v>0</v>
      </c>
      <c r="L19" s="347"/>
    </row>
    <row r="20" spans="1:12" ht="16.5" thickTop="1" thickBot="1" x14ac:dyDescent="0.25">
      <c r="A20" s="2148" t="s">
        <v>1754</v>
      </c>
      <c r="B20" s="2149"/>
      <c r="C20" s="1768">
        <f>C8-C17</f>
        <v>5484648</v>
      </c>
      <c r="D20" s="1768">
        <f t="shared" ref="D20:K20" si="5">D8-D17</f>
        <v>155653</v>
      </c>
      <c r="E20" s="1768">
        <f t="shared" si="5"/>
        <v>-20986</v>
      </c>
      <c r="F20" s="1768">
        <f t="shared" si="5"/>
        <v>78357</v>
      </c>
      <c r="G20" s="1768">
        <f t="shared" si="5"/>
        <v>131670</v>
      </c>
      <c r="H20" s="1768">
        <f t="shared" si="5"/>
        <v>-3434</v>
      </c>
      <c r="I20" s="1768">
        <f t="shared" si="5"/>
        <v>15167</v>
      </c>
      <c r="J20" s="1768">
        <f t="shared" si="5"/>
        <v>-65824</v>
      </c>
      <c r="K20" s="1768">
        <f t="shared" si="5"/>
        <v>51634</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3999319</v>
      </c>
      <c r="D75" s="531"/>
      <c r="E75" s="530"/>
      <c r="F75" s="532"/>
      <c r="G75" s="532"/>
      <c r="H75" s="532"/>
      <c r="I75" s="530"/>
      <c r="J75" s="530"/>
      <c r="K75" s="532"/>
      <c r="L75" s="524"/>
    </row>
    <row r="76" spans="1:12" s="485" customFormat="1" ht="14.25" thickTop="1" thickBot="1" x14ac:dyDescent="0.25">
      <c r="A76" s="2168" t="s">
        <v>460</v>
      </c>
      <c r="B76" s="2169"/>
      <c r="C76" s="1725">
        <f t="shared" ref="C76:K76" si="7">SUM(C47:C75)</f>
        <v>3999319</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70" t="s">
        <v>1239</v>
      </c>
      <c r="B77" s="2171"/>
      <c r="C77" s="1725">
        <f t="shared" ref="C77:K77" si="8">C44-C76</f>
        <v>-3999319</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1485329</v>
      </c>
      <c r="D78" s="1724">
        <f t="shared" si="9"/>
        <v>155653</v>
      </c>
      <c r="E78" s="1724">
        <f t="shared" si="9"/>
        <v>-20986</v>
      </c>
      <c r="F78" s="1724">
        <f t="shared" si="9"/>
        <v>78357</v>
      </c>
      <c r="G78" s="1724">
        <f t="shared" si="9"/>
        <v>131670</v>
      </c>
      <c r="H78" s="1724">
        <f t="shared" si="9"/>
        <v>-3434</v>
      </c>
      <c r="I78" s="1724">
        <f t="shared" si="9"/>
        <v>15167</v>
      </c>
      <c r="J78" s="1724">
        <f t="shared" si="9"/>
        <v>-65824</v>
      </c>
      <c r="K78" s="1724">
        <f t="shared" si="9"/>
        <v>51634</v>
      </c>
      <c r="L78" s="533"/>
    </row>
    <row r="79" spans="1:12" ht="13.5" thickTop="1" x14ac:dyDescent="0.2">
      <c r="A79" s="1516" t="s">
        <v>2070</v>
      </c>
      <c r="B79" s="534"/>
      <c r="C79" s="478">
        <v>10746078</v>
      </c>
      <c r="D79" s="535">
        <v>3564175</v>
      </c>
      <c r="E79" s="535">
        <v>156106</v>
      </c>
      <c r="F79" s="535">
        <v>424654</v>
      </c>
      <c r="G79" s="535">
        <v>579592</v>
      </c>
      <c r="H79" s="535">
        <v>260809</v>
      </c>
      <c r="I79" s="535">
        <v>2206876</v>
      </c>
      <c r="J79" s="535">
        <v>531511</v>
      </c>
      <c r="K79" s="535">
        <v>135118</v>
      </c>
      <c r="L79" s="347"/>
    </row>
    <row r="80" spans="1:12" x14ac:dyDescent="0.2">
      <c r="A80" s="2150" t="s">
        <v>1895</v>
      </c>
      <c r="B80" s="2151"/>
      <c r="C80" s="467"/>
      <c r="D80" s="467"/>
      <c r="E80" s="467"/>
      <c r="F80" s="467"/>
      <c r="G80" s="467"/>
      <c r="H80" s="467"/>
      <c r="I80" s="467"/>
      <c r="J80" s="467"/>
      <c r="K80" s="467"/>
      <c r="L80" s="347"/>
    </row>
    <row r="81" spans="1:12" ht="13.5" thickBot="1" x14ac:dyDescent="0.25">
      <c r="A81" s="2142" t="s">
        <v>2071</v>
      </c>
      <c r="B81" s="2143"/>
      <c r="C81" s="1710">
        <f>(SUM(C78:C80))</f>
        <v>12231407</v>
      </c>
      <c r="D81" s="1710">
        <f>SUM(D78:D80)</f>
        <v>3719828</v>
      </c>
      <c r="E81" s="1710">
        <f t="shared" ref="E81:K81" si="10">SUM(E78:E80)</f>
        <v>135120</v>
      </c>
      <c r="F81" s="1710">
        <f t="shared" si="10"/>
        <v>503011</v>
      </c>
      <c r="G81" s="1710">
        <f t="shared" si="10"/>
        <v>711262</v>
      </c>
      <c r="H81" s="1710">
        <f t="shared" si="10"/>
        <v>257375</v>
      </c>
      <c r="I81" s="1710">
        <f t="shared" si="10"/>
        <v>2222043</v>
      </c>
      <c r="J81" s="1710">
        <f t="shared" si="10"/>
        <v>465687</v>
      </c>
      <c r="K81" s="1710">
        <f t="shared" si="10"/>
        <v>186752</v>
      </c>
      <c r="L81" s="347"/>
    </row>
    <row r="82" spans="1:12" ht="0.75" customHeight="1" thickTop="1" thickBot="1" x14ac:dyDescent="0.25">
      <c r="A82" s="536" t="s">
        <v>361</v>
      </c>
      <c r="B82" s="537"/>
      <c r="C82" s="538">
        <f>(C81-C79)</f>
        <v>1485329</v>
      </c>
      <c r="D82" s="538">
        <f t="shared" ref="D82:K82" si="11">(D81-D79)</f>
        <v>155653</v>
      </c>
      <c r="E82" s="538">
        <f t="shared" si="11"/>
        <v>-20986</v>
      </c>
      <c r="F82" s="538">
        <f t="shared" si="11"/>
        <v>78357</v>
      </c>
      <c r="G82" s="538">
        <f t="shared" si="11"/>
        <v>131670</v>
      </c>
      <c r="H82" s="538">
        <f t="shared" si="11"/>
        <v>-3434</v>
      </c>
      <c r="I82" s="538">
        <f t="shared" si="11"/>
        <v>15167</v>
      </c>
      <c r="J82" s="538">
        <f t="shared" si="11"/>
        <v>-65824</v>
      </c>
      <c r="K82" s="538">
        <f t="shared" si="11"/>
        <v>51634</v>
      </c>
    </row>
    <row r="83" spans="1:12" ht="14.25" hidden="1" thickTop="1" thickBot="1" x14ac:dyDescent="0.25">
      <c r="A83" s="539" t="s">
        <v>362</v>
      </c>
      <c r="B83" s="464"/>
      <c r="C83" s="540">
        <f>C82/C81</f>
        <v>0.12143566149012947</v>
      </c>
      <c r="D83" s="540">
        <f t="shared" ref="D83:K83" si="12">D82/D81</f>
        <v>4.1844139030084188E-2</v>
      </c>
      <c r="E83" s="540">
        <f t="shared" si="12"/>
        <v>-0.15531379514505625</v>
      </c>
      <c r="F83" s="540">
        <f t="shared" si="12"/>
        <v>0.15577591742526506</v>
      </c>
      <c r="G83" s="540">
        <f t="shared" si="12"/>
        <v>0.18512165699840566</v>
      </c>
      <c r="H83" s="540">
        <f t="shared" si="12"/>
        <v>-1.334239922292375E-2</v>
      </c>
      <c r="I83" s="540">
        <f t="shared" si="12"/>
        <v>6.8257004927447396E-3</v>
      </c>
      <c r="J83" s="540">
        <f t="shared" si="12"/>
        <v>-0.14134815874181586</v>
      </c>
      <c r="K83" s="540">
        <f t="shared" si="12"/>
        <v>0.27648432145305002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1902</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8605731</v>
      </c>
      <c r="D5" s="481">
        <v>1658042</v>
      </c>
      <c r="E5" s="466">
        <v>4071260</v>
      </c>
      <c r="F5" s="548">
        <v>562857</v>
      </c>
      <c r="G5" s="466">
        <v>239858</v>
      </c>
      <c r="H5" s="466">
        <v>0</v>
      </c>
      <c r="I5" s="466">
        <v>5196</v>
      </c>
      <c r="J5" s="467">
        <v>283864</v>
      </c>
      <c r="K5" s="466">
        <v>49350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536626</v>
      </c>
      <c r="D7" s="466"/>
      <c r="E7" s="468"/>
      <c r="F7" s="467"/>
      <c r="G7" s="467"/>
      <c r="H7" s="467"/>
      <c r="I7" s="468"/>
      <c r="J7" s="468"/>
      <c r="K7" s="468"/>
    </row>
    <row r="8" spans="1:12" x14ac:dyDescent="0.2">
      <c r="A8" s="463" t="s">
        <v>433</v>
      </c>
      <c r="B8" s="470">
        <v>1150</v>
      </c>
      <c r="C8" s="475"/>
      <c r="D8" s="475"/>
      <c r="E8" s="477"/>
      <c r="F8" s="477"/>
      <c r="G8" s="481">
        <v>391635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9142357</v>
      </c>
      <c r="D12" s="1729">
        <f t="shared" si="0"/>
        <v>1658042</v>
      </c>
      <c r="E12" s="1729">
        <f t="shared" si="0"/>
        <v>4071260</v>
      </c>
      <c r="F12" s="1729">
        <f t="shared" si="0"/>
        <v>562857</v>
      </c>
      <c r="G12" s="1729">
        <f t="shared" si="0"/>
        <v>631493</v>
      </c>
      <c r="H12" s="1729">
        <f t="shared" si="0"/>
        <v>0</v>
      </c>
      <c r="I12" s="1729">
        <f t="shared" si="0"/>
        <v>5196</v>
      </c>
      <c r="J12" s="1729">
        <f t="shared" si="0"/>
        <v>283864</v>
      </c>
      <c r="K12" s="1710">
        <f t="shared" si="0"/>
        <v>49350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101569</v>
      </c>
      <c r="D16" s="466">
        <v>32192</v>
      </c>
      <c r="E16" s="466"/>
      <c r="F16" s="466"/>
      <c r="G16" s="466">
        <v>17420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101569</v>
      </c>
      <c r="D18" s="1732">
        <f t="shared" ref="D18:K18" si="1">SUM(D14:D17)</f>
        <v>32192</v>
      </c>
      <c r="E18" s="1732">
        <f t="shared" si="1"/>
        <v>0</v>
      </c>
      <c r="F18" s="1732">
        <f t="shared" si="1"/>
        <v>0</v>
      </c>
      <c r="G18" s="1732">
        <f t="shared" si="1"/>
        <v>17420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v>6080</v>
      </c>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272930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279010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33613</v>
      </c>
      <c r="D65" s="466">
        <v>18007</v>
      </c>
      <c r="E65" s="466">
        <v>9517</v>
      </c>
      <c r="F65" s="467">
        <v>10253</v>
      </c>
      <c r="G65" s="466">
        <v>3568</v>
      </c>
      <c r="H65" s="466">
        <v>366</v>
      </c>
      <c r="I65" s="466">
        <v>9971</v>
      </c>
      <c r="J65" s="467">
        <v>13972</v>
      </c>
      <c r="K65" s="466">
        <v>2284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33613</v>
      </c>
      <c r="D67" s="1710">
        <f t="shared" ref="D67:K67" si="2">SUM(D65:D66)</f>
        <v>18007</v>
      </c>
      <c r="E67" s="1710">
        <f t="shared" si="2"/>
        <v>9517</v>
      </c>
      <c r="F67" s="1710">
        <f t="shared" si="2"/>
        <v>10253</v>
      </c>
      <c r="G67" s="1710">
        <f t="shared" si="2"/>
        <v>3568</v>
      </c>
      <c r="H67" s="1710">
        <f t="shared" si="2"/>
        <v>366</v>
      </c>
      <c r="I67" s="1710">
        <f t="shared" si="2"/>
        <v>9971</v>
      </c>
      <c r="J67" s="1710">
        <f t="shared" si="2"/>
        <v>13972</v>
      </c>
      <c r="K67" s="1710">
        <f t="shared" si="2"/>
        <v>2284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296361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296361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17050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61031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2204</v>
      </c>
      <c r="D81" s="466"/>
      <c r="E81" s="468"/>
      <c r="F81" s="468"/>
      <c r="G81" s="468"/>
      <c r="H81" s="468"/>
      <c r="I81" s="468"/>
      <c r="J81" s="468"/>
      <c r="K81" s="468"/>
    </row>
    <row r="82" spans="1:11" ht="12.75" customHeight="1" thickBot="1" x14ac:dyDescent="0.25">
      <c r="A82" s="1730" t="s">
        <v>259</v>
      </c>
      <c r="B82" s="1731"/>
      <c r="C82" s="1729">
        <f>SUM(C77:C81)</f>
        <v>80285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173468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173468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37714</v>
      </c>
      <c r="E95" s="521"/>
      <c r="F95" s="521"/>
      <c r="G95" s="521"/>
      <c r="H95" s="521"/>
      <c r="I95" s="521"/>
      <c r="J95" s="521"/>
      <c r="K95" s="521"/>
    </row>
    <row r="96" spans="1:11" ht="12.75" customHeight="1" x14ac:dyDescent="0.2">
      <c r="A96" s="463" t="s">
        <v>409</v>
      </c>
      <c r="B96" s="470">
        <v>1920</v>
      </c>
      <c r="C96" s="551">
        <v>22369</v>
      </c>
      <c r="D96" s="551">
        <v>30000</v>
      </c>
      <c r="E96" s="479"/>
      <c r="F96" s="478"/>
      <c r="G96" s="478"/>
      <c r="H96" s="478"/>
      <c r="I96" s="478"/>
      <c r="J96" s="478"/>
      <c r="K96" s="478"/>
    </row>
    <row r="97" spans="1:12" ht="12.75" customHeight="1" x14ac:dyDescent="0.2">
      <c r="A97" s="1517" t="s">
        <v>262</v>
      </c>
      <c r="B97" s="559">
        <v>1930</v>
      </c>
      <c r="C97" s="489"/>
      <c r="D97" s="467">
        <v>43279</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17769</v>
      </c>
      <c r="D99" s="466"/>
      <c r="E99" s="466"/>
      <c r="F99" s="466"/>
      <c r="G99" s="466"/>
      <c r="H99" s="466"/>
      <c r="I99" s="468"/>
      <c r="J99" s="467"/>
      <c r="K99" s="466"/>
    </row>
    <row r="100" spans="1:12" ht="12.75" customHeight="1" x14ac:dyDescent="0.2">
      <c r="A100" s="463" t="s">
        <v>263</v>
      </c>
      <c r="B100" s="470">
        <v>1960</v>
      </c>
      <c r="C100" s="489"/>
      <c r="D100" s="489">
        <v>98404</v>
      </c>
      <c r="E100" s="489"/>
      <c r="F100" s="489"/>
      <c r="G100" s="489"/>
      <c r="H100" s="489"/>
      <c r="I100" s="467"/>
      <c r="J100" s="489"/>
      <c r="K100" s="467"/>
    </row>
    <row r="101" spans="1:12" ht="12.75" customHeight="1" x14ac:dyDescent="0.2">
      <c r="A101" s="463" t="s">
        <v>264</v>
      </c>
      <c r="B101" s="470">
        <v>1970</v>
      </c>
      <c r="C101" s="489">
        <v>25235</v>
      </c>
      <c r="D101" s="526"/>
      <c r="E101" s="480"/>
      <c r="F101" s="526"/>
      <c r="G101" s="475"/>
      <c r="H101" s="526"/>
      <c r="I101" s="468"/>
      <c r="J101" s="475"/>
      <c r="K101" s="475"/>
    </row>
    <row r="102" spans="1:12" ht="12.75" customHeight="1" x14ac:dyDescent="0.2">
      <c r="A102" s="463" t="s">
        <v>265</v>
      </c>
      <c r="B102" s="470">
        <v>1980</v>
      </c>
      <c r="C102" s="489">
        <v>18960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3251</v>
      </c>
      <c r="D107" s="466">
        <v>604</v>
      </c>
      <c r="E107" s="466"/>
      <c r="F107" s="466"/>
      <c r="G107" s="466"/>
      <c r="H107" s="466"/>
      <c r="I107" s="466"/>
      <c r="J107" s="467"/>
      <c r="K107" s="466"/>
    </row>
    <row r="108" spans="1:12" ht="12.75" customHeight="1" thickBot="1" x14ac:dyDescent="0.25">
      <c r="A108" s="1730" t="s">
        <v>508</v>
      </c>
      <c r="B108" s="1734"/>
      <c r="C108" s="1729">
        <f>SUM(C95:C107)</f>
        <v>87584</v>
      </c>
      <c r="D108" s="1729">
        <f t="shared" ref="D108:K108" si="3">SUM(D95:D107)</f>
        <v>210001</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10194247</v>
      </c>
      <c r="D109" s="1737">
        <f t="shared" si="4"/>
        <v>1918242</v>
      </c>
      <c r="E109" s="1737">
        <f t="shared" si="4"/>
        <v>4080777</v>
      </c>
      <c r="F109" s="1737">
        <f t="shared" si="4"/>
        <v>573110</v>
      </c>
      <c r="G109" s="1737">
        <f t="shared" si="4"/>
        <v>652481</v>
      </c>
      <c r="H109" s="1737">
        <f t="shared" si="4"/>
        <v>366</v>
      </c>
      <c r="I109" s="1737">
        <f t="shared" si="4"/>
        <v>15167</v>
      </c>
      <c r="J109" s="1737">
        <f t="shared" si="4"/>
        <v>297836</v>
      </c>
      <c r="K109" s="1724">
        <f t="shared" si="4"/>
        <v>51634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2409390</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2409390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4962279</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4962279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563914</v>
      </c>
      <c r="D124" s="561"/>
      <c r="E124" s="468"/>
      <c r="F124" s="548"/>
      <c r="G124" s="468"/>
      <c r="H124" s="468"/>
      <c r="I124" s="468"/>
      <c r="J124" s="468"/>
      <c r="K124" s="468"/>
    </row>
    <row r="125" spans="1:11" ht="12.75" customHeight="1" x14ac:dyDescent="0.2">
      <c r="A125" s="463" t="s">
        <v>1521</v>
      </c>
      <c r="B125" s="562">
        <v>3105</v>
      </c>
      <c r="C125" s="466">
        <v>127514</v>
      </c>
      <c r="D125" s="561"/>
      <c r="E125" s="468"/>
      <c r="F125" s="466"/>
      <c r="G125" s="468"/>
      <c r="H125" s="468"/>
      <c r="I125" s="468"/>
      <c r="J125" s="468"/>
      <c r="K125" s="468"/>
    </row>
    <row r="126" spans="1:11" ht="12.75" customHeight="1" x14ac:dyDescent="0.2">
      <c r="A126" s="463" t="s">
        <v>922</v>
      </c>
      <c r="B126" s="562">
        <v>3110</v>
      </c>
      <c r="C126" s="551">
        <v>209533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v>967075</v>
      </c>
      <c r="D128" s="561"/>
      <c r="E128" s="468"/>
      <c r="F128" s="466"/>
      <c r="G128" s="468"/>
      <c r="H128" s="468"/>
      <c r="I128" s="468"/>
      <c r="J128" s="468"/>
      <c r="K128" s="468"/>
    </row>
    <row r="129" spans="1:11" ht="12.75" customHeight="1" x14ac:dyDescent="0.2">
      <c r="A129" s="463" t="s">
        <v>139</v>
      </c>
      <c r="B129" s="562">
        <v>3145</v>
      </c>
      <c r="C129" s="466">
        <v>3692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1871728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3419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3419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3183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28992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228319</v>
      </c>
      <c r="G151" s="467"/>
      <c r="H151" s="468"/>
      <c r="I151" s="468"/>
      <c r="J151" s="468"/>
      <c r="K151" s="468"/>
    </row>
    <row r="152" spans="1:11" ht="12.75" customHeight="1" x14ac:dyDescent="0.2">
      <c r="A152" s="463" t="s">
        <v>1117</v>
      </c>
      <c r="B152" s="562">
        <v>3510</v>
      </c>
      <c r="C152" s="551"/>
      <c r="D152" s="466"/>
      <c r="E152" s="561"/>
      <c r="F152" s="466">
        <v>250681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479000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301582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2704</v>
      </c>
      <c r="D171" s="580"/>
      <c r="E171" s="580"/>
      <c r="F171" s="580"/>
      <c r="G171" s="581"/>
      <c r="H171" s="582"/>
      <c r="I171" s="581"/>
      <c r="J171" s="581"/>
      <c r="K171" s="582"/>
    </row>
    <row r="172" spans="1:11" ht="12.75" customHeight="1" thickTop="1" thickBot="1" x14ac:dyDescent="0.25">
      <c r="A172" s="2172" t="s">
        <v>418</v>
      </c>
      <c r="B172" s="2173"/>
      <c r="C172" s="1744">
        <f t="shared" ref="C172:K172" si="6">SUM(C131,C140,C144,C145:C149,C154,C155:C170,C171)</f>
        <v>2211608</v>
      </c>
      <c r="D172" s="1744">
        <f t="shared" si="6"/>
        <v>0</v>
      </c>
      <c r="E172" s="1744">
        <f t="shared" si="6"/>
        <v>0</v>
      </c>
      <c r="F172" s="1744">
        <f t="shared" si="6"/>
        <v>479000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7173887</v>
      </c>
      <c r="D173" s="1737">
        <f>SUM(D121,D172)</f>
        <v>0</v>
      </c>
      <c r="E173" s="1737">
        <f>SUM(E121,E172)</f>
        <v>0</v>
      </c>
      <c r="F173" s="1737">
        <f t="shared" ref="F173:K173" si="7">SUM(F121,F172)</f>
        <v>479000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0" t="s">
        <v>818</v>
      </c>
      <c r="B184" s="218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6" t="s">
        <v>1903</v>
      </c>
      <c r="B185" s="217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221573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221573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151954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151954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6950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6950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8134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404984</v>
      </c>
      <c r="D220" s="466"/>
      <c r="E220" s="468"/>
      <c r="F220" s="466"/>
      <c r="G220" s="466"/>
      <c r="H220" s="468"/>
      <c r="I220" s="468"/>
      <c r="J220" s="468"/>
      <c r="K220" s="468"/>
    </row>
    <row r="221" spans="1:11" ht="12.75" customHeight="1" x14ac:dyDescent="0.2">
      <c r="A221" s="463" t="s">
        <v>1114</v>
      </c>
      <c r="B221" s="470">
        <v>4625</v>
      </c>
      <c r="C221" s="551">
        <v>2199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415317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34273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57148</v>
      </c>
      <c r="D270" s="576"/>
      <c r="E270" s="468"/>
      <c r="F270" s="576"/>
      <c r="G270" s="576"/>
      <c r="H270" s="468"/>
      <c r="I270" s="468"/>
      <c r="J270" s="468"/>
      <c r="K270" s="468"/>
    </row>
    <row r="271" spans="1:11" ht="12.75" customHeight="1" thickTop="1" thickBot="1" x14ac:dyDescent="0.25">
      <c r="A271" s="463" t="s">
        <v>395</v>
      </c>
      <c r="B271" s="470">
        <v>4992</v>
      </c>
      <c r="C271" s="575">
        <v>29574</v>
      </c>
      <c r="D271" s="576"/>
      <c r="E271" s="468"/>
      <c r="F271" s="576"/>
      <c r="G271" s="576"/>
      <c r="H271" s="468"/>
      <c r="I271" s="468"/>
      <c r="J271" s="468"/>
      <c r="K271" s="468"/>
    </row>
    <row r="272" spans="1:11" s="594" customFormat="1" ht="12.75" customHeight="1" thickTop="1" thickBot="1" x14ac:dyDescent="0.25">
      <c r="A272" s="563" t="s">
        <v>77</v>
      </c>
      <c r="B272" s="557">
        <v>4999</v>
      </c>
      <c r="C272" s="575">
        <v>30696</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947485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947485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20725009</v>
      </c>
      <c r="D275" s="1737">
        <f t="shared" si="12"/>
        <v>1918242</v>
      </c>
      <c r="E275" s="1737">
        <f t="shared" si="12"/>
        <v>4080777</v>
      </c>
      <c r="F275" s="1737">
        <f t="shared" si="12"/>
        <v>1052110</v>
      </c>
      <c r="G275" s="1737">
        <f t="shared" si="12"/>
        <v>652481</v>
      </c>
      <c r="H275" s="1737">
        <f t="shared" si="12"/>
        <v>366</v>
      </c>
      <c r="I275" s="1737">
        <f t="shared" si="12"/>
        <v>15167</v>
      </c>
      <c r="J275" s="1737">
        <f t="shared" si="12"/>
        <v>297836</v>
      </c>
      <c r="K275" s="1724">
        <f t="shared" si="12"/>
        <v>51634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5"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4921938</v>
      </c>
      <c r="D5" s="466">
        <v>1343543</v>
      </c>
      <c r="E5" s="466">
        <v>72275</v>
      </c>
      <c r="F5" s="466">
        <v>114359</v>
      </c>
      <c r="G5" s="466">
        <v>16108</v>
      </c>
      <c r="H5" s="466">
        <v>780</v>
      </c>
      <c r="I5" s="467"/>
      <c r="J5" s="467"/>
      <c r="K5" s="1693">
        <f>SUM(C5:J5)</f>
        <v>6469003</v>
      </c>
      <c r="L5" s="466">
        <v>6615604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112335</v>
      </c>
      <c r="D7" s="467">
        <v>41868</v>
      </c>
      <c r="E7" s="467">
        <v>391</v>
      </c>
      <c r="F7" s="467">
        <v>7512</v>
      </c>
      <c r="G7" s="467"/>
      <c r="H7" s="467"/>
      <c r="I7" s="467"/>
      <c r="J7" s="467"/>
      <c r="K7" s="1693">
        <f t="shared" ref="K7:K32" si="0">SUM(C7:J7)</f>
        <v>162106</v>
      </c>
      <c r="L7" s="466">
        <v>165698</v>
      </c>
    </row>
    <row r="8" spans="1:14" x14ac:dyDescent="0.2">
      <c r="A8" s="1526" t="s">
        <v>166</v>
      </c>
      <c r="B8" s="615">
        <v>1200</v>
      </c>
      <c r="C8" s="466">
        <v>1513597</v>
      </c>
      <c r="D8" s="466">
        <v>387111</v>
      </c>
      <c r="E8" s="466">
        <v>22028</v>
      </c>
      <c r="F8" s="466">
        <v>100662</v>
      </c>
      <c r="G8" s="466">
        <v>3218</v>
      </c>
      <c r="H8" s="466">
        <v>1639</v>
      </c>
      <c r="I8" s="467"/>
      <c r="J8" s="467"/>
      <c r="K8" s="1693">
        <f t="shared" si="0"/>
        <v>2028255</v>
      </c>
      <c r="L8" s="466">
        <v>2084844</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56983</v>
      </c>
      <c r="D10" s="466">
        <v>9320</v>
      </c>
      <c r="E10" s="466"/>
      <c r="F10" s="466">
        <v>77317</v>
      </c>
      <c r="G10" s="466">
        <v>30807</v>
      </c>
      <c r="H10" s="466"/>
      <c r="I10" s="467"/>
      <c r="J10" s="467"/>
      <c r="K10" s="1693">
        <f t="shared" si="0"/>
        <v>174427</v>
      </c>
      <c r="L10" s="466">
        <v>180704</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191245</v>
      </c>
      <c r="D13" s="466">
        <v>45358</v>
      </c>
      <c r="E13" s="466">
        <v>8725</v>
      </c>
      <c r="F13" s="466">
        <v>15214</v>
      </c>
      <c r="G13" s="466"/>
      <c r="H13" s="466">
        <v>92329</v>
      </c>
      <c r="I13" s="467"/>
      <c r="J13" s="467"/>
      <c r="K13" s="1693">
        <f t="shared" si="0"/>
        <v>352871</v>
      </c>
      <c r="L13" s="466">
        <v>398748</v>
      </c>
    </row>
    <row r="14" spans="1:14" x14ac:dyDescent="0.2">
      <c r="A14" s="1526" t="s">
        <v>1020</v>
      </c>
      <c r="B14" s="615">
        <v>1500</v>
      </c>
      <c r="C14" s="466">
        <v>403048</v>
      </c>
      <c r="D14" s="466">
        <v>65258</v>
      </c>
      <c r="E14" s="466">
        <v>100907</v>
      </c>
      <c r="F14" s="466">
        <v>51884</v>
      </c>
      <c r="G14" s="466">
        <v>5488</v>
      </c>
      <c r="H14" s="466">
        <v>20556</v>
      </c>
      <c r="I14" s="467"/>
      <c r="J14" s="467"/>
      <c r="K14" s="1693">
        <f t="shared" si="0"/>
        <v>647141</v>
      </c>
      <c r="L14" s="466">
        <v>682131</v>
      </c>
    </row>
    <row r="15" spans="1:14" x14ac:dyDescent="0.2">
      <c r="A15" s="1526" t="s">
        <v>1021</v>
      </c>
      <c r="B15" s="615">
        <v>1600</v>
      </c>
      <c r="C15" s="466">
        <v>24561</v>
      </c>
      <c r="D15" s="466">
        <v>1846</v>
      </c>
      <c r="E15" s="466"/>
      <c r="F15" s="466">
        <v>392</v>
      </c>
      <c r="G15" s="466"/>
      <c r="H15" s="466"/>
      <c r="I15" s="467"/>
      <c r="J15" s="467"/>
      <c r="K15" s="1693">
        <f t="shared" si="0"/>
        <v>26799</v>
      </c>
      <c r="L15" s="466">
        <v>25500</v>
      </c>
    </row>
    <row r="16" spans="1:14" x14ac:dyDescent="0.2">
      <c r="A16" s="1526" t="s">
        <v>1044</v>
      </c>
      <c r="B16" s="615" t="s">
        <v>444</v>
      </c>
      <c r="C16" s="466"/>
      <c r="D16" s="466"/>
      <c r="E16" s="466"/>
      <c r="F16" s="466">
        <v>1889</v>
      </c>
      <c r="G16" s="466"/>
      <c r="H16" s="466"/>
      <c r="I16" s="467"/>
      <c r="J16" s="467"/>
      <c r="K16" s="1693">
        <f t="shared" si="0"/>
        <v>1889</v>
      </c>
      <c r="L16" s="466">
        <v>15000</v>
      </c>
    </row>
    <row r="17" spans="1:12" x14ac:dyDescent="0.2">
      <c r="A17" s="1526" t="s">
        <v>748</v>
      </c>
      <c r="B17" s="615" t="s">
        <v>164</v>
      </c>
      <c r="C17" s="467">
        <v>62668</v>
      </c>
      <c r="D17" s="467">
        <v>14743</v>
      </c>
      <c r="E17" s="467">
        <v>496</v>
      </c>
      <c r="F17" s="467">
        <v>1591</v>
      </c>
      <c r="G17" s="467"/>
      <c r="H17" s="467"/>
      <c r="I17" s="467"/>
      <c r="J17" s="467"/>
      <c r="K17" s="1693">
        <f t="shared" si="0"/>
        <v>79498</v>
      </c>
      <c r="L17" s="466">
        <v>95979</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7286375</v>
      </c>
      <c r="D33" s="1692">
        <f t="shared" ref="D33:L33" si="1">SUM(D5:D32)</f>
        <v>1909047</v>
      </c>
      <c r="E33" s="1692">
        <f t="shared" si="1"/>
        <v>204822</v>
      </c>
      <c r="F33" s="1692">
        <f t="shared" si="1"/>
        <v>370820</v>
      </c>
      <c r="G33" s="1692">
        <f t="shared" si="1"/>
        <v>55621</v>
      </c>
      <c r="H33" s="1692">
        <f t="shared" si="1"/>
        <v>115304</v>
      </c>
      <c r="I33" s="1692">
        <f t="shared" si="1"/>
        <v>0</v>
      </c>
      <c r="J33" s="1692">
        <f t="shared" si="1"/>
        <v>0</v>
      </c>
      <c r="K33" s="1692">
        <f t="shared" si="1"/>
        <v>9941989</v>
      </c>
      <c r="L33" s="1692">
        <f t="shared" si="1"/>
        <v>10264208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119884</v>
      </c>
      <c r="D36" s="481">
        <v>33050</v>
      </c>
      <c r="E36" s="481">
        <v>62706</v>
      </c>
      <c r="F36" s="481">
        <v>883</v>
      </c>
      <c r="G36" s="481"/>
      <c r="H36" s="481"/>
      <c r="I36" s="467"/>
      <c r="J36" s="467"/>
      <c r="K36" s="1693">
        <f t="shared" ref="K36:K41" si="2">SUM(C36:J36)</f>
        <v>216523</v>
      </c>
      <c r="L36" s="466">
        <v>221975</v>
      </c>
    </row>
    <row r="37" spans="1:14" x14ac:dyDescent="0.2">
      <c r="A37" s="1526" t="s">
        <v>1151</v>
      </c>
      <c r="B37" s="615">
        <v>2120</v>
      </c>
      <c r="C37" s="466">
        <v>151959</v>
      </c>
      <c r="D37" s="466">
        <v>35012</v>
      </c>
      <c r="E37" s="466">
        <v>156</v>
      </c>
      <c r="F37" s="466">
        <v>196</v>
      </c>
      <c r="G37" s="466"/>
      <c r="H37" s="466"/>
      <c r="I37" s="467"/>
      <c r="J37" s="467"/>
      <c r="K37" s="1693">
        <f t="shared" si="2"/>
        <v>187323</v>
      </c>
      <c r="L37" s="466">
        <v>221000</v>
      </c>
    </row>
    <row r="38" spans="1:14" x14ac:dyDescent="0.2">
      <c r="A38" s="1526" t="s">
        <v>207</v>
      </c>
      <c r="B38" s="615">
        <v>2130</v>
      </c>
      <c r="C38" s="466">
        <v>179746</v>
      </c>
      <c r="D38" s="466">
        <v>14506</v>
      </c>
      <c r="E38" s="466">
        <v>2918</v>
      </c>
      <c r="F38" s="466">
        <v>9134</v>
      </c>
      <c r="G38" s="466"/>
      <c r="H38" s="466"/>
      <c r="I38" s="467"/>
      <c r="J38" s="467"/>
      <c r="K38" s="1693">
        <f t="shared" si="2"/>
        <v>206304</v>
      </c>
      <c r="L38" s="466">
        <v>233233</v>
      </c>
    </row>
    <row r="39" spans="1:14" x14ac:dyDescent="0.2">
      <c r="A39" s="1526" t="s">
        <v>208</v>
      </c>
      <c r="B39" s="615">
        <v>2140</v>
      </c>
      <c r="C39" s="466">
        <v>117261</v>
      </c>
      <c r="D39" s="466">
        <v>26271</v>
      </c>
      <c r="E39" s="466">
        <v>5625</v>
      </c>
      <c r="F39" s="466">
        <v>6296</v>
      </c>
      <c r="G39" s="466"/>
      <c r="H39" s="466"/>
      <c r="I39" s="467"/>
      <c r="J39" s="467"/>
      <c r="K39" s="1693">
        <f t="shared" si="2"/>
        <v>155453</v>
      </c>
      <c r="L39" s="466">
        <v>158536</v>
      </c>
    </row>
    <row r="40" spans="1:14" x14ac:dyDescent="0.2">
      <c r="A40" s="1526" t="s">
        <v>209</v>
      </c>
      <c r="B40" s="615">
        <v>2150</v>
      </c>
      <c r="C40" s="466">
        <v>95796</v>
      </c>
      <c r="D40" s="466">
        <v>26791</v>
      </c>
      <c r="E40" s="466">
        <v>88574</v>
      </c>
      <c r="F40" s="466">
        <v>90</v>
      </c>
      <c r="G40" s="466"/>
      <c r="H40" s="466"/>
      <c r="I40" s="467"/>
      <c r="J40" s="467"/>
      <c r="K40" s="1693">
        <f t="shared" si="2"/>
        <v>211251</v>
      </c>
      <c r="L40" s="466">
        <v>251429</v>
      </c>
    </row>
    <row r="41" spans="1:14" x14ac:dyDescent="0.2">
      <c r="A41" s="1526" t="s">
        <v>1768</v>
      </c>
      <c r="B41" s="615">
        <v>2190</v>
      </c>
      <c r="C41" s="466">
        <v>71040</v>
      </c>
      <c r="D41" s="466">
        <v>2701</v>
      </c>
      <c r="E41" s="466">
        <v>1473</v>
      </c>
      <c r="F41" s="466">
        <v>4329</v>
      </c>
      <c r="G41" s="466"/>
      <c r="H41" s="466"/>
      <c r="I41" s="467"/>
      <c r="J41" s="467"/>
      <c r="K41" s="1693">
        <f t="shared" si="2"/>
        <v>79543</v>
      </c>
      <c r="L41" s="466">
        <v>64498</v>
      </c>
    </row>
    <row r="42" spans="1:14" ht="12.75" customHeight="1" thickBot="1" x14ac:dyDescent="0.25">
      <c r="A42" s="1690" t="s">
        <v>581</v>
      </c>
      <c r="B42" s="1691" t="s">
        <v>740</v>
      </c>
      <c r="C42" s="1692">
        <f>SUM(C36:C41)</f>
        <v>735686</v>
      </c>
      <c r="D42" s="1692">
        <f t="shared" ref="D42:L42" si="3">SUM(D36:D41)</f>
        <v>138331</v>
      </c>
      <c r="E42" s="1692">
        <f t="shared" si="3"/>
        <v>161452</v>
      </c>
      <c r="F42" s="1692">
        <f t="shared" si="3"/>
        <v>20928</v>
      </c>
      <c r="G42" s="1692">
        <f t="shared" si="3"/>
        <v>0</v>
      </c>
      <c r="H42" s="1692">
        <f t="shared" si="3"/>
        <v>0</v>
      </c>
      <c r="I42" s="1692">
        <f t="shared" si="3"/>
        <v>0</v>
      </c>
      <c r="J42" s="1692">
        <f t="shared" si="3"/>
        <v>0</v>
      </c>
      <c r="K42" s="1692">
        <f t="shared" si="3"/>
        <v>1056397</v>
      </c>
      <c r="L42" s="1692">
        <f t="shared" si="3"/>
        <v>1150671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153533</v>
      </c>
      <c r="D44" s="481">
        <v>47432</v>
      </c>
      <c r="E44" s="481">
        <v>132309</v>
      </c>
      <c r="F44" s="481">
        <v>17966</v>
      </c>
      <c r="G44" s="481">
        <v>2028</v>
      </c>
      <c r="H44" s="481">
        <v>764</v>
      </c>
      <c r="I44" s="467"/>
      <c r="J44" s="467"/>
      <c r="K44" s="1694">
        <f>SUM(C44:J44)</f>
        <v>354032</v>
      </c>
      <c r="L44" s="481">
        <v>418142</v>
      </c>
    </row>
    <row r="45" spans="1:14" x14ac:dyDescent="0.2">
      <c r="A45" s="1526" t="s">
        <v>869</v>
      </c>
      <c r="B45" s="615">
        <v>2220</v>
      </c>
      <c r="C45" s="466">
        <v>277705</v>
      </c>
      <c r="D45" s="466">
        <v>59290</v>
      </c>
      <c r="E45" s="466">
        <v>127620</v>
      </c>
      <c r="F45" s="466">
        <v>42424</v>
      </c>
      <c r="G45" s="466">
        <v>249384</v>
      </c>
      <c r="H45" s="466">
        <v>365</v>
      </c>
      <c r="I45" s="467"/>
      <c r="J45" s="467"/>
      <c r="K45" s="1694">
        <f>SUM(C45:J45)</f>
        <v>756788</v>
      </c>
      <c r="L45" s="466">
        <v>880060</v>
      </c>
    </row>
    <row r="46" spans="1:14" x14ac:dyDescent="0.2">
      <c r="A46" s="1526" t="s">
        <v>870</v>
      </c>
      <c r="B46" s="615">
        <v>2230</v>
      </c>
      <c r="C46" s="466">
        <v>72430</v>
      </c>
      <c r="D46" s="466">
        <v>28694</v>
      </c>
      <c r="E46" s="466">
        <v>23142</v>
      </c>
      <c r="F46" s="466">
        <v>3500</v>
      </c>
      <c r="G46" s="466"/>
      <c r="H46" s="466">
        <v>453</v>
      </c>
      <c r="I46" s="467"/>
      <c r="J46" s="467"/>
      <c r="K46" s="1694">
        <f>SUM(C46:J46)</f>
        <v>128219</v>
      </c>
      <c r="L46" s="466">
        <v>136056</v>
      </c>
    </row>
    <row r="47" spans="1:14" ht="12.75" customHeight="1" thickBot="1" x14ac:dyDescent="0.25">
      <c r="A47" s="1690" t="s">
        <v>582</v>
      </c>
      <c r="B47" s="1691" t="s">
        <v>32</v>
      </c>
      <c r="C47" s="1692">
        <f>SUM(C44:C46)</f>
        <v>503668</v>
      </c>
      <c r="D47" s="1692">
        <f t="shared" ref="D47:K47" si="4">SUM(D44:D46)</f>
        <v>135416</v>
      </c>
      <c r="E47" s="1692">
        <f t="shared" si="4"/>
        <v>283071</v>
      </c>
      <c r="F47" s="1692">
        <f t="shared" si="4"/>
        <v>63890</v>
      </c>
      <c r="G47" s="1692">
        <f t="shared" si="4"/>
        <v>251412</v>
      </c>
      <c r="H47" s="1692">
        <f t="shared" si="4"/>
        <v>1582</v>
      </c>
      <c r="I47" s="1692">
        <f t="shared" si="4"/>
        <v>0</v>
      </c>
      <c r="J47" s="1692">
        <f t="shared" si="4"/>
        <v>0</v>
      </c>
      <c r="K47" s="1692">
        <f t="shared" si="4"/>
        <v>1239039</v>
      </c>
      <c r="L47" s="1692">
        <f>SUM(L44:L46)</f>
        <v>1434258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102815</v>
      </c>
      <c r="F49" s="481">
        <v>5803</v>
      </c>
      <c r="G49" s="481"/>
      <c r="H49" s="481">
        <v>6389</v>
      </c>
      <c r="I49" s="467"/>
      <c r="J49" s="467"/>
      <c r="K49" s="1694">
        <f>SUM(C49:J49)</f>
        <v>115007</v>
      </c>
      <c r="L49" s="481">
        <v>139250</v>
      </c>
    </row>
    <row r="50" spans="1:14" x14ac:dyDescent="0.2">
      <c r="A50" s="1526" t="s">
        <v>872</v>
      </c>
      <c r="B50" s="615">
        <v>2320</v>
      </c>
      <c r="C50" s="466">
        <v>202349</v>
      </c>
      <c r="D50" s="466">
        <v>54748</v>
      </c>
      <c r="E50" s="466">
        <v>20633</v>
      </c>
      <c r="F50" s="466">
        <v>5470</v>
      </c>
      <c r="G50" s="466"/>
      <c r="H50" s="466">
        <v>3378</v>
      </c>
      <c r="I50" s="467"/>
      <c r="J50" s="467"/>
      <c r="K50" s="1694">
        <f>SUM(C50:J50)</f>
        <v>286578</v>
      </c>
      <c r="L50" s="466">
        <v>279126</v>
      </c>
    </row>
    <row r="51" spans="1:14" x14ac:dyDescent="0.2">
      <c r="A51" s="1526" t="s">
        <v>44</v>
      </c>
      <c r="B51" s="615">
        <v>2330</v>
      </c>
      <c r="C51" s="466">
        <v>5227</v>
      </c>
      <c r="D51" s="466"/>
      <c r="E51" s="466"/>
      <c r="F51" s="466"/>
      <c r="G51" s="466"/>
      <c r="H51" s="466"/>
      <c r="I51" s="467"/>
      <c r="J51" s="467"/>
      <c r="K51" s="1694">
        <f>SUM(C51:J51)</f>
        <v>5227</v>
      </c>
      <c r="L51" s="466">
        <v>5143</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207576</v>
      </c>
      <c r="D53" s="1692">
        <f t="shared" ref="D53:L53" si="5">SUM(D49:D52)</f>
        <v>54748</v>
      </c>
      <c r="E53" s="1692">
        <f t="shared" si="5"/>
        <v>123448</v>
      </c>
      <c r="F53" s="1692">
        <f t="shared" si="5"/>
        <v>11273</v>
      </c>
      <c r="G53" s="1692">
        <f t="shared" si="5"/>
        <v>0</v>
      </c>
      <c r="H53" s="1692">
        <f t="shared" si="5"/>
        <v>9767</v>
      </c>
      <c r="I53" s="1692">
        <f t="shared" si="5"/>
        <v>0</v>
      </c>
      <c r="J53" s="1692">
        <f t="shared" si="5"/>
        <v>0</v>
      </c>
      <c r="K53" s="1692">
        <f t="shared" si="5"/>
        <v>406812</v>
      </c>
      <c r="L53" s="1692">
        <f t="shared" si="5"/>
        <v>423519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682958</v>
      </c>
      <c r="D55" s="481">
        <v>237119</v>
      </c>
      <c r="E55" s="481">
        <v>63483</v>
      </c>
      <c r="F55" s="481">
        <v>6188</v>
      </c>
      <c r="G55" s="481">
        <v>1604</v>
      </c>
      <c r="H55" s="481">
        <v>2570</v>
      </c>
      <c r="I55" s="467"/>
      <c r="J55" s="467"/>
      <c r="K55" s="1694">
        <f>SUM(C55:J55)</f>
        <v>993922</v>
      </c>
      <c r="L55" s="481">
        <v>1010994</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682958</v>
      </c>
      <c r="D57" s="1696">
        <f t="shared" ref="D57:K57" si="6">SUM(D55:D56)</f>
        <v>237119</v>
      </c>
      <c r="E57" s="1696">
        <f t="shared" si="6"/>
        <v>63483</v>
      </c>
      <c r="F57" s="1696">
        <f t="shared" si="6"/>
        <v>6188</v>
      </c>
      <c r="G57" s="1696">
        <f t="shared" si="6"/>
        <v>1604</v>
      </c>
      <c r="H57" s="1696">
        <f t="shared" si="6"/>
        <v>2570</v>
      </c>
      <c r="I57" s="1696">
        <f t="shared" si="6"/>
        <v>0</v>
      </c>
      <c r="J57" s="1696">
        <f t="shared" si="6"/>
        <v>0</v>
      </c>
      <c r="K57" s="1696">
        <f t="shared" si="6"/>
        <v>993922</v>
      </c>
      <c r="L57" s="1692">
        <f>SUM(L55:L56)</f>
        <v>1010994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114153</v>
      </c>
      <c r="D60" s="466">
        <v>23766</v>
      </c>
      <c r="E60" s="466">
        <v>24895</v>
      </c>
      <c r="F60" s="466">
        <v>2383</v>
      </c>
      <c r="G60" s="466"/>
      <c r="H60" s="466">
        <v>420</v>
      </c>
      <c r="I60" s="467"/>
      <c r="J60" s="467"/>
      <c r="K60" s="1694">
        <f t="shared" si="7"/>
        <v>165617</v>
      </c>
      <c r="L60" s="466">
        <v>142895</v>
      </c>
      <c r="M60" s="610"/>
      <c r="N60" s="610"/>
    </row>
    <row r="61" spans="1:14" s="343" customFormat="1" x14ac:dyDescent="0.2">
      <c r="A61" s="1526" t="s">
        <v>206</v>
      </c>
      <c r="B61" s="615">
        <v>2540</v>
      </c>
      <c r="C61" s="466"/>
      <c r="D61" s="466">
        <v>3500</v>
      </c>
      <c r="E61" s="466"/>
      <c r="F61" s="466"/>
      <c r="G61" s="466"/>
      <c r="H61" s="466"/>
      <c r="I61" s="467"/>
      <c r="J61" s="467"/>
      <c r="K61" s="1694">
        <f t="shared" si="7"/>
        <v>3500</v>
      </c>
      <c r="L61" s="466">
        <v>0</v>
      </c>
      <c r="M61" s="610"/>
      <c r="N61" s="610"/>
    </row>
    <row r="62" spans="1:14" s="343" customFormat="1" x14ac:dyDescent="0.2">
      <c r="A62" s="1526" t="s">
        <v>1010</v>
      </c>
      <c r="B62" s="615">
        <v>2550</v>
      </c>
      <c r="C62" s="466"/>
      <c r="D62" s="466">
        <v>1500</v>
      </c>
      <c r="E62" s="466"/>
      <c r="F62" s="466"/>
      <c r="G62" s="466"/>
      <c r="H62" s="466"/>
      <c r="I62" s="467"/>
      <c r="J62" s="467"/>
      <c r="K62" s="1694">
        <f t="shared" si="7"/>
        <v>1500</v>
      </c>
      <c r="L62" s="466">
        <v>0</v>
      </c>
      <c r="M62" s="610"/>
      <c r="N62" s="610"/>
    </row>
    <row r="63" spans="1:14" s="610" customFormat="1" x14ac:dyDescent="0.2">
      <c r="A63" s="1526" t="s">
        <v>102</v>
      </c>
      <c r="B63" s="615">
        <v>2560</v>
      </c>
      <c r="C63" s="466">
        <v>212475</v>
      </c>
      <c r="D63" s="466">
        <v>47682</v>
      </c>
      <c r="E63" s="466">
        <v>4777</v>
      </c>
      <c r="F63" s="466">
        <v>252569</v>
      </c>
      <c r="G63" s="466">
        <v>4060</v>
      </c>
      <c r="H63" s="466"/>
      <c r="I63" s="467"/>
      <c r="J63" s="467"/>
      <c r="K63" s="1694">
        <f t="shared" si="7"/>
        <v>521563</v>
      </c>
      <c r="L63" s="466">
        <v>587947</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326628</v>
      </c>
      <c r="D65" s="1692">
        <f t="shared" ref="D65:L65" si="8">SUM(D59:D64)</f>
        <v>76448</v>
      </c>
      <c r="E65" s="1692">
        <f t="shared" si="8"/>
        <v>29672</v>
      </c>
      <c r="F65" s="1692">
        <f t="shared" si="8"/>
        <v>254952</v>
      </c>
      <c r="G65" s="1692">
        <f t="shared" si="8"/>
        <v>4060</v>
      </c>
      <c r="H65" s="1692">
        <f t="shared" si="8"/>
        <v>420</v>
      </c>
      <c r="I65" s="1692">
        <f t="shared" si="8"/>
        <v>0</v>
      </c>
      <c r="J65" s="1692">
        <f t="shared" si="8"/>
        <v>0</v>
      </c>
      <c r="K65" s="1692">
        <f t="shared" si="8"/>
        <v>692180</v>
      </c>
      <c r="L65" s="1692">
        <f t="shared" si="8"/>
        <v>730842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v>46767</v>
      </c>
      <c r="D70" s="466">
        <v>12629</v>
      </c>
      <c r="E70" s="466">
        <v>9853</v>
      </c>
      <c r="F70" s="466">
        <v>7994</v>
      </c>
      <c r="G70" s="466"/>
      <c r="H70" s="466">
        <v>333</v>
      </c>
      <c r="I70" s="467"/>
      <c r="J70" s="467"/>
      <c r="K70" s="1694">
        <f>SUM(C70:J70)</f>
        <v>77576</v>
      </c>
      <c r="L70" s="466">
        <v>75090</v>
      </c>
      <c r="M70" s="610"/>
      <c r="N70" s="610"/>
    </row>
    <row r="71" spans="1:14" s="343" customFormat="1" x14ac:dyDescent="0.2">
      <c r="A71" s="1526" t="s">
        <v>424</v>
      </c>
      <c r="B71" s="615">
        <v>2660</v>
      </c>
      <c r="C71" s="466"/>
      <c r="D71" s="466"/>
      <c r="E71" s="466"/>
      <c r="F71" s="466"/>
      <c r="G71" s="466"/>
      <c r="H71" s="466"/>
      <c r="I71" s="467"/>
      <c r="J71" s="467"/>
      <c r="K71" s="1694">
        <f>SUM(C71:J71)</f>
        <v>0</v>
      </c>
      <c r="L71" s="466">
        <v>11722</v>
      </c>
      <c r="M71" s="610"/>
      <c r="N71" s="610"/>
    </row>
    <row r="72" spans="1:14" s="343" customFormat="1" ht="12.75" customHeight="1" thickBot="1" x14ac:dyDescent="0.25">
      <c r="A72" s="1690" t="s">
        <v>37</v>
      </c>
      <c r="B72" s="1697" t="s">
        <v>36</v>
      </c>
      <c r="C72" s="1692">
        <f>SUM(C67:C71)</f>
        <v>46767</v>
      </c>
      <c r="D72" s="1692">
        <f t="shared" ref="D72:K72" si="9">SUM(D67:D71)</f>
        <v>12629</v>
      </c>
      <c r="E72" s="1692">
        <f t="shared" si="9"/>
        <v>9853</v>
      </c>
      <c r="F72" s="1692">
        <f t="shared" si="9"/>
        <v>7994</v>
      </c>
      <c r="G72" s="1692">
        <f t="shared" si="9"/>
        <v>0</v>
      </c>
      <c r="H72" s="1692">
        <f t="shared" si="9"/>
        <v>333</v>
      </c>
      <c r="I72" s="1692">
        <f t="shared" si="9"/>
        <v>0</v>
      </c>
      <c r="J72" s="1692">
        <f t="shared" si="9"/>
        <v>0</v>
      </c>
      <c r="K72" s="1692">
        <f t="shared" si="9"/>
        <v>77576</v>
      </c>
      <c r="L72" s="1692">
        <f>SUM(L67:L71)</f>
        <v>86812</v>
      </c>
      <c r="M72" s="610"/>
      <c r="N72" s="610"/>
    </row>
    <row r="73" spans="1:14" s="343" customFormat="1" ht="14.25" thickTop="1" thickBot="1" x14ac:dyDescent="0.25">
      <c r="A73" s="1532" t="s">
        <v>1037</v>
      </c>
      <c r="B73" s="633" t="s">
        <v>595</v>
      </c>
      <c r="C73" s="573"/>
      <c r="D73" s="573"/>
      <c r="E73" s="573">
        <v>18273</v>
      </c>
      <c r="F73" s="573"/>
      <c r="G73" s="573"/>
      <c r="H73" s="573"/>
      <c r="I73" s="531"/>
      <c r="J73" s="531"/>
      <c r="K73" s="1692">
        <f>SUM(C73:J73)</f>
        <v>18273</v>
      </c>
      <c r="L73" s="576">
        <v>10000</v>
      </c>
      <c r="M73" s="610"/>
      <c r="N73" s="610"/>
    </row>
    <row r="74" spans="1:14" ht="12.75" customHeight="1" thickTop="1" thickBot="1" x14ac:dyDescent="0.25">
      <c r="A74" s="1690" t="s">
        <v>865</v>
      </c>
      <c r="B74" s="1698">
        <v>2000</v>
      </c>
      <c r="C74" s="1699">
        <f>SUM(C42,C47,C53,C57,C65,C72,C73)</f>
        <v>2503283</v>
      </c>
      <c r="D74" s="1699">
        <f t="shared" ref="D74:K74" si="10">SUM(D42,D47,D53,D57,D65,D72,D73)</f>
        <v>654691</v>
      </c>
      <c r="E74" s="1699">
        <f t="shared" si="10"/>
        <v>689252</v>
      </c>
      <c r="F74" s="1699">
        <f t="shared" si="10"/>
        <v>365225</v>
      </c>
      <c r="G74" s="1699">
        <f t="shared" si="10"/>
        <v>257076</v>
      </c>
      <c r="H74" s="1699">
        <f t="shared" si="10"/>
        <v>14672</v>
      </c>
      <c r="I74" s="1699">
        <f t="shared" si="10"/>
        <v>0</v>
      </c>
      <c r="J74" s="1699">
        <f t="shared" si="10"/>
        <v>0</v>
      </c>
      <c r="K74" s="1699">
        <f t="shared" si="10"/>
        <v>4484199</v>
      </c>
      <c r="L74" s="1699">
        <f>SUM(L42,L47,L53,L57,L65,L72,L73)</f>
        <v>4847096</v>
      </c>
    </row>
    <row r="75" spans="1:14" s="259" customFormat="1" ht="15.75" customHeight="1" thickTop="1" thickBot="1" x14ac:dyDescent="0.25">
      <c r="A75" s="1632" t="s">
        <v>49</v>
      </c>
      <c r="B75" s="1633" t="s">
        <v>596</v>
      </c>
      <c r="C75" s="573">
        <v>466</v>
      </c>
      <c r="D75" s="573"/>
      <c r="E75" s="573">
        <v>25</v>
      </c>
      <c r="F75" s="573">
        <v>702</v>
      </c>
      <c r="G75" s="573"/>
      <c r="H75" s="573"/>
      <c r="I75" s="531"/>
      <c r="J75" s="531"/>
      <c r="K75" s="1692">
        <f>SUM(C75:J75)</f>
        <v>1193</v>
      </c>
      <c r="L75" s="576">
        <v>6988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14100</v>
      </c>
      <c r="I78" s="477"/>
      <c r="J78" s="477"/>
      <c r="K78" s="1693">
        <f t="shared" ref="K78:K83" si="11">SUM(C78:J78)</f>
        <v>14100</v>
      </c>
      <c r="L78" s="481">
        <v>10000</v>
      </c>
    </row>
    <row r="79" spans="1:14" x14ac:dyDescent="0.2">
      <c r="A79" s="1526" t="s">
        <v>322</v>
      </c>
      <c r="B79" s="615">
        <v>4120</v>
      </c>
      <c r="C79" s="617"/>
      <c r="D79" s="617"/>
      <c r="E79" s="466">
        <v>1190</v>
      </c>
      <c r="F79" s="617"/>
      <c r="G79" s="617"/>
      <c r="H79" s="466"/>
      <c r="I79" s="477"/>
      <c r="J79" s="477"/>
      <c r="K79" s="1693">
        <f t="shared" si="11"/>
        <v>1190</v>
      </c>
      <c r="L79" s="466">
        <v>3232500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1190</v>
      </c>
      <c r="F84" s="617"/>
      <c r="G84" s="617"/>
      <c r="H84" s="1692">
        <f>SUM(H78:H83)</f>
        <v>14100</v>
      </c>
      <c r="I84" s="477"/>
      <c r="J84" s="477"/>
      <c r="K84" s="1692">
        <f>SUM(K78:K83)</f>
        <v>15290</v>
      </c>
      <c r="L84" s="1692">
        <f>SUM(L78:L83)</f>
        <v>3242500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v>797690</v>
      </c>
      <c r="I86" s="477"/>
      <c r="J86" s="477"/>
      <c r="K86" s="1699">
        <f t="shared" ref="K86:K98" si="12">H86</f>
        <v>797690</v>
      </c>
      <c r="L86" s="530">
        <v>807000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797690</v>
      </c>
      <c r="I92" s="477"/>
      <c r="J92" s="477"/>
      <c r="K92" s="1699">
        <f t="shared" si="12"/>
        <v>797690</v>
      </c>
      <c r="L92" s="1692">
        <f>SUM(L85:L91)</f>
        <v>807000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1190</v>
      </c>
      <c r="F102" s="617"/>
      <c r="G102" s="617"/>
      <c r="H102" s="1699">
        <f>SUM(H84,H92,H100,H101)</f>
        <v>811790</v>
      </c>
      <c r="I102" s="477"/>
      <c r="J102" s="477"/>
      <c r="K102" s="1699">
        <f>SUM(K84,K92,K100,K101)</f>
        <v>812980</v>
      </c>
      <c r="L102" s="1699">
        <f>SUM(L84,L92,L100,L101)</f>
        <v>4049500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125000</v>
      </c>
      <c r="M113" s="614"/>
      <c r="N113" s="614"/>
    </row>
    <row r="114" spans="1:14" ht="12.75" customHeight="1" thickTop="1" thickBot="1" x14ac:dyDescent="0.25">
      <c r="A114" s="1690" t="s">
        <v>50</v>
      </c>
      <c r="B114" s="1704"/>
      <c r="C114" s="1692">
        <f>SUM(C33,C74,C75,C102,C112,C113)</f>
        <v>9790124</v>
      </c>
      <c r="D114" s="1692">
        <f t="shared" ref="D114:K114" si="13">SUM(D33,D74,D75,D102,D112,D113)</f>
        <v>2563738</v>
      </c>
      <c r="E114" s="1692">
        <f t="shared" si="13"/>
        <v>895289</v>
      </c>
      <c r="F114" s="1692">
        <f t="shared" si="13"/>
        <v>736747</v>
      </c>
      <c r="G114" s="1692">
        <f t="shared" si="13"/>
        <v>312697</v>
      </c>
      <c r="H114" s="1692">
        <f>SUM(H33,H74,H75,H102,H112,H113)</f>
        <v>941766</v>
      </c>
      <c r="I114" s="1692">
        <f t="shared" si="13"/>
        <v>0</v>
      </c>
      <c r="J114" s="1692">
        <f t="shared" si="13"/>
        <v>0</v>
      </c>
      <c r="K114" s="1692">
        <f t="shared" si="13"/>
        <v>15240361</v>
      </c>
      <c r="L114" s="1692">
        <f>SUM(L33,L74,L75,L102,L112,L113)</f>
        <v>19292792</v>
      </c>
    </row>
    <row r="115" spans="1:14" ht="13.5" thickTop="1" x14ac:dyDescent="0.2">
      <c r="A115" s="2184" t="s">
        <v>1053</v>
      </c>
      <c r="B115" s="2185"/>
      <c r="C115" s="619"/>
      <c r="D115" s="619"/>
      <c r="E115" s="619"/>
      <c r="F115" s="619"/>
      <c r="G115" s="619"/>
      <c r="H115" s="619"/>
      <c r="I115" s="619"/>
      <c r="J115" s="619"/>
      <c r="K115" s="1706">
        <f>'Revenues 9-14'!C275-'Expenditures 15-22'!K114</f>
        <v>5484648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v>16906</v>
      </c>
      <c r="F123" s="466"/>
      <c r="G123" s="466"/>
      <c r="H123" s="466">
        <v>5010</v>
      </c>
      <c r="I123" s="467"/>
      <c r="J123" s="467"/>
      <c r="K123" s="1692">
        <f>SUM(C123:J123)</f>
        <v>21916</v>
      </c>
      <c r="L123" s="466">
        <v>14000</v>
      </c>
    </row>
    <row r="124" spans="1:14" ht="14.25" thickTop="1" thickBot="1" x14ac:dyDescent="0.25">
      <c r="A124" s="1526" t="s">
        <v>206</v>
      </c>
      <c r="B124" s="615">
        <v>2540</v>
      </c>
      <c r="C124" s="466">
        <v>648902</v>
      </c>
      <c r="D124" s="466">
        <v>144658</v>
      </c>
      <c r="E124" s="466">
        <v>206954</v>
      </c>
      <c r="F124" s="466">
        <v>698726</v>
      </c>
      <c r="G124" s="466">
        <v>41433</v>
      </c>
      <c r="H124" s="466"/>
      <c r="I124" s="467"/>
      <c r="J124" s="467"/>
      <c r="K124" s="1692">
        <f>SUM(C124:J124)</f>
        <v>1740673</v>
      </c>
      <c r="L124" s="466">
        <v>1983037</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648902</v>
      </c>
      <c r="D127" s="1692">
        <f t="shared" ref="D127:L127" si="14">SUM(D122:D126)</f>
        <v>144658</v>
      </c>
      <c r="E127" s="1692">
        <f t="shared" si="14"/>
        <v>223860</v>
      </c>
      <c r="F127" s="1692">
        <f t="shared" si="14"/>
        <v>698726</v>
      </c>
      <c r="G127" s="1692">
        <f t="shared" si="14"/>
        <v>41433</v>
      </c>
      <c r="H127" s="1692">
        <f t="shared" si="14"/>
        <v>5010</v>
      </c>
      <c r="I127" s="1692">
        <f t="shared" si="14"/>
        <v>0</v>
      </c>
      <c r="J127" s="1692">
        <f t="shared" si="14"/>
        <v>0</v>
      </c>
      <c r="K127" s="1692">
        <f t="shared" si="14"/>
        <v>1762589</v>
      </c>
      <c r="L127" s="1692">
        <f t="shared" si="14"/>
        <v>1997037</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648902</v>
      </c>
      <c r="D129" s="1699">
        <f t="shared" ref="D129:L129" si="15">SUM(D120,D127,D128)</f>
        <v>144658</v>
      </c>
      <c r="E129" s="1699">
        <f t="shared" si="15"/>
        <v>223860</v>
      </c>
      <c r="F129" s="1699">
        <f t="shared" si="15"/>
        <v>698726</v>
      </c>
      <c r="G129" s="1699">
        <f t="shared" si="15"/>
        <v>41433</v>
      </c>
      <c r="H129" s="1699">
        <f t="shared" si="15"/>
        <v>5010</v>
      </c>
      <c r="I129" s="1699">
        <f t="shared" si="15"/>
        <v>0</v>
      </c>
      <c r="J129" s="1699">
        <f t="shared" si="15"/>
        <v>0</v>
      </c>
      <c r="K129" s="1699">
        <f t="shared" si="15"/>
        <v>1762589</v>
      </c>
      <c r="L129" s="1699">
        <f t="shared" si="15"/>
        <v>1997037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30000</v>
      </c>
    </row>
    <row r="151" spans="1:14" ht="12.75" customHeight="1" thickTop="1" thickBot="1" x14ac:dyDescent="0.25">
      <c r="A151" s="2201" t="s">
        <v>641</v>
      </c>
      <c r="B151" s="2181"/>
      <c r="C151" s="1692">
        <f>SUM(C129,C130,C139,C149,C150)</f>
        <v>648902</v>
      </c>
      <c r="D151" s="1692">
        <f t="shared" ref="D151:K151" si="16">SUM(D129,D130,D139,D149,D150)</f>
        <v>144658</v>
      </c>
      <c r="E151" s="1692">
        <f t="shared" si="16"/>
        <v>223860</v>
      </c>
      <c r="F151" s="1692">
        <f t="shared" si="16"/>
        <v>698726</v>
      </c>
      <c r="G151" s="1692">
        <f t="shared" si="16"/>
        <v>41433</v>
      </c>
      <c r="H151" s="1692">
        <f t="shared" si="16"/>
        <v>5010</v>
      </c>
      <c r="I151" s="1692">
        <f t="shared" si="16"/>
        <v>0</v>
      </c>
      <c r="J151" s="1692">
        <f t="shared" si="16"/>
        <v>0</v>
      </c>
      <c r="K151" s="1692">
        <f t="shared" si="16"/>
        <v>1762589</v>
      </c>
      <c r="L151" s="1692">
        <f>SUM(L129,L130,L139,L149,L150)</f>
        <v>2027037</v>
      </c>
    </row>
    <row r="152" spans="1:14" ht="12.75" customHeight="1" thickTop="1" x14ac:dyDescent="0.2">
      <c r="A152" s="2204" t="s">
        <v>1240</v>
      </c>
      <c r="B152" s="2205"/>
      <c r="C152" s="619"/>
      <c r="D152" s="619"/>
      <c r="E152" s="619"/>
      <c r="F152" s="619"/>
      <c r="G152" s="619"/>
      <c r="H152" s="619"/>
      <c r="I152" s="619"/>
      <c r="J152" s="617"/>
      <c r="K152" s="1706">
        <f>'Revenues 9-14'!D275-'Expenditures 15-22'!K151</f>
        <v>155653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1600348</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1600348</v>
      </c>
    </row>
    <row r="169" spans="1:14" ht="15.75" customHeight="1" thickTop="1" x14ac:dyDescent="0.2">
      <c r="A169" s="670" t="s">
        <v>85</v>
      </c>
      <c r="B169" s="671" t="s">
        <v>38</v>
      </c>
      <c r="C169" s="617"/>
      <c r="D169" s="617"/>
      <c r="E169" s="617"/>
      <c r="F169" s="617"/>
      <c r="G169" s="617"/>
      <c r="H169" s="657">
        <v>1600348</v>
      </c>
      <c r="I169" s="617"/>
      <c r="J169" s="617"/>
      <c r="K169" s="1693">
        <f>SUM(C169:H169)</f>
        <v>1600348</v>
      </c>
      <c r="L169" s="657">
        <v>2498790</v>
      </c>
    </row>
    <row r="170" spans="1:14" ht="33.75" customHeight="1" x14ac:dyDescent="0.2">
      <c r="A170" s="670" t="s">
        <v>1769</v>
      </c>
      <c r="B170" s="672" t="s">
        <v>31</v>
      </c>
      <c r="C170" s="617"/>
      <c r="D170" s="617"/>
      <c r="E170" s="617"/>
      <c r="F170" s="617"/>
      <c r="G170" s="617"/>
      <c r="H170" s="569">
        <v>2498790</v>
      </c>
      <c r="I170" s="617"/>
      <c r="J170" s="617"/>
      <c r="K170" s="1693">
        <f>SUM(C170:J170)</f>
        <v>2498790</v>
      </c>
      <c r="L170" s="569">
        <v>0</v>
      </c>
    </row>
    <row r="171" spans="1:14" ht="15.75" customHeight="1" x14ac:dyDescent="0.2">
      <c r="A171" s="622" t="s">
        <v>790</v>
      </c>
      <c r="B171" s="673" t="s">
        <v>86</v>
      </c>
      <c r="C171" s="617"/>
      <c r="D171" s="617"/>
      <c r="E171" s="466">
        <v>2625</v>
      </c>
      <c r="F171" s="617"/>
      <c r="G171" s="617"/>
      <c r="H171" s="569"/>
      <c r="I171" s="477"/>
      <c r="J171" s="617"/>
      <c r="K171" s="1693">
        <f>SUM(C171:J171)</f>
        <v>2625</v>
      </c>
      <c r="L171" s="569">
        <v>25000</v>
      </c>
    </row>
    <row r="172" spans="1:14" ht="12.75" customHeight="1" thickBot="1" x14ac:dyDescent="0.25">
      <c r="A172" s="1690" t="s">
        <v>659</v>
      </c>
      <c r="B172" s="1691" t="s">
        <v>513</v>
      </c>
      <c r="C172" s="617"/>
      <c r="D172" s="617"/>
      <c r="E172" s="1699">
        <f>SUM(E168,E169,E170,E171)</f>
        <v>2625</v>
      </c>
      <c r="F172" s="617"/>
      <c r="G172" s="617"/>
      <c r="H172" s="1699">
        <f>SUM(H168,H169,H170,H171)</f>
        <v>4099138</v>
      </c>
      <c r="I172" s="639"/>
      <c r="J172" s="617"/>
      <c r="K172" s="1699">
        <f>SUM(K168,K169,K170,K171)</f>
        <v>4101763</v>
      </c>
      <c r="L172" s="1699">
        <f>SUM(L168,L169,L170,L171)</f>
        <v>4124138</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2625</v>
      </c>
      <c r="F174" s="617"/>
      <c r="G174" s="617"/>
      <c r="H174" s="1699">
        <f>SUM(H160,H172,H173)</f>
        <v>4099138</v>
      </c>
      <c r="I174" s="639"/>
      <c r="J174" s="617"/>
      <c r="K174" s="1699">
        <f>SUM(K160,K172,K173)</f>
        <v>4101763</v>
      </c>
      <c r="L174" s="1699">
        <f>SUM(L160,L172,L173)</f>
        <v>4124138</v>
      </c>
    </row>
    <row r="175" spans="1:14" ht="13.5" thickTop="1" x14ac:dyDescent="0.2">
      <c r="A175" s="2184" t="s">
        <v>1053</v>
      </c>
      <c r="B175" s="2185"/>
      <c r="C175" s="617"/>
      <c r="D175" s="617"/>
      <c r="E175" s="617"/>
      <c r="F175" s="617"/>
      <c r="G175" s="617"/>
      <c r="H175" s="619"/>
      <c r="I175" s="617"/>
      <c r="J175" s="617"/>
      <c r="K175" s="1706">
        <f>'Revenues 9-14'!E275-'Expenditures 15-22'!K174</f>
        <v>-20986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505288</v>
      </c>
      <c r="D182" s="466">
        <v>54297</v>
      </c>
      <c r="E182" s="466">
        <v>322110</v>
      </c>
      <c r="F182" s="466">
        <v>92058</v>
      </c>
      <c r="G182" s="466"/>
      <c r="H182" s="466"/>
      <c r="I182" s="467"/>
      <c r="J182" s="467"/>
      <c r="K182" s="1693">
        <f>SUM(C182:J182)</f>
        <v>973753</v>
      </c>
      <c r="L182" s="466">
        <v>1047699</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505288</v>
      </c>
      <c r="D184" s="1699">
        <f t="shared" ref="D184:J184" si="17">SUM(D180,D182,D183)</f>
        <v>54297</v>
      </c>
      <c r="E184" s="1699">
        <f t="shared" si="17"/>
        <v>322110</v>
      </c>
      <c r="F184" s="1699">
        <f t="shared" si="17"/>
        <v>92058</v>
      </c>
      <c r="G184" s="1699">
        <f t="shared" si="17"/>
        <v>0</v>
      </c>
      <c r="H184" s="1699">
        <f t="shared" si="17"/>
        <v>0</v>
      </c>
      <c r="I184" s="1699">
        <f t="shared" si="17"/>
        <v>0</v>
      </c>
      <c r="J184" s="1699">
        <f t="shared" si="17"/>
        <v>0</v>
      </c>
      <c r="K184" s="1699">
        <f>SUM(K180,K182,K183)</f>
        <v>973753</v>
      </c>
      <c r="L184" s="1699">
        <f>SUM(L180, L182:L183)</f>
        <v>1047699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50000</v>
      </c>
    </row>
    <row r="210" spans="1:14" ht="12.75" customHeight="1" thickTop="1" thickBot="1" x14ac:dyDescent="0.25">
      <c r="A210" s="1714" t="s">
        <v>295</v>
      </c>
      <c r="B210" s="1715"/>
      <c r="C210" s="1692">
        <f>SUM(C184,C185)</f>
        <v>505288</v>
      </c>
      <c r="D210" s="1692">
        <f>SUM(D184,D185)</f>
        <v>54297</v>
      </c>
      <c r="E210" s="1692">
        <f>SUM(E184,E185,E196)</f>
        <v>322110</v>
      </c>
      <c r="F210" s="1692">
        <f>SUM(F184,F185)</f>
        <v>92058</v>
      </c>
      <c r="G210" s="1692">
        <f>SUM(G184,G185)</f>
        <v>0</v>
      </c>
      <c r="H210" s="1692">
        <f>SUM(H184,H185,H196,H208,H209)</f>
        <v>0</v>
      </c>
      <c r="I210" s="1692">
        <f>SUM(I184,I185)</f>
        <v>0</v>
      </c>
      <c r="J210" s="1692">
        <f>SUM(J184,J185)</f>
        <v>0</v>
      </c>
      <c r="K210" s="1693">
        <f>SUM(K184,K185,K196,K208,K209)</f>
        <v>973753</v>
      </c>
      <c r="L210" s="1692">
        <f>SUM(L184,L185,L196,L208,L209)</f>
        <v>1097699</v>
      </c>
    </row>
    <row r="211" spans="1:14" ht="13.5" thickTop="1" x14ac:dyDescent="0.2">
      <c r="A211" s="2184" t="s">
        <v>1053</v>
      </c>
      <c r="B211" s="2185"/>
      <c r="C211" s="619"/>
      <c r="D211" s="619"/>
      <c r="E211" s="619"/>
      <c r="F211" s="619"/>
      <c r="G211" s="619"/>
      <c r="H211" s="619"/>
      <c r="I211" s="617"/>
      <c r="J211" s="617"/>
      <c r="K211" s="1706">
        <f>'Revenues 9-14'!F275-'Expenditures 15-22'!K210</f>
        <v>78357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89805</v>
      </c>
      <c r="E215" s="617"/>
      <c r="F215" s="617"/>
      <c r="G215" s="617"/>
      <c r="H215" s="617"/>
      <c r="I215" s="617"/>
      <c r="J215" s="617"/>
      <c r="K215" s="1693">
        <f>D215</f>
        <v>89805</v>
      </c>
      <c r="L215" s="466">
        <v>32629</v>
      </c>
    </row>
    <row r="216" spans="1:14" x14ac:dyDescent="0.2">
      <c r="A216" s="1526" t="s">
        <v>165</v>
      </c>
      <c r="B216" s="615" t="s">
        <v>1024</v>
      </c>
      <c r="C216" s="617"/>
      <c r="D216" s="467">
        <v>3554</v>
      </c>
      <c r="E216" s="617"/>
      <c r="F216" s="617"/>
      <c r="G216" s="617"/>
      <c r="H216" s="617"/>
      <c r="I216" s="617"/>
      <c r="J216" s="617"/>
      <c r="K216" s="1693">
        <f t="shared" ref="K216:K228" si="19">D216</f>
        <v>3554</v>
      </c>
      <c r="L216" s="466">
        <v>51845</v>
      </c>
    </row>
    <row r="217" spans="1:14" x14ac:dyDescent="0.2">
      <c r="A217" s="1526" t="s">
        <v>166</v>
      </c>
      <c r="B217" s="615">
        <v>1200</v>
      </c>
      <c r="C217" s="617"/>
      <c r="D217" s="466">
        <v>53486</v>
      </c>
      <c r="E217" s="617"/>
      <c r="F217" s="617"/>
      <c r="G217" s="617"/>
      <c r="H217" s="617"/>
      <c r="I217" s="617"/>
      <c r="J217" s="617"/>
      <c r="K217" s="1693">
        <f t="shared" si="19"/>
        <v>53486</v>
      </c>
      <c r="L217" s="466">
        <v>66158</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v>520</v>
      </c>
      <c r="E219" s="617"/>
      <c r="F219" s="617"/>
      <c r="G219" s="617"/>
      <c r="H219" s="617"/>
      <c r="I219" s="617"/>
      <c r="J219" s="617"/>
      <c r="K219" s="1693">
        <f t="shared" si="19"/>
        <v>520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2772</v>
      </c>
      <c r="E222" s="617"/>
      <c r="F222" s="617"/>
      <c r="G222" s="617"/>
      <c r="H222" s="617"/>
      <c r="I222" s="617"/>
      <c r="J222" s="617"/>
      <c r="K222" s="1693">
        <f t="shared" si="19"/>
        <v>2772</v>
      </c>
      <c r="L222" s="466">
        <v>3828</v>
      </c>
    </row>
    <row r="223" spans="1:14" x14ac:dyDescent="0.2">
      <c r="A223" s="1526" t="s">
        <v>1020</v>
      </c>
      <c r="B223" s="615">
        <v>1500</v>
      </c>
      <c r="C223" s="617"/>
      <c r="D223" s="466">
        <v>12730</v>
      </c>
      <c r="E223" s="617"/>
      <c r="F223" s="617"/>
      <c r="G223" s="617"/>
      <c r="H223" s="617"/>
      <c r="I223" s="617"/>
      <c r="J223" s="617"/>
      <c r="K223" s="1693">
        <f t="shared" si="19"/>
        <v>12730</v>
      </c>
      <c r="L223" s="466">
        <v>13419</v>
      </c>
    </row>
    <row r="224" spans="1:14" x14ac:dyDescent="0.2">
      <c r="A224" s="1526" t="s">
        <v>1021</v>
      </c>
      <c r="B224" s="615">
        <v>1600</v>
      </c>
      <c r="C224" s="617"/>
      <c r="D224" s="466">
        <v>1290</v>
      </c>
      <c r="E224" s="617"/>
      <c r="F224" s="617"/>
      <c r="G224" s="617"/>
      <c r="H224" s="617"/>
      <c r="I224" s="617"/>
      <c r="J224" s="617"/>
      <c r="K224" s="1693">
        <f t="shared" si="19"/>
        <v>1290</v>
      </c>
      <c r="L224" s="466">
        <v>779</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909</v>
      </c>
      <c r="E226" s="617"/>
      <c r="F226" s="617"/>
      <c r="G226" s="617"/>
      <c r="H226" s="617"/>
      <c r="I226" s="617"/>
      <c r="J226" s="617"/>
      <c r="K226" s="1693">
        <f t="shared" si="19"/>
        <v>909</v>
      </c>
      <c r="L226" s="466">
        <v>899</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165066</v>
      </c>
      <c r="E229" s="617"/>
      <c r="F229" s="617"/>
      <c r="G229" s="617"/>
      <c r="H229" s="617"/>
      <c r="I229" s="617"/>
      <c r="J229" s="617"/>
      <c r="K229" s="1692">
        <f>SUM(K215:K228)</f>
        <v>165066</v>
      </c>
      <c r="L229" s="1692">
        <f>SUM(L215:L228)</f>
        <v>169557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1738</v>
      </c>
      <c r="E232" s="617"/>
      <c r="F232" s="617"/>
      <c r="G232" s="617"/>
      <c r="H232" s="617"/>
      <c r="I232" s="617"/>
      <c r="J232" s="617"/>
      <c r="K232" s="1693">
        <f t="shared" ref="K232:K237" si="20">D232</f>
        <v>1738</v>
      </c>
      <c r="L232" s="466">
        <v>1889</v>
      </c>
    </row>
    <row r="233" spans="1:12" x14ac:dyDescent="0.2">
      <c r="A233" s="1526" t="s">
        <v>1151</v>
      </c>
      <c r="B233" s="615">
        <v>2120</v>
      </c>
      <c r="C233" s="617"/>
      <c r="D233" s="466">
        <v>4303</v>
      </c>
      <c r="E233" s="617"/>
      <c r="F233" s="617"/>
      <c r="G233" s="617"/>
      <c r="H233" s="617"/>
      <c r="I233" s="617"/>
      <c r="J233" s="617"/>
      <c r="K233" s="1693">
        <f t="shared" si="20"/>
        <v>4303</v>
      </c>
      <c r="L233" s="466">
        <v>4525</v>
      </c>
    </row>
    <row r="234" spans="1:12" x14ac:dyDescent="0.2">
      <c r="A234" s="1526" t="s">
        <v>207</v>
      </c>
      <c r="B234" s="615">
        <v>2130</v>
      </c>
      <c r="C234" s="617"/>
      <c r="D234" s="466">
        <v>19127</v>
      </c>
      <c r="E234" s="617"/>
      <c r="F234" s="617"/>
      <c r="G234" s="617"/>
      <c r="H234" s="617"/>
      <c r="I234" s="617"/>
      <c r="J234" s="617"/>
      <c r="K234" s="1693">
        <f t="shared" si="20"/>
        <v>19127</v>
      </c>
      <c r="L234" s="466">
        <v>6159</v>
      </c>
    </row>
    <row r="235" spans="1:12" x14ac:dyDescent="0.2">
      <c r="A235" s="1526" t="s">
        <v>208</v>
      </c>
      <c r="B235" s="615">
        <v>2140</v>
      </c>
      <c r="C235" s="617"/>
      <c r="D235" s="466">
        <v>2770</v>
      </c>
      <c r="E235" s="617"/>
      <c r="F235" s="617"/>
      <c r="G235" s="617"/>
      <c r="H235" s="617"/>
      <c r="I235" s="617"/>
      <c r="J235" s="617"/>
      <c r="K235" s="1693">
        <f t="shared" si="20"/>
        <v>2770</v>
      </c>
      <c r="L235" s="466">
        <v>4440</v>
      </c>
    </row>
    <row r="236" spans="1:12" x14ac:dyDescent="0.2">
      <c r="A236" s="1526" t="s">
        <v>209</v>
      </c>
      <c r="B236" s="615">
        <v>2150</v>
      </c>
      <c r="C236" s="617"/>
      <c r="D236" s="466">
        <v>1389</v>
      </c>
      <c r="E236" s="617"/>
      <c r="F236" s="617"/>
      <c r="G236" s="617"/>
      <c r="H236" s="617"/>
      <c r="I236" s="617"/>
      <c r="J236" s="617"/>
      <c r="K236" s="1693">
        <f t="shared" si="20"/>
        <v>1389</v>
      </c>
      <c r="L236" s="466">
        <v>1642</v>
      </c>
    </row>
    <row r="237" spans="1:12" x14ac:dyDescent="0.2">
      <c r="A237" s="1526" t="s">
        <v>167</v>
      </c>
      <c r="B237" s="615">
        <v>2190</v>
      </c>
      <c r="C237" s="617"/>
      <c r="D237" s="466">
        <v>8695</v>
      </c>
      <c r="E237" s="617"/>
      <c r="F237" s="617"/>
      <c r="G237" s="617"/>
      <c r="H237" s="617"/>
      <c r="I237" s="617"/>
      <c r="J237" s="617"/>
      <c r="K237" s="1693">
        <f t="shared" si="20"/>
        <v>8695</v>
      </c>
      <c r="L237" s="466">
        <v>24434</v>
      </c>
    </row>
    <row r="238" spans="1:12" ht="12.75" customHeight="1" thickBot="1" x14ac:dyDescent="0.25">
      <c r="A238" s="1690" t="s">
        <v>581</v>
      </c>
      <c r="B238" s="1697" t="s">
        <v>740</v>
      </c>
      <c r="C238" s="617"/>
      <c r="D238" s="1692">
        <f>SUM(D232:D237)</f>
        <v>38022</v>
      </c>
      <c r="E238" s="617"/>
      <c r="F238" s="617"/>
      <c r="G238" s="617"/>
      <c r="H238" s="617"/>
      <c r="I238" s="617"/>
      <c r="J238" s="617"/>
      <c r="K238" s="1692">
        <f>SUM(K232:K237)</f>
        <v>38022</v>
      </c>
      <c r="L238" s="1692">
        <f>SUM(L232:L237)</f>
        <v>43089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2220</v>
      </c>
      <c r="E240" s="617"/>
      <c r="F240" s="617"/>
      <c r="G240" s="617"/>
      <c r="H240" s="617"/>
      <c r="I240" s="617"/>
      <c r="J240" s="617"/>
      <c r="K240" s="1694">
        <f>D240</f>
        <v>2220</v>
      </c>
      <c r="L240" s="481">
        <v>1989</v>
      </c>
    </row>
    <row r="241" spans="1:12" x14ac:dyDescent="0.2">
      <c r="A241" s="1526" t="s">
        <v>869</v>
      </c>
      <c r="B241" s="615">
        <v>2220</v>
      </c>
      <c r="C241" s="617"/>
      <c r="D241" s="466">
        <v>35394</v>
      </c>
      <c r="E241" s="617"/>
      <c r="F241" s="617"/>
      <c r="G241" s="617"/>
      <c r="H241" s="617"/>
      <c r="I241" s="617"/>
      <c r="J241" s="617"/>
      <c r="K241" s="1694">
        <f>D241</f>
        <v>35394</v>
      </c>
      <c r="L241" s="466">
        <v>38446</v>
      </c>
    </row>
    <row r="242" spans="1:12" x14ac:dyDescent="0.2">
      <c r="A242" s="1526" t="s">
        <v>870</v>
      </c>
      <c r="B242" s="615">
        <v>2230</v>
      </c>
      <c r="C242" s="617"/>
      <c r="D242" s="466">
        <v>1051</v>
      </c>
      <c r="E242" s="617"/>
      <c r="F242" s="617"/>
      <c r="G242" s="617"/>
      <c r="H242" s="617"/>
      <c r="I242" s="617"/>
      <c r="J242" s="617"/>
      <c r="K242" s="1694">
        <f>D242</f>
        <v>1051</v>
      </c>
      <c r="L242" s="466">
        <v>1052</v>
      </c>
    </row>
    <row r="243" spans="1:12" ht="12.75" customHeight="1" thickBot="1" x14ac:dyDescent="0.25">
      <c r="A243" s="1716" t="s">
        <v>582</v>
      </c>
      <c r="B243" s="1717">
        <v>2200</v>
      </c>
      <c r="C243" s="617"/>
      <c r="D243" s="1692">
        <f>SUM(D240:D242)</f>
        <v>38665</v>
      </c>
      <c r="E243" s="617"/>
      <c r="F243" s="617"/>
      <c r="G243" s="617"/>
      <c r="H243" s="617"/>
      <c r="I243" s="617"/>
      <c r="J243" s="617"/>
      <c r="K243" s="1692">
        <f>SUM(K240:K242)</f>
        <v>38665</v>
      </c>
      <c r="L243" s="1692">
        <f>SUM(L240:L242)</f>
        <v>41487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414</v>
      </c>
    </row>
    <row r="246" spans="1:12" x14ac:dyDescent="0.2">
      <c r="A246" s="1526" t="s">
        <v>872</v>
      </c>
      <c r="B246" s="615">
        <v>2320</v>
      </c>
      <c r="C246" s="617"/>
      <c r="D246" s="466">
        <v>11667</v>
      </c>
      <c r="E246" s="617"/>
      <c r="F246" s="617"/>
      <c r="G246" s="617"/>
      <c r="H246" s="617"/>
      <c r="I246" s="617"/>
      <c r="J246" s="617"/>
      <c r="K246" s="1694">
        <f t="shared" ref="K246:K256" si="21">D246</f>
        <v>11667</v>
      </c>
      <c r="L246" s="466">
        <v>13076</v>
      </c>
    </row>
    <row r="247" spans="1:12" x14ac:dyDescent="0.2">
      <c r="A247" s="1526" t="s">
        <v>873</v>
      </c>
      <c r="B247" s="615">
        <v>2330</v>
      </c>
      <c r="C247" s="617"/>
      <c r="D247" s="466">
        <v>561</v>
      </c>
      <c r="E247" s="617"/>
      <c r="F247" s="617"/>
      <c r="G247" s="617"/>
      <c r="H247" s="617"/>
      <c r="I247" s="617"/>
      <c r="J247" s="617"/>
      <c r="K247" s="1694">
        <f t="shared" si="21"/>
        <v>561</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1905</v>
      </c>
      <c r="B249" s="684" t="s">
        <v>300</v>
      </c>
      <c r="C249" s="617"/>
      <c r="D249" s="474"/>
      <c r="E249" s="617"/>
      <c r="F249" s="617"/>
      <c r="G249" s="617"/>
      <c r="H249" s="617"/>
      <c r="I249" s="617"/>
      <c r="J249" s="617"/>
      <c r="K249" s="1694">
        <f t="shared" si="21"/>
        <v>0</v>
      </c>
      <c r="L249" s="466">
        <v>0</v>
      </c>
    </row>
    <row r="250" spans="1:12" x14ac:dyDescent="0.2">
      <c r="A250" s="1527" t="s">
        <v>1906</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12228</v>
      </c>
      <c r="E257" s="617"/>
      <c r="F257" s="617"/>
      <c r="G257" s="617"/>
      <c r="H257" s="617"/>
      <c r="I257" s="617"/>
      <c r="J257" s="617"/>
      <c r="K257" s="1692">
        <f>SUM(K245:K256)</f>
        <v>12228</v>
      </c>
      <c r="L257" s="1692">
        <f>SUM(L245:L256)</f>
        <v>13490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34245</v>
      </c>
      <c r="E259" s="617"/>
      <c r="F259" s="617"/>
      <c r="G259" s="617"/>
      <c r="H259" s="617"/>
      <c r="I259" s="617"/>
      <c r="J259" s="617"/>
      <c r="K259" s="1694">
        <f>D259</f>
        <v>34245</v>
      </c>
      <c r="L259" s="481">
        <v>31230</v>
      </c>
    </row>
    <row r="260" spans="1:14" s="598" customFormat="1" x14ac:dyDescent="0.2">
      <c r="A260" s="1544" t="s">
        <v>1904</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34245</v>
      </c>
      <c r="E261" s="617"/>
      <c r="F261" s="617"/>
      <c r="G261" s="617"/>
      <c r="H261" s="617"/>
      <c r="I261" s="617"/>
      <c r="J261" s="617"/>
      <c r="K261" s="1692">
        <f>SUM(K259:K260)</f>
        <v>34245</v>
      </c>
      <c r="L261" s="1692">
        <f>SUM(L259:L260)</f>
        <v>31230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27</v>
      </c>
    </row>
    <row r="264" spans="1:14" x14ac:dyDescent="0.2">
      <c r="A264" s="1526" t="s">
        <v>483</v>
      </c>
      <c r="B264" s="686">
        <v>2520</v>
      </c>
      <c r="C264" s="617"/>
      <c r="D264" s="466">
        <v>15615</v>
      </c>
      <c r="E264" s="617"/>
      <c r="F264" s="617"/>
      <c r="G264" s="617"/>
      <c r="H264" s="617"/>
      <c r="I264" s="617"/>
      <c r="J264" s="617"/>
      <c r="K264" s="1694">
        <f t="shared" ref="K264:K269" si="22">D264</f>
        <v>15615</v>
      </c>
      <c r="L264" s="466">
        <v>18690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103149</v>
      </c>
      <c r="E266" s="617"/>
      <c r="F266" s="617"/>
      <c r="G266" s="617"/>
      <c r="H266" s="617"/>
      <c r="I266" s="617"/>
      <c r="J266" s="617"/>
      <c r="K266" s="1694">
        <f t="shared" si="22"/>
        <v>103149</v>
      </c>
      <c r="L266" s="466">
        <v>105840</v>
      </c>
    </row>
    <row r="267" spans="1:14" x14ac:dyDescent="0.2">
      <c r="A267" s="1526" t="s">
        <v>1010</v>
      </c>
      <c r="B267" s="615">
        <v>2550</v>
      </c>
      <c r="C267" s="617"/>
      <c r="D267" s="466">
        <v>76805</v>
      </c>
      <c r="E267" s="617"/>
      <c r="F267" s="617"/>
      <c r="G267" s="617"/>
      <c r="H267" s="617"/>
      <c r="I267" s="617"/>
      <c r="J267" s="617"/>
      <c r="K267" s="1694">
        <f t="shared" si="22"/>
        <v>76805</v>
      </c>
      <c r="L267" s="466">
        <v>75826</v>
      </c>
    </row>
    <row r="268" spans="1:14" x14ac:dyDescent="0.2">
      <c r="A268" s="1526" t="s">
        <v>102</v>
      </c>
      <c r="B268" s="615">
        <v>2560</v>
      </c>
      <c r="C268" s="617"/>
      <c r="D268" s="466">
        <v>29857</v>
      </c>
      <c r="E268" s="617"/>
      <c r="F268" s="617"/>
      <c r="G268" s="617"/>
      <c r="H268" s="617"/>
      <c r="I268" s="617"/>
      <c r="J268" s="617"/>
      <c r="K268" s="1694">
        <f t="shared" si="22"/>
        <v>29857</v>
      </c>
      <c r="L268" s="466">
        <v>30132</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225426</v>
      </c>
      <c r="E270" s="617"/>
      <c r="F270" s="617"/>
      <c r="G270" s="617"/>
      <c r="H270" s="617"/>
      <c r="I270" s="617"/>
      <c r="J270" s="617"/>
      <c r="K270" s="1692">
        <f>SUM(K263:K269)</f>
        <v>225426</v>
      </c>
      <c r="L270" s="1692">
        <f>SUM(L263:L269)</f>
        <v>230515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v>7152</v>
      </c>
      <c r="E275" s="617"/>
      <c r="F275" s="617"/>
      <c r="G275" s="617"/>
      <c r="H275" s="617"/>
      <c r="I275" s="617"/>
      <c r="J275" s="617"/>
      <c r="K275" s="1694">
        <f>D275</f>
        <v>7152</v>
      </c>
      <c r="L275" s="466">
        <v>7015</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7152</v>
      </c>
      <c r="E277" s="617"/>
      <c r="F277" s="617"/>
      <c r="G277" s="617"/>
      <c r="H277" s="617"/>
      <c r="I277" s="617"/>
      <c r="J277" s="617"/>
      <c r="K277" s="1692">
        <f>SUM(K272:K276)</f>
        <v>7152</v>
      </c>
      <c r="L277" s="1692">
        <f>SUM(L272:L276)</f>
        <v>7015</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355738</v>
      </c>
      <c r="E279" s="617"/>
      <c r="F279" s="617"/>
      <c r="G279" s="617"/>
      <c r="H279" s="617"/>
      <c r="I279" s="617"/>
      <c r="J279" s="617"/>
      <c r="K279" s="1699">
        <f>SUM(K238,K243,K257,K261,K270,K277,K278)</f>
        <v>355738</v>
      </c>
      <c r="L279" s="1699">
        <f>SUM(L238,L243,L257,L261,L270,L277,L278)</f>
        <v>366826</v>
      </c>
    </row>
    <row r="280" spans="1:12" ht="15.75" customHeight="1" thickTop="1" thickBot="1" x14ac:dyDescent="0.25">
      <c r="A280" s="1646" t="s">
        <v>930</v>
      </c>
      <c r="B280" s="1635">
        <v>3000</v>
      </c>
      <c r="C280" s="617"/>
      <c r="D280" s="576">
        <v>7</v>
      </c>
      <c r="E280" s="617"/>
      <c r="F280" s="617"/>
      <c r="G280" s="617"/>
      <c r="H280" s="617"/>
      <c r="I280" s="617"/>
      <c r="J280" s="617"/>
      <c r="K280" s="1701">
        <f>D280</f>
        <v>7</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20000</v>
      </c>
    </row>
    <row r="295" spans="1:14" ht="12.75" customHeight="1" thickTop="1" thickBot="1" x14ac:dyDescent="0.25">
      <c r="A295" s="2202" t="s">
        <v>526</v>
      </c>
      <c r="B295" s="2203"/>
      <c r="C295" s="617"/>
      <c r="D295" s="1692">
        <f>SUM(D229,D279,D280,D285)</f>
        <v>520811</v>
      </c>
      <c r="E295" s="617"/>
      <c r="F295" s="617"/>
      <c r="G295" s="617"/>
      <c r="H295" s="1692">
        <f>H293</f>
        <v>0</v>
      </c>
      <c r="I295" s="617"/>
      <c r="J295" s="617"/>
      <c r="K295" s="1692">
        <f>SUM(K229,K279,K280,K285,K293,K294)</f>
        <v>520811</v>
      </c>
      <c r="L295" s="1692">
        <f>SUM(L229,L279,L280,L285,L293,L294)</f>
        <v>556383</v>
      </c>
    </row>
    <row r="296" spans="1:14" ht="13.5" thickTop="1" x14ac:dyDescent="0.2">
      <c r="A296" s="2184" t="s">
        <v>1053</v>
      </c>
      <c r="B296" s="2185"/>
      <c r="C296" s="617"/>
      <c r="D296" s="619"/>
      <c r="E296" s="617"/>
      <c r="F296" s="617"/>
      <c r="G296" s="617"/>
      <c r="H296" s="688"/>
      <c r="I296" s="617"/>
      <c r="J296" s="617"/>
      <c r="K296" s="1706">
        <f>'Revenues 9-14'!G275-'Expenditures 15-22'!K295</f>
        <v>131670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3800</v>
      </c>
      <c r="F301" s="466"/>
      <c r="G301" s="466"/>
      <c r="H301" s="466"/>
      <c r="I301" s="467"/>
      <c r="J301" s="467"/>
      <c r="K301" s="1693">
        <f>SUM(C301:J301)</f>
        <v>3800</v>
      </c>
      <c r="L301" s="467">
        <v>154000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3800</v>
      </c>
      <c r="F303" s="1699">
        <f t="shared" si="23"/>
        <v>0</v>
      </c>
      <c r="G303" s="1699">
        <f t="shared" si="23"/>
        <v>0</v>
      </c>
      <c r="H303" s="1699">
        <f t="shared" si="23"/>
        <v>0</v>
      </c>
      <c r="I303" s="1699">
        <f t="shared" si="23"/>
        <v>0</v>
      </c>
      <c r="J303" s="1699">
        <f t="shared" si="23"/>
        <v>0</v>
      </c>
      <c r="K303" s="1699">
        <f t="shared" si="23"/>
        <v>3800</v>
      </c>
      <c r="L303" s="1699">
        <f t="shared" si="23"/>
        <v>154000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9" t="s">
        <v>295</v>
      </c>
      <c r="B312" s="2200"/>
      <c r="C312" s="1692">
        <f>SUM(C303)</f>
        <v>0</v>
      </c>
      <c r="D312" s="1692">
        <f>SUM(D303)</f>
        <v>0</v>
      </c>
      <c r="E312" s="1692">
        <f>SUM(E303,E310)</f>
        <v>3800</v>
      </c>
      <c r="F312" s="1692">
        <f>SUM(F303)</f>
        <v>0</v>
      </c>
      <c r="G312" s="1692">
        <f>SUM(G303)</f>
        <v>0</v>
      </c>
      <c r="H312" s="1692">
        <f>SUM(H303,H310)</f>
        <v>0</v>
      </c>
      <c r="I312" s="1692">
        <f>SUM(I303)</f>
        <v>0</v>
      </c>
      <c r="J312" s="1692">
        <f>SUM(J303)</f>
        <v>0</v>
      </c>
      <c r="K312" s="1692">
        <f>SUM(K303,K310,K311)</f>
        <v>3800</v>
      </c>
      <c r="L312" s="1692">
        <f>SUM(L303,L310,L311)</f>
        <v>154000</v>
      </c>
      <c r="M312" s="666"/>
      <c r="N312" s="666"/>
    </row>
    <row r="313" spans="1:14" ht="13.5" thickTop="1" x14ac:dyDescent="0.2">
      <c r="A313" s="2195" t="s">
        <v>1053</v>
      </c>
      <c r="B313" s="2196"/>
      <c r="C313" s="627"/>
      <c r="D313" s="627"/>
      <c r="E313" s="627"/>
      <c r="F313" s="627"/>
      <c r="G313" s="627"/>
      <c r="H313" s="627"/>
      <c r="I313" s="627"/>
      <c r="J313" s="627"/>
      <c r="K313" s="1707">
        <f>'Revenues 9-14'!H275-'Expenditures 15-22'!K312</f>
        <v>-3434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10000</v>
      </c>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v>14545</v>
      </c>
      <c r="F321" s="467"/>
      <c r="G321" s="467"/>
      <c r="H321" s="467"/>
      <c r="I321" s="467"/>
      <c r="J321" s="467"/>
      <c r="K321" s="1693">
        <f t="shared" si="24"/>
        <v>14545</v>
      </c>
      <c r="L321" s="467">
        <v>0</v>
      </c>
      <c r="M321" s="666"/>
      <c r="N321" s="666"/>
    </row>
    <row r="322" spans="1:14" s="675" customFormat="1" x14ac:dyDescent="0.2">
      <c r="A322" s="1541" t="s">
        <v>256</v>
      </c>
      <c r="B322" s="698" t="s">
        <v>302</v>
      </c>
      <c r="C322" s="467"/>
      <c r="D322" s="467">
        <v>173</v>
      </c>
      <c r="E322" s="467">
        <v>217701</v>
      </c>
      <c r="F322" s="467"/>
      <c r="G322" s="467"/>
      <c r="H322" s="467"/>
      <c r="I322" s="467"/>
      <c r="J322" s="467"/>
      <c r="K322" s="1693">
        <f t="shared" si="24"/>
        <v>217874</v>
      </c>
      <c r="L322" s="467">
        <v>266415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101249</v>
      </c>
      <c r="D325" s="467">
        <v>29992</v>
      </c>
      <c r="E325" s="467"/>
      <c r="F325" s="467"/>
      <c r="G325" s="467"/>
      <c r="H325" s="467"/>
      <c r="I325" s="467"/>
      <c r="J325" s="467"/>
      <c r="K325" s="1693">
        <f t="shared" si="24"/>
        <v>131241</v>
      </c>
      <c r="L325" s="467">
        <v>135972</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101249</v>
      </c>
      <c r="D330" s="1692">
        <f t="shared" ref="D330:J330" si="25">SUM(D319:D329)</f>
        <v>30165</v>
      </c>
      <c r="E330" s="1692">
        <f t="shared" si="25"/>
        <v>232246</v>
      </c>
      <c r="F330" s="1692">
        <f t="shared" si="25"/>
        <v>0</v>
      </c>
      <c r="G330" s="1692">
        <f t="shared" si="25"/>
        <v>0</v>
      </c>
      <c r="H330" s="1692">
        <f t="shared" si="25"/>
        <v>0</v>
      </c>
      <c r="I330" s="1692">
        <f t="shared" si="25"/>
        <v>0</v>
      </c>
      <c r="J330" s="1692">
        <f t="shared" si="25"/>
        <v>0</v>
      </c>
      <c r="K330" s="1692">
        <f>SUM(K319:K329)</f>
        <v>363660</v>
      </c>
      <c r="L330" s="1692">
        <f>SUM(L319:L329)</f>
        <v>412387</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5000</v>
      </c>
    </row>
    <row r="342" spans="1:14" ht="12.75" customHeight="1" thickTop="1" thickBot="1" x14ac:dyDescent="0.25">
      <c r="A342" s="1708" t="s">
        <v>526</v>
      </c>
      <c r="B342" s="1723"/>
      <c r="C342" s="1692">
        <f>SUM(C330)</f>
        <v>101249</v>
      </c>
      <c r="D342" s="1692">
        <f>SUM(D330)</f>
        <v>30165</v>
      </c>
      <c r="E342" s="1692">
        <f>SUM(E330)</f>
        <v>232246</v>
      </c>
      <c r="F342" s="1692">
        <f>SUM(F330)</f>
        <v>0</v>
      </c>
      <c r="G342" s="1692">
        <f>SUM(G330)</f>
        <v>0</v>
      </c>
      <c r="H342" s="1692">
        <f>SUM(H330,H334,H340)</f>
        <v>0</v>
      </c>
      <c r="I342" s="1692">
        <f>SUM(I330)</f>
        <v>0</v>
      </c>
      <c r="J342" s="1692">
        <f>SUM(J330)</f>
        <v>0</v>
      </c>
      <c r="K342" s="1692">
        <f>SUM(K330,K334,K340)</f>
        <v>363660</v>
      </c>
      <c r="L342" s="1699">
        <f>SUM(L330,L340,L341)</f>
        <v>417387</v>
      </c>
    </row>
    <row r="343" spans="1:14" ht="12.75" customHeight="1" thickTop="1" x14ac:dyDescent="0.2">
      <c r="A343" s="2197" t="s">
        <v>1053</v>
      </c>
      <c r="B343" s="2198"/>
      <c r="C343" s="617"/>
      <c r="D343" s="617"/>
      <c r="E343" s="617"/>
      <c r="F343" s="617"/>
      <c r="G343" s="617"/>
      <c r="H343" s="617"/>
      <c r="I343" s="617"/>
      <c r="J343" s="617"/>
      <c r="K343" s="1706">
        <f>'Revenues 9-14'!J275-'Expenditures 15-22'!K342</f>
        <v>-65824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60000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60000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60000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v>0</v>
      </c>
    </row>
    <row r="355" spans="1:14" ht="12.75" customHeight="1" x14ac:dyDescent="0.2">
      <c r="A355" s="1535" t="s">
        <v>1963</v>
      </c>
      <c r="B355" s="691" t="s">
        <v>1956</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60000</v>
      </c>
    </row>
    <row r="368" spans="1:14" ht="13.5" thickTop="1" x14ac:dyDescent="0.2">
      <c r="A368" s="2184" t="s">
        <v>1053</v>
      </c>
      <c r="B368" s="2185"/>
      <c r="C368" s="655"/>
      <c r="D368" s="655"/>
      <c r="E368" s="627"/>
      <c r="F368" s="627"/>
      <c r="G368" s="627"/>
      <c r="H368" s="627"/>
      <c r="I368" s="627"/>
      <c r="J368" s="624"/>
      <c r="K368" s="1693">
        <f>'Revenues 9-14'!K275-'Expenditures 15-22'!K367</f>
        <v>51634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2018-10-10T20:22:49Z</cp:lastPrinted>
  <dcterms:created xsi:type="dcterms:W3CDTF">2003-10-29T19:06:34Z</dcterms:created>
  <dcterms:modified xsi:type="dcterms:W3CDTF">2018-10-24T19:34:53Z</dcterms:modified>
</cp:coreProperties>
</file>