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81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L25" i="183" l="1"/>
  <c r="L26" i="183"/>
  <c r="E27" i="183"/>
  <c r="F27" i="183"/>
  <c r="G27" i="183"/>
  <c r="H27" i="183"/>
  <c r="I27" i="183"/>
  <c r="J27" i="183"/>
  <c r="K27" i="183"/>
  <c r="L27" i="183" l="1"/>
  <c r="K19" i="183"/>
  <c r="K18" i="183"/>
  <c r="E18" i="183"/>
  <c r="E16" i="185" l="1"/>
  <c r="K15" i="185"/>
  <c r="J15" i="185"/>
  <c r="I15" i="185"/>
  <c r="H15" i="185"/>
  <c r="H16" i="185" s="1"/>
  <c r="H17" i="185" s="1"/>
  <c r="G15" i="185"/>
  <c r="G16" i="185" s="1"/>
  <c r="F15" i="185"/>
  <c r="E15" i="185"/>
  <c r="E17" i="185" s="1"/>
  <c r="K21" i="184"/>
  <c r="K16" i="183"/>
  <c r="K21" i="179"/>
  <c r="K18" i="179"/>
  <c r="K15" i="179"/>
  <c r="K11" i="183" s="1"/>
  <c r="K20" i="183" s="1"/>
  <c r="K16" i="184"/>
  <c r="J16" i="184"/>
  <c r="J21" i="184" s="1"/>
  <c r="I16" i="184"/>
  <c r="I21" i="184" s="1"/>
  <c r="H16" i="184"/>
  <c r="H21" i="184" s="1"/>
  <c r="G16" i="184"/>
  <c r="G21" i="184" s="1"/>
  <c r="F16" i="184"/>
  <c r="F21" i="184" s="1"/>
  <c r="E16" i="184"/>
  <c r="E21" i="184" s="1"/>
  <c r="K17" i="185" l="1"/>
  <c r="K16" i="185"/>
  <c r="I16" i="185"/>
  <c r="I17" i="185" s="1"/>
  <c r="F17" i="185"/>
  <c r="J16" i="185"/>
  <c r="F16" i="185"/>
  <c r="G17" i="185"/>
  <c r="K21" i="183"/>
  <c r="F18" i="183"/>
  <c r="G18" i="183"/>
  <c r="H18" i="183"/>
  <c r="I18" i="183"/>
  <c r="J18" i="183"/>
  <c r="F19" i="183"/>
  <c r="G19" i="183"/>
  <c r="H19" i="183"/>
  <c r="I19" i="183"/>
  <c r="L19" i="183" s="1"/>
  <c r="J19" i="183"/>
  <c r="E19" i="183"/>
  <c r="J11" i="183"/>
  <c r="J21" i="179"/>
  <c r="I21" i="179"/>
  <c r="H21" i="179"/>
  <c r="G21" i="179"/>
  <c r="F21" i="179"/>
  <c r="E21" i="179"/>
  <c r="J16" i="183"/>
  <c r="I16" i="183"/>
  <c r="H16" i="183"/>
  <c r="G16" i="183"/>
  <c r="F16" i="183"/>
  <c r="E16" i="183"/>
  <c r="J18" i="179"/>
  <c r="I18" i="179"/>
  <c r="H18" i="179"/>
  <c r="G18" i="179"/>
  <c r="F18" i="179"/>
  <c r="E18" i="179"/>
  <c r="F15" i="179"/>
  <c r="G15" i="179"/>
  <c r="G11" i="183" s="1"/>
  <c r="H15" i="179"/>
  <c r="H11" i="183" s="1"/>
  <c r="I15" i="179"/>
  <c r="I11" i="183" s="1"/>
  <c r="J15" i="179"/>
  <c r="E15" i="179"/>
  <c r="E11" i="183" s="1"/>
  <c r="E20" i="183" s="1"/>
  <c r="L27" i="185"/>
  <c r="L26" i="185"/>
  <c r="L25" i="185"/>
  <c r="L24" i="185"/>
  <c r="L23" i="185"/>
  <c r="L22" i="185"/>
  <c r="L21" i="185"/>
  <c r="L20" i="185"/>
  <c r="L18"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3" i="183"/>
  <c r="L22" i="183"/>
  <c r="L18" i="183"/>
  <c r="L17" i="183"/>
  <c r="L15" i="183"/>
  <c r="L14" i="183"/>
  <c r="L13" i="183"/>
  <c r="L12" i="183"/>
  <c r="B4" i="183"/>
  <c r="H20" i="183" l="1"/>
  <c r="H21" i="183"/>
  <c r="H19" i="185" s="1"/>
  <c r="G20" i="183"/>
  <c r="G21" i="183" s="1"/>
  <c r="G19" i="185" s="1"/>
  <c r="F11" i="183"/>
  <c r="F19" i="185" s="1"/>
  <c r="J20" i="183"/>
  <c r="J21" i="183" s="1"/>
  <c r="K19" i="185"/>
  <c r="J17" i="185"/>
  <c r="J19" i="185" s="1"/>
  <c r="L16" i="183"/>
  <c r="L17" i="185"/>
  <c r="E21" i="183"/>
  <c r="E19" i="185" s="1"/>
  <c r="I20" i="183"/>
  <c r="I21" i="183" s="1"/>
  <c r="F20" i="183"/>
  <c r="F21" i="183" s="1"/>
  <c r="L11" i="183"/>
  <c r="K22" i="12"/>
  <c r="L21" i="183" l="1"/>
  <c r="I19" i="185"/>
  <c r="L19" i="185" s="1"/>
  <c r="L20"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4"/>
  <c r="A2" i="17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9" i="7"/>
  <c r="B1767" i="106" s="1"/>
  <c r="D1767" i="106" s="1"/>
  <c r="F136" i="34"/>
  <c r="F131" i="34"/>
  <c r="F130" i="34"/>
  <c r="F127" i="34"/>
  <c r="B5847" i="106"/>
  <c r="D5847" i="106" s="1"/>
  <c r="B5599" i="106"/>
  <c r="D5599" i="106" s="1"/>
  <c r="H173" i="5"/>
  <c r="B5906" i="106" s="1"/>
  <c r="D5906" i="106" s="1"/>
  <c r="H109" i="5"/>
  <c r="B6025" i="106" s="1"/>
  <c r="D6025" i="106" s="1"/>
  <c r="F106" i="34"/>
  <c r="H4" i="4"/>
  <c r="B2655" i="106"/>
  <c r="D2655" i="106" s="1"/>
  <c r="B1746" i="106"/>
  <c r="D1746" i="106" s="1"/>
  <c r="D17" i="7"/>
  <c r="B4104" i="106" s="1"/>
  <c r="D4104" i="106" s="1"/>
  <c r="D12" i="7"/>
  <c r="B1769" i="106" s="1"/>
  <c r="D1769" i="106" s="1"/>
  <c r="D11" i="7"/>
  <c r="B1768" i="106" s="1"/>
  <c r="D1768" i="106" s="1"/>
  <c r="G173" i="5" l="1"/>
  <c r="B5778" i="106" s="1"/>
  <c r="D5778" i="106" s="1"/>
  <c r="B5770" i="106"/>
  <c r="D5770" i="106" s="1"/>
  <c r="D15" i="7"/>
  <c r="B1772" i="106" s="1"/>
  <c r="D1772" i="106" s="1"/>
  <c r="H6" i="4"/>
  <c r="B2656" i="106" s="1"/>
  <c r="D2656" i="106" s="1"/>
  <c r="D7" i="7"/>
  <c r="B1763" i="106" s="1"/>
  <c r="D1763" i="106" s="1"/>
  <c r="D109" i="5"/>
  <c r="B5356" i="106" s="1"/>
  <c r="D5356" i="106" s="1"/>
  <c r="C172" i="5"/>
  <c r="B5214" i="106" s="1"/>
  <c r="D5214" i="106" s="1"/>
  <c r="K274" i="5"/>
  <c r="B5752" i="106"/>
  <c r="D5752" i="106" s="1"/>
  <c r="F111" i="34"/>
  <c r="F128" i="34"/>
  <c r="D13" i="7"/>
  <c r="B3726" i="106" s="1"/>
  <c r="D3726" i="106" s="1"/>
  <c r="K28" i="118"/>
  <c r="O27" i="118" s="1"/>
  <c r="O29" i="118" s="1"/>
  <c r="D5" i="4"/>
  <c r="B3406" i="106" s="1"/>
  <c r="D3406" i="106" s="1"/>
  <c r="J274" i="5"/>
  <c r="B7054" i="106" s="1"/>
  <c r="D7054" i="106" s="1"/>
  <c r="L312" i="29"/>
  <c r="B7235" i="106"/>
  <c r="D7235" i="106" s="1"/>
  <c r="B3649" i="106"/>
  <c r="D3649" i="106" s="1"/>
  <c r="G367" i="29"/>
  <c r="B3621" i="106"/>
  <c r="D3621" i="106" s="1"/>
  <c r="C367" i="29"/>
  <c r="K24" i="12"/>
  <c r="B7733" i="106" s="1"/>
  <c r="D7733" i="106" s="1"/>
  <c r="K76" i="4"/>
  <c r="B3586" i="106" s="1"/>
  <c r="D3586" i="106" s="1"/>
  <c r="L13" i="11"/>
  <c r="B2060" i="106" s="1"/>
  <c r="D2060" i="106" s="1"/>
  <c r="L15" i="11"/>
  <c r="B3459" i="106" s="1"/>
  <c r="D3459" i="106" s="1"/>
  <c r="K350" i="29"/>
  <c r="F67" i="34"/>
  <c r="B1410" i="106"/>
  <c r="D1410" i="106" s="1"/>
  <c r="K184" i="29"/>
  <c r="F13" i="4" s="1"/>
  <c r="B2596" i="106" s="1"/>
  <c r="D2596" i="106" s="1"/>
  <c r="E174" i="29"/>
  <c r="B1309" i="106" s="1"/>
  <c r="D1309" i="106" s="1"/>
  <c r="B1329" i="106"/>
  <c r="D1329" i="106" s="1"/>
  <c r="F61" i="34"/>
  <c r="E28" i="108"/>
  <c r="B6995" i="106"/>
  <c r="D6995" i="106" s="1"/>
  <c r="C173" i="5"/>
  <c r="B5223" i="106" s="1"/>
  <c r="D5223" i="106" s="1"/>
  <c r="C109" i="5"/>
  <c r="B5121" i="106" s="1"/>
  <c r="D5121" i="106" s="1"/>
  <c r="G109" i="5"/>
  <c r="D4" i="4"/>
  <c r="B2564" i="106" s="1"/>
  <c r="D2564" i="106" s="1"/>
  <c r="D5" i="7"/>
  <c r="B1761" i="106" s="1"/>
  <c r="D1761" i="106" s="1"/>
  <c r="K26" i="12"/>
  <c r="B7743" i="106" s="1"/>
  <c r="D7743" i="106" s="1"/>
  <c r="L367" i="29"/>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255" i="106" l="1"/>
  <c r="D7253" i="106"/>
  <c r="D7252" i="106"/>
  <c r="H367" i="29"/>
  <c r="B3660" i="106" s="1"/>
  <c r="D3660" i="106" s="1"/>
  <c r="B3670" i="106"/>
  <c r="D3670" i="106" s="1"/>
  <c r="K352" i="29"/>
  <c r="K342" i="29"/>
  <c r="F13" i="34" s="1"/>
  <c r="C114" i="29"/>
  <c r="B757" i="106" s="1"/>
  <c r="D757" i="106" s="1"/>
  <c r="F274" i="5"/>
  <c r="F275" i="5" s="1"/>
  <c r="C6" i="4"/>
  <c r="B2553" i="106" s="1"/>
  <c r="D2553" i="106" s="1"/>
  <c r="C4" i="4"/>
  <c r="B2551" i="106" s="1"/>
  <c r="D2551" i="106" s="1"/>
  <c r="B6024" i="106"/>
  <c r="D6024" i="106" s="1"/>
  <c r="G4" i="4"/>
  <c r="B2603" i="106" s="1"/>
  <c r="D2603" i="106" s="1"/>
  <c r="D19" i="7"/>
  <c r="B1775" i="106" s="1"/>
  <c r="D1775"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B3678" i="106" s="1"/>
  <c r="D3678" i="106" s="1"/>
  <c r="J17" i="4"/>
  <c r="B6227" i="106" s="1"/>
  <c r="D6227" i="106" s="1"/>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K368" i="29" l="1"/>
  <c r="B3681" i="106" s="1"/>
  <c r="D3681" i="106" s="1"/>
  <c r="J20" i="4"/>
  <c r="B6230" i="106" s="1"/>
  <c r="D6230" i="106" s="1"/>
  <c r="D10" i="171"/>
  <c r="D19" i="171" s="1"/>
  <c r="D32" i="171" s="1"/>
  <c r="D49" i="171"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<sst xmlns="http://schemas.openxmlformats.org/spreadsheetml/2006/main" count="5428" uniqueCount="2214">
  <si>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</si>
  <si>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</si>
  <si>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</si>
  <si>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</si>
  <si>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</si>
  <si>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</si>
  <si>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</si>
  <si>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</si>
  <si>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</si>
  <si>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</si>
  <si>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</si>
  <si>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</si>
  <si>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</si>
  <si>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</si>
  <si>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</si>
  <si>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</si>
  <si>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</si>
  <si>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</si>
  <si>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</si>
  <si>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</si>
  <si>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</si>
  <si>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</si>
  <si>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</si>
  <si>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</si>
  <si>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</si>
  <si>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</si>
  <si>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</si>
  <si>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</si>
  <si>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</si>
  <si>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</si>
  <si>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</si>
  <si>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</si>
  <si>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</si>
  <si>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</si>
  <si>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</si>
  <si>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</si>
  <si>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</si>
  <si>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</si>
  <si>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</si>
  <si>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</si>
  <si>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</si>
  <si>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</si>
  <si>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</si>
  <si>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</si>
  <si>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</si>
  <si>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</si>
  <si>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</si>
  <si>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</si>
  <si>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</si>
  <si>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</si>
  <si>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</si>
  <si>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</si>
  <si>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</si>
  <si>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</si>
  <si>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</si>
  <si>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</si>
  <si>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</si>
  <si>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</si>
  <si>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</si>
  <si>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</si>
  <si>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</si>
  <si>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</si>
  <si>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</si>
  <si>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</si>
  <si>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</si>
  <si>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</si>
  <si>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</si>
  <si>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</si>
  <si>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</si>
  <si>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</si>
  <si>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</si>
  <si>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</si>
  <si>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</si>
  <si>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</si>
  <si>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</si>
  <si>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</si>
  <si>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</si>
  <si>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</si>
  <si>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</si>
  <si>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</si>
  <si>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</si>
  <si>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</si>
  <si>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</si>
  <si>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</si>
  <si>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</si>
  <si>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</si>
  <si>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</si>
  <si>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</si>
  <si>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</si>
  <si>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</si>
  <si>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</si>
  <si>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</si>
  <si>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</si>
  <si>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</si>
  <si>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</si>
  <si>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</si>
  <si>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</si>
  <si>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</si>
  <si>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</si>
  <si>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</si>
  <si>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</si>
  <si>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</si>
  <si>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</si>
  <si>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</si>
  <si>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</si>
  <si>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</si>
  <si>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</si>
  <si>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</si>
  <si>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</si>
  <si>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</si>
  <si>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</si>
  <si>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</si>
  <si>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</si>
  <si>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</si>
  <si>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</si>
  <si>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</si>
  <si>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</si>
  <si>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</si>
  <si>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</si>
  <si>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</si>
  <si>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</si>
  <si>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</si>
  <si>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</si>
  <si>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</si>
  <si>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</si>
  <si>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</si>
  <si>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</si>
  <si>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</si>
  <si>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</si>
  <si>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</si>
  <si>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</si>
  <si>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</si>
  <si>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</si>
  <si>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</si>
  <si>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</si>
  <si>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</si>
  <si>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</si>
  <si>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</si>
  <si>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</si>
  <si>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</si>
  <si>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</si>
  <si>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</si>
  <si>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</si>
  <si>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</si>
  <si>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</si>
  <si>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</si>
  <si>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</si>
  <si>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</si>
  <si>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</si>
  <si>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</si>
  <si>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</si>
  <si>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</si>
  <si>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</si>
  <si>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</si>
  <si>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</si>
  <si>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</si>
  <si>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</si>
  <si>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</si>
  <si>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</si>
  <si>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</si>
  <si>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</si>
  <si>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</si>
  <si>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</si>
  <si>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</si>
  <si>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</si>
  <si>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</si>
  <si>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</si>
  <si>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</si>
  <si>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</si>
  <si>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</si>
  <si>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</si>
  <si>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</si>
  <si>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</si>
  <si>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</si>
  <si>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</si>
  <si>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</si>
  <si>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</si>
  <si>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</si>
  <si>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</si>
  <si>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</si>
  <si>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</si>
  <si>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</si>
  <si>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</si>
  <si>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</si>
  <si>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</si>
  <si>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</si>
  <si>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</si>
  <si>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</si>
  <si>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</si>
  <si>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</si>
  <si>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</si>
  <si>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</si>
  <si>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</si>
  <si>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</si>
  <si>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</si>
  <si>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</si>
  <si>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</si>
  <si>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</si>
  <si>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</si>
  <si>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</si>
  <si>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</si>
  <si>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</si>
  <si>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</si>
  <si>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</si>
  <si>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</si>
  <si>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</si>
  <si>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</si>
  <si>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</si>
  <si>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</si>
  <si>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</si>
  <si>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</si>
  <si>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</si>
  <si>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</si>
  <si>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</si>
  <si>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</si>
  <si>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</si>
  <si>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</si>
  <si>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</si>
  <si>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</si>
  <si>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</si>
  <si>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</si>
  <si>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</si>
  <si>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</si>
  <si>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</si>
  <si>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</si>
  <si>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</si>
  <si>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</si>
  <si>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</si>
  <si>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</si>
  <si>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</si>
  <si>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</si>
  <si>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</si>
  <si>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</si>
  <si>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</si>
  <si>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</si>
  <si>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</si>
  <si>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</si>
  <si>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</si>
  <si>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</si>
  <si>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</si>
  <si>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</si>
  <si>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</si>
  <si>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</si>
  <si>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</si>
  <si>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</si>
  <si>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</si>
  <si>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</si>
  <si>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</si>
  <si>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</si>
  <si>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</si>
  <si>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</si>
  <si>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</si>
  <si>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</si>
  <si>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</si>
  <si>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</si>
  <si>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</si>
  <si>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</si>
  <si>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</si>
  <si>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</si>
  <si>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</si>
  <si>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</si>
  <si>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</si>
  <si>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</si>
  <si>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</si>
  <si>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</si>
  <si>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</si>
  <si>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</si>
  <si>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</si>
  <si>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</si>
  <si>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</si>
  <si>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</si>
  <si>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</si>
  <si>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</si>
  <si>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</si>
  <si>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</si>
  <si>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</si>
  <si>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</si>
  <si>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</si>
  <si>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</si>
  <si>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</si>
  <si>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</si>
  <si>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</si>
  <si>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</si>
  <si>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</si>
  <si>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</si>
  <si>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</si>
  <si>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</si>
  <si>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</si>
  <si>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</si>
  <si>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</si>
  <si>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</si>
  <si>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</si>
  <si>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</si>
  <si>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</si>
  <si>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</si>
  <si>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</si>
  <si>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</si>
  <si>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</si>
  <si>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</si>
  <si>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</si>
  <si>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</si>
  <si>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</si>
  <si>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</si>
  <si>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</si>
  <si>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</si>
  <si>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</si>
  <si>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</si>
  <si>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</si>
  <si>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</si>
  <si>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</si>
  <si>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</si>
  <si>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</si>
  <si>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</si>
  <si>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</si>
  <si>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</si>
  <si>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</si>
  <si>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</si>
  <si>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</si>
  <si>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</si>
  <si>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</si>
  <si>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</si>
  <si>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</si>
  <si>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</si>
  <si>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</si>
  <si>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</si>
  <si>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</si>
  <si>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</si>
  <si>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</si>
  <si>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</si>
  <si>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</si>
  <si>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</si>
  <si>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</si>
  <si>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</si>
  <si>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</si>
  <si>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</si>
  <si>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</si>
  <si>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</si>
  <si>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</si>
  <si>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</si>
  <si>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</si>
  <si>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</si>
  <si>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</si>
  <si>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</si>
  <si>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</si>
  <si>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</si>
  <si>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</si>
  <si>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</si>
  <si>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</si>
  <si>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</si>
  <si>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</si>
  <si>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</si>
  <si>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</si>
  <si>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</si>
  <si>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</si>
  <si>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</si>
  <si>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</si>
  <si>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</si>
  <si>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</si>
  <si>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</si>
  <si>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</si>
  <si>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</si>
  <si>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</si>
  <si>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</si>
  <si>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</si>
  <si>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</si>
  <si>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</si>
  <si>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</si>
  <si>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</si>
  <si>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</si>
  <si>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</si>
  <si>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</si>
  <si>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</si>
  <si>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</si>
  <si>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</si>
  <si>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</si>
  <si>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</si>
  <si>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</si>
  <si>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</si>
  <si>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</si>
  <si>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</si>
  <si>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</si>
  <si>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</si>
  <si>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</si>
  <si>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</si>
  <si>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</si>
  <si>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</si>
  <si>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</si>
  <si>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</si>
  <si>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</si>
  <si>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</si>
  <si>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</si>
  <si>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</si>
  <si>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</si>
  <si>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</si>
  <si>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</si>
  <si>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</si>
  <si>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</si>
  <si>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</si>
  <si>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</si>
  <si>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</si>
  <si>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</si>
  <si>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</si>
  <si>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</si>
  <si>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</si>
  <si>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</si>
  <si>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</si>
  <si>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</si>
  <si>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</si>
  <si>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</si>
  <si>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</si>
  <si>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</si>
  <si>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</si>
  <si>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</si>
  <si>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</si>
  <si>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</si>
  <si>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</si>
  <si>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</si>
  <si>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</si>
  <si>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</si>
  <si>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</si>
  <si>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</si>
  <si>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</si>
  <si>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</si>
  <si>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</si>
  <si>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</si>
  <si>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</si>
  <si>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</si>
  <si>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</si>
  <si>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</si>
  <si>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</si>
  <si>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</si>
  <si>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</si>
  <si>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</si>
  <si>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</si>
  <si>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</si>
  <si>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</si>
  <si>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</si>
  <si>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</si>
  <si>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</si>
  <si>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</si>
  <si>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</si>
  <si>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</si>
  <si>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</si>
  <si>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</si>
  <si>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</si>
  <si>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</si>
  <si>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</si>
  <si>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</si>
  <si>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</si>
  <si>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</si>
  <si>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</si>
  <si>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</si>
  <si>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</si>
  <si>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</si>
  <si>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</si>
  <si>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</si>
  <si>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</si>
  <si>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</si>
  <si>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</si>
  <si>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</si>
  <si>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</si>
  <si>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</si>
  <si>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</si>
  <si>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</si>
  <si>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</si>
  <si>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</si>
  <si>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</si>
  <si>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</si>
  <si>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</si>
  <si>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</si>
  <si>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</si>
  <si>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</si>
  <si>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</si>
  <si>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</si>
  <si>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</si>
  <si>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</si>
  <si>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</si>
  <si>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</si>
  <si>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</si>
  <si>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</si>
  <si>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</si>
  <si>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</si>
  <si>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</si>
  <si>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</si>
  <si>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</si>
  <si>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</si>
  <si>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</si>
  <si>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</si>
  <si>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</si>
  <si>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</si>
  <si>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</si>
  <si>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</si>
  <si>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</si>
  <si>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</si>
  <si>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</si>
  <si>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</si>
  <si>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</si>
  <si>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</si>
  <si>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</si>
  <si>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</si>
  <si>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</si>
  <si>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</si>
  <si>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</si>
  <si>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</si>
  <si>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</si>
  <si>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</si>
  <si>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</si>
  <si>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</si>
  <si>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</si>
  <si>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</si>
  <si>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</si>
  <si>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</si>
  <si>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</si>
  <si>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</si>
  <si>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</si>
  <si>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</si>
  <si>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</si>
  <si>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</si>
  <si>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</si>
  <si>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</si>
  <si>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</si>
  <si>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</si>
  <si>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</si>
  <si>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</si>
  <si>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</si>
  <si>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</si>
  <si>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</si>
  <si>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</si>
  <si>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</si>
  <si>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</si>
  <si>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</si>
  <si>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</si>
  <si>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</si>
  <si>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</si>
  <si>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</si>
  <si>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</si>
  <si>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</si>
  <si>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</si>
  <si>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</si>
  <si>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</si>
  <si>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</si>
  <si>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</si>
  <si>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</si>
  <si>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</si>
  <si>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</si>
  <si>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</si>
  <si>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</si>
  <si>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</si>
  <si>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</si>
  <si>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</si>
  <si>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</si>
  <si>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</si>
  <si>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</si>
  <si>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</si>
  <si>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</si>
  <si>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</si>
  <si>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</si>
  <si>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</si>
  <si>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</si>
  <si>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</si>
  <si>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</si>
  <si>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</si>
  <si>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</si>
  <si>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</si>
  <si>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</si>
  <si>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</si>
  <si>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</si>
  <si>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</si>
  <si>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</si>
  <si>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</si>
  <si>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</si>
  <si>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</si>
  <si>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</si>
  <si>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</si>
  <si>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</si>
  <si>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</si>
  <si>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</si>
  <si>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</si>
  <si>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</si>
  <si>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</si>
  <si>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</si>
  <si>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</si>
  <si>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</si>
  <si>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</si>
  <si>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</si>
  <si>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</si>
  <si>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</si>
  <si>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</si>
  <si>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</si>
  <si>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</si>
  <si>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</si>
  <si>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</si>
  <si>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</si>
  <si>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</si>
  <si>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</si>
  <si>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</si>
  <si>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</si>
  <si>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</si>
  <si>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</si>
  <si>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</si>
  <si>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</si>
  <si>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</si>
  <si>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</si>
  <si>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</si>
  <si>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</si>
  <si>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</si>
  <si>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</si>
  <si>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</si>
  <si>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</si>
  <si>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</si>
  <si>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</si>
  <si>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</si>
  <si>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</si>
  <si>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</si>
  <si>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</si>
  <si>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</si>
  <si>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</si>
  <si>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</si>
  <si>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</si>
  <si>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</si>
  <si>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</si>
  <si>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</si>
  <si>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</si>
  <si>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</si>
  <si>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</si>
  <si>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</si>
  <si>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</si>
  <si>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</si>
  <si>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</si>
  <si>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</si>
  <si>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</si>
  <si>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</si>
  <si>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</si>
  <si>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</si>
  <si>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</si>
  <si>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</si>
  <si>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</si>
  <si>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</si>
  <si>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</si>
  <si>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</si>
  <si>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</si>
  <si>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</si>
  <si>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</si>
  <si>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</si>
  <si>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</si>
  <si>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</si>
  <si>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</si>
  <si>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</si>
  <si>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</si>
  <si>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</si>
  <si>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</si>
  <si>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</si>
  <si>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</si>
  <si>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</si>
  <si>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</si>
  <si>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</si>
  <si>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</si>
  <si>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</si>
  <si>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</si>
  <si>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</si>
  <si>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</si>
  <si>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</si>
  <si>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</si>
  <si>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</si>
  <si>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</si>
  <si>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</si>
  <si>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</si>
  <si>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</si>
  <si>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</si>
  <si>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</si>
  <si>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</si>
  <si>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</si>
  <si>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</si>
  <si>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</si>
  <si>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</si>
  <si>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</si>
  <si>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</si>
  <si>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</si>
  <si>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</si>
  <si>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</si>
  <si>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</si>
  <si>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</si>
  <si>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</si>
  <si>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</si>
  <si>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</si>
  <si>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</si>
  <si>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</si>
  <si>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</si>
  <si>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</si>
  <si>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</si>
  <si>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</si>
  <si>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</si>
  <si>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</si>
  <si>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</si>
  <si>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</si>
  <si>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</si>
  <si>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</si>
  <si>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</si>
  <si>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</si>
  <si>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</si>
  <si>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</si>
  <si>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</si>
  <si>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</si>
  <si>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</si>
  <si>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</si>
  <si>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</si>
  <si>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</si>
  <si>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</si>
  <si>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</si>
  <si>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</si>
  <si>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</si>
  <si>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</si>
  <si>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</si>
  <si>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</si>
  <si>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</si>
  <si>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</si>
  <si>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</si>
  <si>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</si>
  <si>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</si>
  <si>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</si>
  <si>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</si>
  <si>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</si>
  <si>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</si>
  <si>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</si>
  <si>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</si>
  <si>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</si>
  <si>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</si>
  <si>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</si>
  <si>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</si>
  <si>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</si>
  <si>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</si>
  <si>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</si>
  <si>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</si>
  <si>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</si>
  <si>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</si>
  <si>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</si>
  <si>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</si>
  <si>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</si>
  <si>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</si>
  <si>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</si>
  <si>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</si>
  <si>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</si>
  <si>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</si>
  <si>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</si>
  <si>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</si>
  <si>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</si>
  <si>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</si>
  <si>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</si>
  <si>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</si>
  <si>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</si>
  <si>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</si>
  <si>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</si>
  <si>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</si>
  <si>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</si>
  <si>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</si>
  <si>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</si>
  <si>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</si>
  <si>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</si>
  <si>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</si>
  <si>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</si>
  <si>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</si>
  <si>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</si>
  <si>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</si>
  <si>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</si>
  <si>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</si>
  <si>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</si>
  <si>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</si>
  <si>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</si>
  <si>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</si>
  <si>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</si>
  <si>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</si>
  <si>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</si>
  <si>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</si>
  <si>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</si>
  <si>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</si>
  <si>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</si>
  <si>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</si>
  <si>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</si>
  <si>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</si>
  <si>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</si>
  <si>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</si>
  <si>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</si>
  <si>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</si>
  <si>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</si>
  <si>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</si>
  <si>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</si>
  <si>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</si>
  <si>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</si>
  <si>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</si>
  <si>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</si>
  <si>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</si>
  <si>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</si>
  <si>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</si>
  <si>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</si>
  <si>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</si>
  <si>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</si>
  <si>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</si>
  <si>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</si>
  <si>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</si>
  <si>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</si>
  <si>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</si>
  <si>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</si>
  <si>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</si>
  <si>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</si>
  <si>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</si>
  <si>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</si>
  <si>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</si>
  <si>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</si>
  <si>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</si>
  <si>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</si>
  <si>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</si>
  <si>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</si>
  <si>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</si>
  <si>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</si>
  <si>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</si>
  <si>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</si>
  <si>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</si>
  <si>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</si>
  <si>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</si>
  <si>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</si>
  <si>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</si>
  <si>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</si>
  <si>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</si>
  <si>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</si>
  <si>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</si>
  <si>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</si>
  <si>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</si>
  <si>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</si>
  <si>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</si>
  <si>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</si>
  <si>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</si>
  <si>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</si>
  <si>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</si>
  <si>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</si>
  <si>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</si>
  <si>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</si>
  <si>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</si>
  <si>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</si>
  <si>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</si>
  <si>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</si>
  <si>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</si>
  <si>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</si>
  <si>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</si>
  <si>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</si>
  <si>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</si>
  <si>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</si>
  <si>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</si>
  <si>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</si>
  <si>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</si>
  <si>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</si>
  <si>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</si>
  <si>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</si>
  <si>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</si>
  <si>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</si>
  <si>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</si>
  <si>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</si>
  <si>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</si>
  <si>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</si>
  <si>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</si>
  <si>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</si>
  <si>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</si>
  <si>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</si>
  <si>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</si>
  <si>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</si>
  <si>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</si>
  <si>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</si>
  <si>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</si>
  <si>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</si>
  <si>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</si>
  <si>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</si>
  <si>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</si>
  <si>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</si>
  <si>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</si>
  <si>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</si>
  <si>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</si>
  <si>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</si>
  <si>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</si>
  <si>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</si>
  <si>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</si>
  <si>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</si>
  <si>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</si>
  <si>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</si>
  <si>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</si>
  <si>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</si>
  <si>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</si>
  <si>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</si>
  <si>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</si>
  <si>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</si>
  <si>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</si>
  <si>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</si>
  <si>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</si>
  <si>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</si>
  <si>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</si>
  <si>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</si>
  <si>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</si>
  <si>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</si>
  <si>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</si>
  <si>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</si>
  <si>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</si>
  <si>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</si>
  <si>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</si>
  <si>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</si>
  <si>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</si>
  <si>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</si>
  <si>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</si>
  <si>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</si>
  <si>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</si>
  <si>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</si>
  <si>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</si>
  <si>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</si>
  <si>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</si>
  <si>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</si>
  <si>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</si>
  <si>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</si>
  <si>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</si>
  <si>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</si>
  <si>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</si>
  <si>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</si>
  <si>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</si>
  <si>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</si>
  <si>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</si>
  <si>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</si>
  <si>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</si>
  <si>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</si>
  <si>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</si>
  <si>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</si>
  <si>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</si>
  <si>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</si>
  <si>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</si>
  <si>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</si>
  <si>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</si>
  <si>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</si>
  <si>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</si>
  <si>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</si>
  <si>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</si>
  <si>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</si>
  <si>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</si>
  <si>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</si>
  <si>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</si>
  <si>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</si>
  <si>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</si>
  <si>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</si>
  <si>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</si>
  <si>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</si>
  <si>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</si>
  <si>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</si>
  <si>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</si>
  <si>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</si>
  <si>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</si>
  <si>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</si>
  <si>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</si>
  <si>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</si>
  <si>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</si>
  <si>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</si>
  <si>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</si>
  <si>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</si>
  <si>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</si>
  <si>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</si>
  <si>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</si>
  <si>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</si>
  <si>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</si>
  <si>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</si>
  <si>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</si>
  <si>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</si>
  <si>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</si>
  <si>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</si>
  <si>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</si>
  <si>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</si>
  <si>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</si>
  <si>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</si>
  <si>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</si>
  <si>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</si>
  <si>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</si>
  <si>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</si>
  <si>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</si>
  <si>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</si>
  <si>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</si>
  <si>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</si>
  <si>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</si>
  <si>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</si>
  <si>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</si>
  <si>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</si>
  <si>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</si>
  <si>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</si>
  <si>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</si>
  <si>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</si>
  <si>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</si>
  <si>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</si>
  <si>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</si>
  <si>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</si>
  <si>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</si>
  <si>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</si>
  <si>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</si>
  <si>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</si>
  <si>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</si>
  <si>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</si>
  <si>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</si>
  <si>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</si>
  <si>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</si>
  <si>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</si>
  <si>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</si>
  <si>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</si>
  <si>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</si>
  <si>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</si>
  <si>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</si>
  <si>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</si>
  <si>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</si>
  <si>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</si>
  <si>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</si>
  <si>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</si>
  <si>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</si>
  <si>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</si>
  <si>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</si>
  <si>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</si>
  <si>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</si>
  <si>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</si>
  <si>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</si>
  <si>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</si>
  <si>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</si>
  <si>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</si>
  <si>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</si>
  <si>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</si>
  <si>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</si>
  <si>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</si>
  <si>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</si>
  <si>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</si>
  <si>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</si>
  <si>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</si>
  <si>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</si>
  <si>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</si>
  <si>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</si>
  <si>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</si>
  <si>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</si>
  <si>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</si>
  <si>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</si>
  <si>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</si>
  <si>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</si>
  <si>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</si>
  <si>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</si>
  <si>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</si>
  <si>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</si>
  <si>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</si>
  <si>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</si>
  <si>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</si>
  <si>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</si>
  <si>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</si>
  <si>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</si>
  <si>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</si>
  <si>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</si>
  <si>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</si>
  <si>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</si>
  <si>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</si>
  <si>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</si>
  <si>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</si>
  <si>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</si>
  <si>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</si>
  <si>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</si>
  <si>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</si>
  <si>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</si>
  <si>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</si>
  <si>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</si>
  <si>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</si>
  <si>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</si>
  <si>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</si>
  <si>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</si>
  <si>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</si>
  <si>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</si>
  <si>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</si>
  <si>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</si>
  <si>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</si>
  <si>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</si>
  <si>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</si>
  <si>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</si>
  <si>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</si>
  <si>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</si>
  <si>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</si>
  <si>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</si>
  <si>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</si>
  <si>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</si>
  <si>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</si>
  <si>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</si>
  <si>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</si>
  <si>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</si>
  <si>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</si>
  <si>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</si>
  <si>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</si>
  <si>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</si>
  <si>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</si>
  <si>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</si>
  <si>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</si>
  <si>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</si>
  <si>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</si>
  <si>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</si>
  <si>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</si>
  <si>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</si>
  <si>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</si>
  <si>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</si>
  <si>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</si>
  <si>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</si>
  <si>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</si>
  <si>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</si>
  <si>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</si>
  <si>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</si>
  <si>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</si>
  <si>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</si>
  <si>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</si>
  <si>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</si>
  <si>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</si>
  <si>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</si>
  <si>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</si>
  <si>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</si>
  <si>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</si>
  <si>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</si>
  <si>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</si>
  <si>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</si>
  <si>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</si>
  <si>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</si>
  <si>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</si>
  <si>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</si>
  <si>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</si>
  <si>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</si>
  <si>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</si>
  <si>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</si>
  <si>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</si>
  <si>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</si>
  <si>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</si>
  <si>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</si>
  <si>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</si>
  <si>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</si>
  <si>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</si>
  <si>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</si>
  <si>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</si>
  <si>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</si>
  <si>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</si>
  <si>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</si>
  <si>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</si>
  <si>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</si>
  <si>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</si>
  <si>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</si>
  <si>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</si>
  <si>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</si>
  <si>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</si>
  <si>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</si>
  <si>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</si>
  <si>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</si>
  <si>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</si>
  <si>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</si>
  <si>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</si>
  <si>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</si>
  <si>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</si>
  <si>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</si>
  <si>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</si>
  <si>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</si>
  <si>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</si>
  <si>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</si>
  <si>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</si>
  <si>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</si>
  <si>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</si>
  <si>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</si>
  <si>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</si>
  <si>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</si>
  <si>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</si>
  <si>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</si>
  <si>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</si>
  <si>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</si>
  <si>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</si>
  <si>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</si>
  <si>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</si>
  <si>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</si>
  <si>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</si>
  <si>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</si>
  <si>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</si>
  <si>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</si>
  <si>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</si>
  <si>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</si>
  <si>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</si>
  <si>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</si>
  <si>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</si>
  <si>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</si>
  <si>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</si>
  <si>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</si>
  <si>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</si>
  <si>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</si>
  <si>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</si>
  <si>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</si>
  <si>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</si>
  <si>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</si>
  <si>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</si>
  <si>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</si>
  <si>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</si>
  <si>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</si>
  <si>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</si>
  <si>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</si>
  <si>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</si>
  <si>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</si>
  <si>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</si>
  <si>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</si>
  <si>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</si>
  <si>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</si>
  <si>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</si>
  <si>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</si>
  <si>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</si>
  <si>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</si>
  <si>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</si>
  <si>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</si>
  <si>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</si>
  <si>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</si>
  <si>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</si>
  <si>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</si>
  <si>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</si>
  <si>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</si>
  <si>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</si>
  <si>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</si>
  <si>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</si>
  <si>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</si>
  <si>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</si>
  <si>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</si>
  <si>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</si>
  <si>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</si>
  <si>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</si>
  <si>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</si>
  <si>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</si>
  <si>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</si>
  <si>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</si>
  <si>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</si>
  <si>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</si>
  <si>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</si>
  <si>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</si>
  <si>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</si>
  <si>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</si>
  <si>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</si>
  <si>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</si>
  <si>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</si>
  <si>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</si>
  <si>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</si>
  <si>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</si>
  <si>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</si>
  <si>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</si>
  <si>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</si>
  <si>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</si>
  <si>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</si>
  <si>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</si>
  <si>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</si>
  <si>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</si>
  <si>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</si>
  <si>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</si>
  <si>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</si>
  <si>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</si>
  <si>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</si>
  <si>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</si>
  <si>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</si>
  <si>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</si>
  <si>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</si>
  <si>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</si>
  <si>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</si>
  <si>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</si>
  <si>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</si>
  <si>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</si>
  <si>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</si>
  <si>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</si>
  <si>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</si>
  <si>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</si>
  <si>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</si>
  <si>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</si>
  <si>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</si>
  <si>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</si>
  <si>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</si>
  <si>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</si>
  <si>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</si>
  <si>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</si>
  <si>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</si>
  <si>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</si>
  <si>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</si>
  <si>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</si>
  <si>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</si>
  <si>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</si>
  <si>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</si>
  <si>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</si>
  <si>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</si>
  <si>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</si>
  <si>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</si>
  <si>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</si>
  <si>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</si>
  <si>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</si>
  <si>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</si>
  <si>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</si>
  <si>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</si>
  <si>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</si>
  <si>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</si>
  <si>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</si>
  <si>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</si>
  <si>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</si>
  <si>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</si>
  <si>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</si>
  <si>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</si>
  <si>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</si>
  <si>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</si>
  <si>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</si>
  <si>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</si>
  <si>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</si>
  <si>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</si>
  <si>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</si>
  <si>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</si>
  <si>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</si>
  <si>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</si>
  <si>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</si>
  <si>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</si>
  <si>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</si>
  <si>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</si>
  <si>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</si>
  <si>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</si>
  <si>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</si>
  <si>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</si>
  <si>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</si>
  <si>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</si>
  <si>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</si>
  <si>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</si>
  <si>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</si>
  <si>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</si>
  <si>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</si>
  <si>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</si>
  <si>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</si>
  <si>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</si>
  <si>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</si>
  <si>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</si>
  <si>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</si>
  <si>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</si>
  <si>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</si>
  <si>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</si>
  <si>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</si>
  <si>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</si>
  <si>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</si>
  <si>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</si>
  <si>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</si>
  <si>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</si>
  <si>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</si>
  <si>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</si>
  <si>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</si>
  <si>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</si>
  <si>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</si>
  <si>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</si>
  <si>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</si>
  <si>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</si>
  <si>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</si>
  <si>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</si>
  <si>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</si>
  <si>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</si>
  <si>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</si>
  <si>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</si>
  <si>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</si>
  <si>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</si>
  <si>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</si>
  <si>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</si>
  <si>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</si>
  <si>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</si>
  <si>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</si>
  <si>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</si>
  <si>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</si>
  <si>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</si>
  <si>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</si>
  <si>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</si>
  <si>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</si>
  <si>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</si>
  <si>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</si>
  <si>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</si>
  <si>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</si>
  <si>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</si>
  <si>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</si>
  <si>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</si>
  <si>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</si>
  <si>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</si>
  <si>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</si>
  <si>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</si>
  <si>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</si>
  <si>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</si>
  <si>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</si>
  <si>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</si>
  <si>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</si>
  <si>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</si>
  <si>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</si>
  <si>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</si>
  <si>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</si>
  <si>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</si>
  <si>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</si>
  <si>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</si>
  <si>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</si>
  <si>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</si>
  <si>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</si>
  <si>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</si>
  <si>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</si>
  <si>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</si>
  <si>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</si>
  <si>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</si>
  <si>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</si>
  <si>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</si>
  <si>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</si>
  <si>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</si>
  <si>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</si>
  <si>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</si>
  <si>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</si>
  <si>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</si>
  <si>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</si>
  <si>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</si>
  <si>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</si>
  <si>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</si>
  <si>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</si>
  <si>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</si>
  <si>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</si>
  <si>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</si>
  <si>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</si>
  <si>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</si>
  <si>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</si>
  <si>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</si>
  <si>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</si>
  <si>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</si>
  <si>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</si>
  <si>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</si>
  <si>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</si>
  <si>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</si>
  <si>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</si>
  <si>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</si>
  <si>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</si>
  <si>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</si>
  <si>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</si>
  <si>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</si>
  <si>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</si>
  <si>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</si>
  <si>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</si>
  <si>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</si>
  <si>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</si>
  <si>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</si>
  <si>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</si>
  <si>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</si>
  <si>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</si>
  <si>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</si>
  <si>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</si>
  <si>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</si>
  <si>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</si>
  <si>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</si>
  <si>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</si>
  <si>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</si>
  <si>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</si>
  <si>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</si>
  <si>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</si>
  <si>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</si>
  <si>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</si>
  <si>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</si>
  <si>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</si>
  <si>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</si>
  <si>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</si>
  <si>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</si>
  <si>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</si>
  <si>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</si>
  <si>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</si>
  <si>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</si>
  <si>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</si>
  <si>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</si>
  <si>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</si>
  <si>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</si>
  <si>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</si>
  <si>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</si>
  <si>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</si>
  <si>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</si>
  <si>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</si>
  <si>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</si>
  <si>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</si>
  <si>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</si>
  <si>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</si>
  <si>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</si>
  <si>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</si>
  <si>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</si>
  <si>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</si>
  <si>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</si>
  <si>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</si>
  <si>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</si>
  <si>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</si>
  <si>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</si>
  <si>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</si>
  <si>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</si>
  <si>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</si>
  <si>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</si>
  <si>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</si>
  <si>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</si>
  <si>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</si>
  <si>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</si>
  <si>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</si>
  <si>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</si>
  <si>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</si>
  <si>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</si>
  <si>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</si>
  <si>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</si>
  <si>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</si>
  <si>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</si>
  <si>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</si>
  <si>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</si>
  <si>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</si>
  <si>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</si>
  <si>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</si>
  <si>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</si>
  <si>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</si>
  <si>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</si>
  <si>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</si>
  <si>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</si>
  <si>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</si>
  <si>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</si>
  <si>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</si>
  <si>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</si>
  <si>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</si>
  <si>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</si>
  <si>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</si>
  <si>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</si>
  <si>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</si>
  <si>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</si>
  <si>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</si>
  <si>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</si>
  <si>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</si>
  <si>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</si>
  <si>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</si>
  <si>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</si>
  <si>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</si>
  <si>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</si>
  <si>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</si>
  <si>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</si>
  <si>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</si>
  <si>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</si>
  <si>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</si>
  <si>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</si>
  <si>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</si>
  <si>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</si>
  <si>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</si>
  <si>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</si>
  <si>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</si>
  <si>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</si>
  <si>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</si>
  <si>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</si>
  <si>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</si>
  <si>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</si>
  <si>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</si>
  <si>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</si>
  <si>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</si>
  <si>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</si>
  <si>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</si>
  <si>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</si>
  <si>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</si>
  <si>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</si>
  <si>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</si>
  <si>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</si>
  <si>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</si>
  <si>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</si>
  <si>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</si>
  <si>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</si>
  <si>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</si>
  <si>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</si>
  <si>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</si>
  <si>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</si>
  <si>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</si>
  <si>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</si>
  <si>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</si>
  <si>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</si>
  <si>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</si>
  <si>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</si>
  <si>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</si>
  <si>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</si>
  <si>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</si>
  <si>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</si>
  <si>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</si>
  <si>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</si>
  <si>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</si>
  <si>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</si>
  <si>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</si>
  <si>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</si>
  <si>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</si>
  <si>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</si>
  <si>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</si>
  <si>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</si>
  <si>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</si>
  <si>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</si>
  <si>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</si>
  <si>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</si>
  <si>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</si>
  <si>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</si>
  <si>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</si>
  <si>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</si>
  <si>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</si>
  <si>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</si>
  <si>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</si>
  <si>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</si>
  <si>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</si>
  <si>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</si>
  <si>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</si>
  <si>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</si>
  <si>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</si>
  <si>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</si>
  <si>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</si>
  <si>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</si>
  <si>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</si>
  <si>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</si>
  <si>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</si>
  <si>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</si>
  <si>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</si>
  <si>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</si>
  <si>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</si>
  <si>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</si>
  <si>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</si>
  <si>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</si>
  <si>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</si>
  <si>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</si>
  <si>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</si>
  <si>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</si>
  <si>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</si>
  <si>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</si>
  <si>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</si>
  <si>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</si>
  <si>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</si>
  <si>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</si>
  <si>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</si>
  <si>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</si>
  <si>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</si>
  <si>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</si>
  <si>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</si>
  <si>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</si>
  <si>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</si>
  <si>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</si>
  <si>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</si>
  <si>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</si>
  <si>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</si>
  <si>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</si>
  <si>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</si>
  <si>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</si>
  <si>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</si>
  <si>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</si>
  <si>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</si>
  <si>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</si>
  <si>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</si>
  <si>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</si>
  <si>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</si>
  <si>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</si>
  <si>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</si>
  <si>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</si>
  <si>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</si>
  <si>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</si>
  <si>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</si>
  <si>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</si>
  <si>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</si>
  <si>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</si>
  <si>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</si>
  <si>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</si>
  <si>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</si>
  <si>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</si>
  <si>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</si>
  <si>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</si>
  <si>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</si>
  <si>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</si>
  <si>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</si>
  <si>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</si>
  <si>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</si>
  <si>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</si>
  <si>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</si>
  <si>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</si>
  <si>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</si>
  <si>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</si>
  <si>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</si>
  <si>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</si>
  <si>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</si>
  <si>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</si>
  <si>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</si>
  <si>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</si>
  <si>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</si>
  <si>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</si>
  <si>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</si>
  <si>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</si>
  <si>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</si>
  <si>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</si>
  <si>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</si>
  <si>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</si>
  <si>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</si>
  <si>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</si>
  <si>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</si>
  <si>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</si>
  <si>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</si>
  <si>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</si>
  <si>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</si>
  <si>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</si>
  <si>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</si>
  <si>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</si>
  <si>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</si>
  <si>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</si>
  <si>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</si>
  <si>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</si>
  <si>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</si>
  <si>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</si>
  <si>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</si>
  <si>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</si>
  <si>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</si>
  <si>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</si>
  <si>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</si>
  <si>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</si>
  <si>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</si>
  <si>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</si>
  <si>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</si>
  <si>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</si>
  <si>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</si>
  <si>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</si>
  <si>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</si>
  <si>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</si>
  <si>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</si>
  <si>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</si>
  <si>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</si>
  <si>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</si>
  <si>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</si>
  <si>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</si>
  <si>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</si>
  <si>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</si>
  <si>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</si>
  <si>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</si>
  <si>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</si>
  <si>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</si>
  <si>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</si>
  <si>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</si>
  <si>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</si>
  <si>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</si>
  <si>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</si>
  <si>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</si>
  <si>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</si>
  <si>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</si>
  <si>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</si>
  <si>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</si>
  <si>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</si>
  <si>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</si>
  <si>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</si>
  <si>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</si>
  <si>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</si>
  <si>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</si>
  <si>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</si>
  <si>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</si>
  <si>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</si>
  <si>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</si>
  <si>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</si>
  <si>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</si>
  <si>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</si>
  <si>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</si>
  <si>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</si>
  <si>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</si>
  <si>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</si>
  <si>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</si>
  <si>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</si>
  <si>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</si>
  <si>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</si>
  <si>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</si>
  <si>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</si>
  <si>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</si>
  <si>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</si>
  <si>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</si>
  <si>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</si>
  <si>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</si>
  <si>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</si>
  <si>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</si>
  <si>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</si>
  <si>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</si>
  <si>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</si>
  <si>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</si>
  <si>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</si>
  <si>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</si>
  <si>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</si>
  <si>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</si>
  <si>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</si>
  <si>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</si>
  <si>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</si>
  <si>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</si>
  <si>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</si>
  <si>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</si>
  <si>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</si>
  <si>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</si>
  <si>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</si>
  <si>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</si>
  <si>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</si>
  <si>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</si>
  <si>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</si>
  <si>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</si>
  <si>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</si>
  <si>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</si>
  <si>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</si>
  <si>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</si>
  <si>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</si>
  <si>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</si>
  <si>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</si>
  <si>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</si>
  <si>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</si>
  <si>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</si>
  <si>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</si>
  <si>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</si>
  <si>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</si>
  <si>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</si>
  <si>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</si>
  <si>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</si>
  <si>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</si>
  <si>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</si>
  <si>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</si>
  <si>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</si>
  <si>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</si>
  <si>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</si>
  <si>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</si>
  <si>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</si>
  <si>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</si>
  <si>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</si>
  <si>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</si>
  <si>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</si>
  <si>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</si>
  <si>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</si>
  <si>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</si>
  <si>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</si>
  <si>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</si>
  <si>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</si>
  <si>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</si>
  <si>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</si>
  <si>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</si>
  <si>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</si>
  <si>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</si>
  <si>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</si>
  <si>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</si>
  <si>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</si>
  <si>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</si>
  <si>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</si>
  <si>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</si>
  <si>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</si>
  <si>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</si>
  <si>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</si>
  <si>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</si>
  <si>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</si>
  <si>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</si>
  <si>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</si>
  <si>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</si>
  <si>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</si>
  <si>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</si>
  <si>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</si>
  <si>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</si>
  <si>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</si>
  <si>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</si>
  <si>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</si>
  <si>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</si>
  <si>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</si>
  <si>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</si>
  <si>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</si>
  <si>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</si>
  <si>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</si>
  <si>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</si>
  <si>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</si>
  <si>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</si>
  <si>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</si>
  <si>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</si>
  <si>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</si>
  <si>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</si>
  <si>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</si>
  <si>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</si>
  <si>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</si>
  <si>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</si>
  <si>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</si>
  <si>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</si>
  <si>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</si>
  <si>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</si>
  <si>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</si>
  <si>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</si>
  <si>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</si>
  <si>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</si>
  <si>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</si>
  <si>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</si>
  <si>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</si>
  <si>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</si>
  <si>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</si>
  <si>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</si>
  <si>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</si>
  <si>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</si>
  <si>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</si>
  <si>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</si>
  <si>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</si>
  <si>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</si>
  <si>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</si>
  <si>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</si>
  <si>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</si>
  <si>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</si>
  <si>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</si>
  <si>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</si>
  <si>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</si>
  <si>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</si>
  <si>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</si>
  <si>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</si>
  <si>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</si>
  <si>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</si>
  <si>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</si>
  <si>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</si>
  <si>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</si>
  <si>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</si>
  <si>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</si>
  <si>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</si>
  <si>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</si>
  <si>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</si>
  <si>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</si>
  <si>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</si>
  <si>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</si>
  <si>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</si>
  <si>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</si>
  <si>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</si>
  <si>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</si>
  <si>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</si>
  <si>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</si>
  <si>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</si>
  <si>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</si>
  <si>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</si>
  <si>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</si>
  <si>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</si>
  <si>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</si>
  <si>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</si>
  <si>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</si>
  <si>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</si>
  <si>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</si>
  <si>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</si>
  <si>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</si>
  <si>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</si>
  <si>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</si>
  <si>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</si>
  <si>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</si>
  <si>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</si>
  <si>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</si>
  <si>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</si>
  <si>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</si>
  <si>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</si>
  <si>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</si>
  <si>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</si>
  <si>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</si>
  <si>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</si>
  <si>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</si>
  <si>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</si>
  <si>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</si>
  <si>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</si>
  <si>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</si>
  <si>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</si>
  <si>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</si>
  <si>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</si>
  <si>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</si>
  <si>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</si>
  <si>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</si>
  <si>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</si>
  <si>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</si>
  <si>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</si>
  <si>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</si>
  <si>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</si>
  <si>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</si>
  <si>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</si>
  <si>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</si>
  <si>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</si>
  <si>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</si>
  <si>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</si>
  <si>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</si>
  <si>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</si>
  <si>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</si>
  <si>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</si>
  <si>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</si>
  <si>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</si>
  <si>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</si>
  <si>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</si>
  <si>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</si>
  <si>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</si>
  <si>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</si>
  <si>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</si>
  <si>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</si>
  <si>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</si>
  <si>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</si>
  <si>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</si>
  <si>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</si>
  <si>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</si>
  <si>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</si>
  <si>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</si>
  <si>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</si>
  <si>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</si>
  <si>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</si>
  <si>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</si>
  <si>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</si>
  <si>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</si>
  <si>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</si>
  <si>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</si>
  <si>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</si>
  <si>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</si>
  <si>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</si>
  <si>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</si>
  <si>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</si>
  <si>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</si>
  <si>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</si>
  <si>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</si>
  <si>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</si>
  <si>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</si>
  <si>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</si>
  <si>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</si>
  <si>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</si>
  <si>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</si>
  <si>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</si>
  <si>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</si>
  <si>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</si>
  <si>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</si>
  <si>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</si>
  <si>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</si>
  <si>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</si>
  <si>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</si>
  <si>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</si>
  <si>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</si>
  <si>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</si>
  <si>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</si>
  <si>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</si>
  <si>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</si>
  <si>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</si>
  <si>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</si>
  <si>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</si>
  <si>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</si>
  <si>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</si>
  <si>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</si>
  <si>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</si>
  <si>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</si>
  <si>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</si>
  <si>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</si>
  <si>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</si>
  <si>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</si>
  <si>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</si>
  <si>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</si>
  <si>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</si>
  <si>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</si>
  <si>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</si>
  <si>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</si>
  <si>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</si>
  <si>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</si>
  <si>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</si>
  <si>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</si>
  <si>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</si>
  <si>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</si>
  <si>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</si>
  <si>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</si>
  <si>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</si>
  <si>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</si>
  <si>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</si>
  <si>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</si>
  <si>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</si>
  <si>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</si>
  <si>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</si>
  <si>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</si>
  <si>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</si>
  <si>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</si>
  <si>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</si>
  <si>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</si>
  <si>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</si>
  <si>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</si>
  <si>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</si>
  <si>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</si>
  <si>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</si>
  <si>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</si>
  <si>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</si>
  <si>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</si>
  <si>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</si>
  <si>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</si>
  <si>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</si>
  <si>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</si>
  <si>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</si>
  <si>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</si>
  <si>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</si>
  <si>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</si>
  <si>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</si>
  <si>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</si>
  <si>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</si>
  <si>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</si>
  <si>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</si>
  <si>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</si>
  <si>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</si>
  <si>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</si>
  <si>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</si>
  <si>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</si>
  <si>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</si>
  <si>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</si>
  <si>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</si>
  <si>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Smith, Koelling, Dykstra &amp; Ohm, P.C.</t>
  </si>
  <si>
    <t>Marcie Meents Kolberg</t>
  </si>
  <si>
    <t>1605 North Convent</t>
  </si>
  <si>
    <t>Bourbonnais</t>
  </si>
  <si>
    <t>IL</t>
  </si>
  <si>
    <t>815-937-1997</t>
  </si>
  <si>
    <t>815-935-0360</t>
  </si>
  <si>
    <t>marciek@skdocpa.com</t>
  </si>
  <si>
    <t>X</t>
  </si>
  <si>
    <t>Dr. Gregg Murphy</t>
  </si>
  <si>
    <t>gmurphy@i-kan.org</t>
  </si>
  <si>
    <t>815-937-2950</t>
  </si>
  <si>
    <t>815-937-2921</t>
  </si>
  <si>
    <t>x</t>
  </si>
  <si>
    <t>Kankakee</t>
  </si>
  <si>
    <t>400 North Pine Street</t>
  </si>
  <si>
    <t>Momence</t>
  </si>
  <si>
    <t>Shannon Anderson</t>
  </si>
  <si>
    <t>sanderson@mcusd1.net</t>
  </si>
  <si>
    <t>815-472-3501</t>
  </si>
  <si>
    <t>815-472-3516</t>
  </si>
  <si>
    <t>Series 2006 - building</t>
  </si>
  <si>
    <t>Series 2015 - working cash</t>
  </si>
  <si>
    <t>Series 2015 - refunding</t>
  </si>
  <si>
    <t>Note payable - ISBE technology loan</t>
  </si>
  <si>
    <t>HUB International</t>
  </si>
  <si>
    <t>PMA</t>
  </si>
  <si>
    <t>BBCHS, St. Anne, St. George, Grant Park</t>
  </si>
  <si>
    <t>Kankakee Area Special Education Cooperative</t>
  </si>
  <si>
    <t>Duratech</t>
  </si>
  <si>
    <t>Illinois Central</t>
  </si>
  <si>
    <t>Kankakee Area Career Center</t>
  </si>
  <si>
    <t>066-005281</t>
  </si>
  <si>
    <t>US DEPARTMENT OF EDUCATION:</t>
  </si>
  <si>
    <t>Pass-through from Illinois State Board of Education</t>
  </si>
  <si>
    <t>Title I Low Income</t>
  </si>
  <si>
    <t>2017-4300</t>
  </si>
  <si>
    <t>2018-4300</t>
  </si>
  <si>
    <t>Total CFDA 84.010 (M)</t>
  </si>
  <si>
    <t>Title I Low Income (M)</t>
  </si>
  <si>
    <t>Title II Teacher Quality</t>
  </si>
  <si>
    <t>2017-4932</t>
  </si>
  <si>
    <t>2018-4932</t>
  </si>
  <si>
    <t>Total CFDA 84.367</t>
  </si>
  <si>
    <t>Title III LIPLEP</t>
  </si>
  <si>
    <t>Total CFDA 84.365</t>
  </si>
  <si>
    <t>2017-4909</t>
  </si>
  <si>
    <t>2018-4909</t>
  </si>
  <si>
    <t>Special Education IDEA Cluster:</t>
  </si>
  <si>
    <t>Special Education-IDEA Room and Board</t>
  </si>
  <si>
    <t>2017-4625</t>
  </si>
  <si>
    <t>2018-4625</t>
  </si>
  <si>
    <t>Special Education-IDEA Flowthrough</t>
  </si>
  <si>
    <t>2017-4620</t>
  </si>
  <si>
    <t>2018-4620</t>
  </si>
  <si>
    <t>Special Education-Preschool Flowthrough</t>
  </si>
  <si>
    <t>2018-4600</t>
  </si>
  <si>
    <t>Total pass-through from Illinois State Board of Education</t>
  </si>
  <si>
    <t>Pass-through from Kankakee Area Special Education Co-op</t>
  </si>
  <si>
    <t>2017-4600</t>
  </si>
  <si>
    <t>Total pass-through from Kankakee Area Special Education Co-op</t>
  </si>
  <si>
    <t>Total CFDA 84.027</t>
  </si>
  <si>
    <t>Total CFDA 84.173</t>
  </si>
  <si>
    <t>Total Special Education IDEA Cluster</t>
  </si>
  <si>
    <t>US DEPARTMENT OF HEALTH AND HUMAN SERVICES:</t>
  </si>
  <si>
    <t>Medical Assistance Program</t>
  </si>
  <si>
    <t>Child Nutrition Cluster:</t>
  </si>
  <si>
    <t>US DEPARTMENT OF AGRICULTURE:</t>
  </si>
  <si>
    <t>School Breakfast</t>
  </si>
  <si>
    <t>Total CFDA 10.553</t>
  </si>
  <si>
    <t>National Lunch Program</t>
  </si>
  <si>
    <t>2017-4220</t>
  </si>
  <si>
    <t>2018-4220</t>
  </si>
  <si>
    <t>2017-4210</t>
  </si>
  <si>
    <t>2018-4210</t>
  </si>
  <si>
    <t>TOTAL US DEPARTMENT OF AGRICULTURE</t>
  </si>
  <si>
    <t>TOTAL US DEPARTMENT OF HEALTH AND HUMAN SERVICES</t>
  </si>
  <si>
    <t>NA</t>
  </si>
  <si>
    <t>na</t>
  </si>
  <si>
    <t>US DEPARTMENT OF DEFENSE:</t>
  </si>
  <si>
    <t>Food Commodities (non cash)</t>
  </si>
  <si>
    <t>TOTAL US DEPARTMENT OF DEFENSE</t>
  </si>
  <si>
    <t>Total CFDA 10.555</t>
  </si>
  <si>
    <t>Total Child Nutrtion Cluster</t>
  </si>
  <si>
    <t>TOTAL FEDERAL AWARDS</t>
  </si>
  <si>
    <t xml:space="preserve">Adverse-GAAP; Unmodified-Regulatory </t>
  </si>
  <si>
    <t>10.553/10.555</t>
  </si>
  <si>
    <t>Child Nutrition Cluster</t>
  </si>
  <si>
    <t>None</t>
  </si>
  <si>
    <r>
      <t>The accompanying Schedule of Expenditures of Federal Awards includes the federal grant activity of Momence CUSD #1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</si>
  <si>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Momence CUSD #1</t>
    </r>
    <r>
      <rPr>
        <sz val="9"/>
        <rFont val="Calibri"/>
        <family val="2"/>
        <scheme val="minor"/>
      </rPr>
      <t xml:space="preserve"> provided federal awards to subrecipients as follows:</t>
    </r>
  </si>
  <si>
    <t>none</t>
  </si>
  <si>
    <t>no</t>
  </si>
  <si>
    <t>Medicaid Assistance Program 4% fee</t>
  </si>
  <si>
    <t>technology loan</t>
  </si>
  <si>
    <t>Ed-Support Services-Purchased Services</t>
  </si>
  <si>
    <t>Over the Moon Therapy</t>
  </si>
  <si>
    <t>10-2100-300</t>
  </si>
  <si>
    <t>Ed-Support Services-Other</t>
  </si>
  <si>
    <t>Ed-Instruction-Purchased Services</t>
  </si>
  <si>
    <t>O&amp;M-Support Services-Purchased Services</t>
  </si>
  <si>
    <t>10-2300-600</t>
  </si>
  <si>
    <t>Alice Training Institute LLC</t>
  </si>
  <si>
    <t>Common Goal Systems Inc</t>
  </si>
  <si>
    <t>MSDSonline Inc</t>
  </si>
  <si>
    <t>Northwest Evaluation Assc</t>
  </si>
  <si>
    <t>Otis Elevator Company</t>
  </si>
  <si>
    <t>Proven Business Systems</t>
  </si>
  <si>
    <t>Rid All Pest Control</t>
  </si>
  <si>
    <t>10-1000-300</t>
  </si>
  <si>
    <t>10-2540-300</t>
  </si>
  <si>
    <t>20-2540-300</t>
  </si>
  <si>
    <t>10-2630-300</t>
  </si>
  <si>
    <t>Robbins Schwartz</t>
  </si>
  <si>
    <t>Over the Moon Therapy - Vision Services</t>
  </si>
  <si>
    <t>Cash and investment accounts are to be properly reconciled on a consistent basis in order to ensure that all funds are accounted for and are properly recorded.</t>
  </si>
  <si>
    <t>The ISDLAF PMA investments general account and scholarship account were not properly reconciled as of June 30, 2018. Because the reconciliation was not properly performed, the District was unaware that $239,233 had been inadvertently transferred out of the general PMA account and into the scholarship PMA account in February of 2018.</t>
  </si>
  <si>
    <t xml:space="preserve">As of September 30, 2018, the District has transferred the funds and related interest earnings back to the correct accounts and has properly reconciled each account. </t>
  </si>
  <si>
    <t xml:space="preserve">As of June 30, 2018, funds in the amount of $239,233 were in the scholarship PMA account that should have been in the general PMA account. Interest and dividends earned on those funds were not recorded on the District's books as of June 30, 2018. The amount of related earnings was deemed to be immaterial to the financial statements. </t>
  </si>
  <si>
    <t xml:space="preserve">Funds were inadvertently transferred from the general PMA account to the scholarship PMA account in February 2018 by the District's investment advisor. </t>
  </si>
  <si>
    <t xml:space="preserve">The District should perform timely reconciliations on all cash and investment accounts to ensure that all funds are accounted for and are properly recorded. </t>
  </si>
  <si>
    <t>See corrective action plan.</t>
  </si>
  <si>
    <t>#1690 - Other Food Services - Ed Fund: $5,779 Food Services Other</t>
  </si>
  <si>
    <t>#1993 - Other Local Fees - Ed Fund: $570 HS Fitness Center Mbr Fees</t>
  </si>
  <si>
    <t>#1999 - Other Local Revenues - Transportation Fund: $617 Other Revenue</t>
  </si>
  <si>
    <t>#2190 - Ed Fund: Other Support Services - Pupils: (100) $9,667 Vision Salary; (300) $24,113 District-Vision Prof Serv; (400) $213 Vision Supplies</t>
  </si>
  <si>
    <t>#5400 - Debt Service Fund: Debt Services - Other: (300) $6,045 Bond Fee</t>
  </si>
  <si>
    <t>#1999 - Other Local Revenues - Ed Fund: $8,951 Payments/Cobra, $9,501 Other Revenue; Total = $18,452</t>
  </si>
  <si>
    <t xml:space="preserve">Audit check page - The District transferred $47,974 form the Ed fund to the Debt Service fund to pay the ISBE loan payment during the year. The transfer out of Ed is reported on line 8910; </t>
  </si>
  <si>
    <t>#2490 - MR/SS Fund - Other Support Services - School Admin: (200) $64 Dean FICA, $73 Salary-Assoc. Princip, $1,040 Dean Medicare; $1,170 Assoc. Princip Medicare; Total = $2,347</t>
  </si>
  <si>
    <t>#2490 - Ed Fund: Other Support Services-School Admin: (100) $72,583 Salary-JH Assoc. Princip, $81,648 Salary-HS Assoc. Princip, Total = $154,231; (300) $240 Travel-Dean/AD; (600) $926 Dean/Assoc Princip Dues/Fees</t>
  </si>
  <si>
    <t xml:space="preserve">however, the transfer in is reported on line 7990 other sources. Line 7900 is for ISBE loan proceeds which the Dist did not receive in 17-18. </t>
  </si>
  <si>
    <t>TOTAL US DEPARTMENT OF EDUCATION</t>
  </si>
  <si>
    <t xml:space="preserve">  </t>
  </si>
  <si>
    <t>Pass-through from Illinois Department of Healthcare and Family Services:</t>
  </si>
  <si>
    <t>Unmodified</t>
  </si>
  <si>
    <t>Page 25-Schedule of Tort Immunity Expenditures: #22 Other disbursements; Driver Education $2,457 Fuel</t>
  </si>
  <si>
    <t xml:space="preserve">One person failed to file a statement of economic interest. The district filed the FY18 Budget (ISBE Form 50-38) late. </t>
  </si>
  <si>
    <t>Momence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</si>
</sst>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7.5"/>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applyNumberFormat="0" applyFill="0" applyBorder="0" applyAlignment="0" applyProtection="0">
      <alignment vertical="top"/>
      <protection locked="0"/>
    </xf>
  </cellStyleXfs>
  <cellXfs count="251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3" fontId="61" fillId="0" borderId="22" xfId="3" applyNumberFormat="1" applyFont="1" applyBorder="1" applyAlignment="1" applyProtection="1">
      <alignment horizontal="left" vertical="center" wrapText="1"/>
      <protection locked="0"/>
    </xf>
    <xf numFmtId="3" fontId="95"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indent="1"/>
      <protection locked="0"/>
    </xf>
    <xf numFmtId="3" fontId="70" fillId="0" borderId="22" xfId="3" applyNumberFormat="1" applyFont="1" applyBorder="1" applyAlignment="1" applyProtection="1">
      <alignment horizontal="center"/>
      <protection locked="0"/>
    </xf>
    <xf numFmtId="3" fontId="95" fillId="0" borderId="8" xfId="3" applyNumberFormat="1" applyFont="1" applyBorder="1" applyAlignment="1" applyProtection="1">
      <alignment horizontal="center"/>
      <protection locked="0"/>
    </xf>
    <xf numFmtId="3" fontId="95"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Hyperlink 3" xfId="19"/>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866775</xdr:colOff>
          <xdr:row>8</xdr:row>
          <xdr:rowOff>57150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866775</xdr:colOff>
          <xdr:row>7</xdr:row>
          <xdr:rowOff>57150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866775</xdr:colOff>
          <xdr:row>7</xdr:row>
          <xdr:rowOff>57150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866775</xdr:colOff>
          <xdr:row>6</xdr:row>
          <xdr:rowOff>57150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4</xdr:col>
          <xdr:colOff>257175</xdr:colOff>
          <xdr:row>7</xdr:row>
          <xdr:rowOff>57150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oleObject" Target="../embeddings/oleObject5.bin"/><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0" t="s">
        <v>425</v>
      </c>
      <c r="J1" s="2011"/>
      <c r="K1" s="2011"/>
      <c r="L1" s="2011"/>
      <c r="M1" s="2011"/>
      <c r="N1" s="2011"/>
      <c r="O1" s="2011"/>
      <c r="P1" s="2011"/>
      <c r="Q1" s="2011"/>
      <c r="R1" s="2011"/>
      <c r="S1" s="2011"/>
    </row>
    <row r="2" spans="1:28" ht="12" customHeight="1" x14ac:dyDescent="0.2">
      <c r="A2" s="47" t="s">
        <v>1684</v>
      </c>
      <c r="D2" s="48"/>
      <c r="I2" s="2012" t="s">
        <v>1036</v>
      </c>
      <c r="J2" s="2011"/>
      <c r="K2" s="2011"/>
      <c r="L2" s="2011"/>
      <c r="M2" s="2011"/>
      <c r="N2" s="2011"/>
      <c r="O2" s="2011"/>
      <c r="P2" s="2011"/>
      <c r="Q2" s="2011"/>
      <c r="R2" s="2011"/>
      <c r="S2" s="2011"/>
    </row>
    <row r="3" spans="1:28" ht="12" customHeight="1" x14ac:dyDescent="0.2">
      <c r="A3" s="155" t="s">
        <v>1685</v>
      </c>
      <c r="B3" s="156"/>
      <c r="C3" s="156"/>
      <c r="D3" s="157"/>
      <c r="I3" s="2012" t="s">
        <v>54</v>
      </c>
      <c r="J3" s="2011"/>
      <c r="K3" s="2011"/>
      <c r="L3" s="2011"/>
      <c r="M3" s="2011"/>
      <c r="N3" s="2011"/>
      <c r="O3" s="2011"/>
      <c r="P3" s="2011"/>
      <c r="Q3" s="2011"/>
      <c r="R3" s="2011"/>
      <c r="S3" s="2011"/>
    </row>
    <row r="4" spans="1:28" ht="12" customHeight="1" x14ac:dyDescent="0.2">
      <c r="A4" s="37"/>
      <c r="I4" s="2012" t="s">
        <v>545</v>
      </c>
      <c r="J4" s="2011"/>
      <c r="K4" s="2011"/>
      <c r="L4" s="2011"/>
      <c r="M4" s="2011"/>
      <c r="N4" s="2011"/>
      <c r="O4" s="2011"/>
      <c r="P4" s="2011"/>
      <c r="Q4" s="2011"/>
      <c r="R4" s="2011"/>
      <c r="S4" s="2011"/>
    </row>
    <row r="5" spans="1:28" ht="14.1" customHeight="1" x14ac:dyDescent="0.2">
      <c r="B5" s="104" t="s">
        <v>2083</v>
      </c>
      <c r="C5" s="26" t="s">
        <v>966</v>
      </c>
      <c r="D5" s="84"/>
      <c r="E5" s="84"/>
      <c r="H5" s="38"/>
      <c r="I5" s="2020" t="s">
        <v>701</v>
      </c>
      <c r="J5" s="2019"/>
      <c r="K5" s="2019"/>
      <c r="L5" s="2019"/>
      <c r="M5" s="2019"/>
      <c r="N5" s="2019"/>
      <c r="O5" s="2019"/>
      <c r="P5" s="2019"/>
      <c r="Q5" s="2019"/>
      <c r="R5" s="2019"/>
      <c r="S5" s="2019"/>
    </row>
    <row r="6" spans="1:28" ht="14.1" customHeight="1" x14ac:dyDescent="0.2">
      <c r="B6" s="104"/>
      <c r="C6" s="26" t="s">
        <v>967</v>
      </c>
      <c r="D6" s="84"/>
      <c r="E6" s="84"/>
      <c r="I6" s="2018" t="s">
        <v>938</v>
      </c>
      <c r="J6" s="2019"/>
      <c r="K6" s="2019"/>
      <c r="L6" s="2019"/>
      <c r="M6" s="2019"/>
      <c r="N6" s="2019"/>
      <c r="O6" s="2019"/>
      <c r="P6" s="2019"/>
      <c r="Q6" s="2019"/>
      <c r="R6" s="2019"/>
      <c r="S6" s="2019"/>
    </row>
    <row r="7" spans="1:28" ht="12.2" customHeight="1" x14ac:dyDescent="0.2">
      <c r="I7" s="2013">
        <v>43281</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695</v>
      </c>
      <c r="J9" s="2016"/>
      <c r="K9" s="2016"/>
      <c r="L9" s="2016"/>
      <c r="M9" s="2016"/>
      <c r="N9" s="2016"/>
      <c r="O9" s="2016"/>
      <c r="P9" s="2016"/>
      <c r="Q9" s="2016"/>
      <c r="R9" s="2016"/>
      <c r="S9" s="2017"/>
      <c r="T9" s="2031" t="s">
        <v>554</v>
      </c>
      <c r="U9" s="2032"/>
      <c r="V9" s="2032"/>
      <c r="W9" s="2032"/>
      <c r="X9" s="2032"/>
      <c r="Y9" s="2032"/>
      <c r="Z9" s="2032"/>
      <c r="AA9" s="2033"/>
    </row>
    <row r="10" spans="1:28" ht="13.5" customHeight="1" x14ac:dyDescent="0.2">
      <c r="A10" s="2038" t="s">
        <v>696</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1012</v>
      </c>
      <c r="B11" s="2042"/>
      <c r="C11" s="2042"/>
      <c r="D11" s="2042"/>
      <c r="E11" s="2042"/>
      <c r="F11" s="2042"/>
      <c r="G11" s="2042"/>
      <c r="H11" s="2043"/>
      <c r="I11" s="27"/>
      <c r="J11" s="74"/>
      <c r="K11" s="27"/>
      <c r="O11" s="148" t="s">
        <v>2088</v>
      </c>
      <c r="P11" s="100" t="s">
        <v>210</v>
      </c>
      <c r="Q11" s="30"/>
      <c r="R11" s="28"/>
      <c r="S11" s="27"/>
      <c r="T11" s="2035"/>
      <c r="U11" s="2036"/>
      <c r="V11" s="2036"/>
      <c r="W11" s="2036"/>
      <c r="X11" s="2036"/>
      <c r="Y11" s="2036"/>
      <c r="Z11" s="2036"/>
      <c r="AA11" s="203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32046001026</v>
      </c>
      <c r="B13" s="2046"/>
      <c r="C13" s="2046"/>
      <c r="D13" s="2046"/>
      <c r="E13" s="2046"/>
      <c r="F13" s="2046"/>
      <c r="G13" s="2046"/>
      <c r="H13" s="2047"/>
      <c r="I13" s="31"/>
      <c r="J13" s="30"/>
      <c r="K13" s="28"/>
      <c r="L13" s="30"/>
      <c r="M13" s="30"/>
      <c r="N13" s="30"/>
      <c r="O13" s="30"/>
      <c r="P13" s="30"/>
      <c r="Q13" s="30"/>
      <c r="R13" s="30"/>
      <c r="S13" s="30"/>
      <c r="T13" s="2050" t="s">
        <v>2075</v>
      </c>
      <c r="U13" s="2051"/>
      <c r="V13" s="2051"/>
      <c r="W13" s="2051"/>
      <c r="X13" s="2051"/>
      <c r="Y13" s="2052"/>
      <c r="Z13" s="2052"/>
      <c r="AA13" s="205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4" t="s">
        <v>2089</v>
      </c>
      <c r="B15" s="2048"/>
      <c r="C15" s="2048"/>
      <c r="D15" s="2048"/>
      <c r="E15" s="2048"/>
      <c r="F15" s="2048"/>
      <c r="G15" s="2048"/>
      <c r="H15" s="2049"/>
      <c r="T15" s="2054" t="s">
        <v>2076</v>
      </c>
      <c r="U15" s="1998"/>
      <c r="V15" s="1998"/>
      <c r="W15" s="1998"/>
      <c r="X15" s="1998"/>
      <c r="Y15" s="2055"/>
      <c r="Z15" s="2055"/>
      <c r="AA15" s="205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4" t="s">
        <v>2213</v>
      </c>
      <c r="B17" s="2005"/>
      <c r="C17" s="2005"/>
      <c r="D17" s="2005"/>
      <c r="E17" s="2005"/>
      <c r="F17" s="2005"/>
      <c r="G17" s="2005"/>
      <c r="H17" s="2030"/>
      <c r="T17" s="2061" t="s">
        <v>2077</v>
      </c>
      <c r="U17" s="2062"/>
      <c r="V17" s="2062"/>
      <c r="W17" s="2062"/>
      <c r="X17" s="2062"/>
      <c r="Y17" s="2062"/>
      <c r="Z17" s="2062"/>
      <c r="AA17" s="2063"/>
    </row>
    <row r="18" spans="1:27" ht="13.5" customHeight="1" x14ac:dyDescent="0.2">
      <c r="A18" s="85" t="s">
        <v>551</v>
      </c>
      <c r="B18" s="76"/>
      <c r="C18" s="72"/>
      <c r="D18" s="76"/>
      <c r="E18" s="76"/>
      <c r="F18" s="76"/>
      <c r="G18" s="76"/>
      <c r="H18" s="56"/>
      <c r="I18" s="2029" t="s">
        <v>697</v>
      </c>
      <c r="J18" s="1980"/>
      <c r="K18" s="1980"/>
      <c r="L18" s="1980"/>
      <c r="M18" s="1980"/>
      <c r="N18" s="1980"/>
      <c r="O18" s="1980"/>
      <c r="P18" s="1980"/>
      <c r="Q18" s="1980"/>
      <c r="R18" s="1980"/>
      <c r="S18" s="1981"/>
      <c r="T18" s="85" t="s">
        <v>735</v>
      </c>
      <c r="U18" s="51"/>
      <c r="V18" s="72"/>
      <c r="W18" s="50"/>
      <c r="X18" s="85" t="s">
        <v>284</v>
      </c>
      <c r="Y18" s="81"/>
      <c r="Z18" s="159" t="s">
        <v>698</v>
      </c>
      <c r="AA18" s="46"/>
    </row>
    <row r="19" spans="1:27" ht="13.5" customHeight="1" x14ac:dyDescent="0.2">
      <c r="A19" s="2044" t="s">
        <v>2090</v>
      </c>
      <c r="B19" s="1990"/>
      <c r="C19" s="1990"/>
      <c r="D19" s="1990"/>
      <c r="E19" s="1990"/>
      <c r="F19" s="1990"/>
      <c r="G19" s="1990"/>
      <c r="H19" s="1970"/>
      <c r="I19" s="30"/>
      <c r="J19" s="99"/>
      <c r="K19" s="40"/>
      <c r="L19" s="38"/>
      <c r="M19" s="112" t="s">
        <v>333</v>
      </c>
      <c r="P19" s="27"/>
      <c r="Q19" s="27"/>
      <c r="R19" s="27"/>
      <c r="S19" s="31"/>
      <c r="T19" s="2044" t="s">
        <v>2078</v>
      </c>
      <c r="U19" s="1969"/>
      <c r="V19" s="1969"/>
      <c r="W19" s="1970"/>
      <c r="X19" s="2059" t="s">
        <v>2079</v>
      </c>
      <c r="Y19" s="2060"/>
      <c r="Z19" s="2057">
        <v>60914</v>
      </c>
      <c r="AA19" s="205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8" t="s">
        <v>2091</v>
      </c>
      <c r="B21" s="1969"/>
      <c r="C21" s="1969"/>
      <c r="D21" s="1969"/>
      <c r="E21" s="1969"/>
      <c r="F21" s="1969"/>
      <c r="G21" s="1969"/>
      <c r="H21" s="1970"/>
      <c r="I21" s="2024" t="s">
        <v>699</v>
      </c>
      <c r="J21" s="2019"/>
      <c r="K21" s="2019"/>
      <c r="L21" s="2019"/>
      <c r="M21" s="2019"/>
      <c r="N21" s="2019"/>
      <c r="O21" s="2019"/>
      <c r="P21" s="2019"/>
      <c r="Q21" s="2019"/>
      <c r="R21" s="2019"/>
      <c r="S21" s="2025"/>
      <c r="T21" s="2068" t="s">
        <v>2080</v>
      </c>
      <c r="U21" s="2069"/>
      <c r="V21" s="2069"/>
      <c r="W21" s="2069"/>
      <c r="X21" s="2074" t="s">
        <v>2081</v>
      </c>
      <c r="Y21" s="2075"/>
      <c r="Z21" s="2075"/>
      <c r="AA21" s="2076"/>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1"/>
      <c r="B23" s="2022"/>
      <c r="C23" s="2022"/>
      <c r="D23" s="2022"/>
      <c r="E23" s="2022"/>
      <c r="F23" s="2022"/>
      <c r="G23" s="2022"/>
      <c r="H23" s="2023"/>
      <c r="T23" s="2004" t="s">
        <v>2107</v>
      </c>
      <c r="U23" s="2067"/>
      <c r="V23" s="2067"/>
      <c r="W23" s="2067"/>
      <c r="X23" s="2071">
        <v>43434</v>
      </c>
      <c r="Y23" s="2072"/>
      <c r="Z23" s="2072"/>
      <c r="AA23" s="2073"/>
    </row>
    <row r="24" spans="1:27" ht="14.1" customHeight="1" x14ac:dyDescent="0.2">
      <c r="A24" s="88" t="s">
        <v>698</v>
      </c>
      <c r="B24" s="49"/>
      <c r="C24" s="49"/>
      <c r="D24" s="49"/>
      <c r="E24" s="49"/>
      <c r="F24" s="49"/>
      <c r="G24" s="49"/>
      <c r="H24" s="61"/>
      <c r="J24" s="1991">
        <f>IF(B5="x",IF(AUDITCHECK!D29="AFR form Incomplete.","",IF(AUDITCHECK!D29="Deficit reduction plan is required.","School District must complete a deficit reduction plan in the 2018-2019 Budget",)),"")</f>
        <v>0</v>
      </c>
      <c r="K24" s="1991"/>
      <c r="L24" s="1991"/>
      <c r="M24" s="1991"/>
      <c r="N24" s="1991"/>
      <c r="O24" s="1991"/>
      <c r="P24" s="1991"/>
      <c r="Q24" s="1991"/>
      <c r="R24" s="1991"/>
      <c r="S24" s="1992"/>
      <c r="T24" s="105" t="s">
        <v>552</v>
      </c>
      <c r="U24" s="106"/>
      <c r="V24" s="106"/>
      <c r="W24" s="106"/>
      <c r="X24" s="107"/>
      <c r="Y24" s="107"/>
      <c r="Z24" s="107"/>
      <c r="AA24" s="108"/>
    </row>
    <row r="25" spans="1:27" ht="14.1" customHeight="1" x14ac:dyDescent="0.2">
      <c r="A25" s="1968">
        <v>60954</v>
      </c>
      <c r="B25" s="1969"/>
      <c r="C25" s="1969"/>
      <c r="D25" s="1969"/>
      <c r="E25" s="1969"/>
      <c r="F25" s="1969"/>
      <c r="G25" s="1969"/>
      <c r="H25" s="1970"/>
      <c r="I25" s="113"/>
      <c r="J25" s="1993"/>
      <c r="K25" s="1993"/>
      <c r="L25" s="1993"/>
      <c r="M25" s="1993"/>
      <c r="N25" s="1993"/>
      <c r="O25" s="1993"/>
      <c r="P25" s="1993"/>
      <c r="Q25" s="1993"/>
      <c r="R25" s="1993"/>
      <c r="S25" s="1994"/>
      <c r="T25" s="2064" t="s">
        <v>2082</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9" t="s">
        <v>1591</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2088</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48" t="s">
        <v>2088</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2088</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0"/>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4" t="s">
        <v>2092</v>
      </c>
      <c r="B38" s="2005"/>
      <c r="C38" s="2005"/>
      <c r="D38" s="2005"/>
      <c r="E38" s="2005"/>
      <c r="F38" s="1969"/>
      <c r="G38" s="1969"/>
      <c r="H38" s="1970"/>
      <c r="I38" s="1997"/>
      <c r="J38" s="1998"/>
      <c r="K38" s="1998"/>
      <c r="L38" s="1998"/>
      <c r="M38" s="1998"/>
      <c r="N38" s="1998"/>
      <c r="O38" s="1998"/>
      <c r="P38" s="1999"/>
      <c r="Q38" s="1999"/>
      <c r="R38" s="1999"/>
      <c r="S38" s="2000"/>
      <c r="T38" s="2054" t="s">
        <v>2084</v>
      </c>
      <c r="U38" s="1998"/>
      <c r="V38" s="1998"/>
      <c r="W38" s="1998"/>
      <c r="X38" s="1999"/>
      <c r="Y38" s="1999"/>
      <c r="Z38" s="1999"/>
      <c r="AA38" s="2000"/>
    </row>
    <row r="39" spans="1:27" ht="12" customHeight="1" x14ac:dyDescent="0.2">
      <c r="A39" s="1974" t="s">
        <v>552</v>
      </c>
      <c r="B39" s="1975"/>
      <c r="C39" s="72"/>
      <c r="D39" s="69"/>
      <c r="E39" s="69"/>
      <c r="F39" s="79"/>
      <c r="G39" s="69"/>
      <c r="H39" s="56"/>
      <c r="I39" s="1974" t="s">
        <v>552</v>
      </c>
      <c r="J39" s="1975"/>
      <c r="K39" s="1975"/>
      <c r="L39" s="1975"/>
      <c r="M39" s="1975"/>
      <c r="N39" s="67"/>
      <c r="O39" s="72"/>
      <c r="P39" s="72"/>
      <c r="Q39" s="78"/>
      <c r="R39" s="72"/>
      <c r="S39" s="56"/>
      <c r="T39" s="72" t="s">
        <v>552</v>
      </c>
      <c r="U39" s="51"/>
      <c r="V39" s="72"/>
      <c r="W39" s="50"/>
      <c r="X39" s="78"/>
      <c r="Y39" s="45"/>
      <c r="Z39" s="45"/>
      <c r="AA39" s="46"/>
    </row>
    <row r="40" spans="1:27" ht="13.5" customHeight="1" x14ac:dyDescent="0.2">
      <c r="A40" s="1982" t="s">
        <v>2093</v>
      </c>
      <c r="B40" s="1983"/>
      <c r="C40" s="1984"/>
      <c r="D40" s="1984"/>
      <c r="E40" s="1984"/>
      <c r="F40" s="1985"/>
      <c r="G40" s="1985"/>
      <c r="H40" s="1986"/>
      <c r="I40" s="2007"/>
      <c r="J40" s="2008"/>
      <c r="K40" s="2008"/>
      <c r="L40" s="2008"/>
      <c r="M40" s="2008"/>
      <c r="N40" s="2008"/>
      <c r="O40" s="2008"/>
      <c r="P40" s="2008"/>
      <c r="Q40" s="2008"/>
      <c r="R40" s="2008"/>
      <c r="S40" s="2009"/>
      <c r="T40" s="2007" t="s">
        <v>2085</v>
      </c>
      <c r="U40" s="2070"/>
      <c r="V40" s="2008"/>
      <c r="W40" s="2008"/>
      <c r="X40" s="2008"/>
      <c r="Y40" s="2008"/>
      <c r="Z40" s="2008"/>
      <c r="AA40" s="200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6" t="s">
        <v>2094</v>
      </c>
      <c r="B42" s="1988"/>
      <c r="C42" s="1989"/>
      <c r="D42" s="1987" t="s">
        <v>2095</v>
      </c>
      <c r="E42" s="1988"/>
      <c r="F42" s="1988"/>
      <c r="G42" s="1988"/>
      <c r="H42" s="1989"/>
      <c r="I42" s="1971"/>
      <c r="J42" s="1972"/>
      <c r="K42" s="1972"/>
      <c r="L42" s="1972"/>
      <c r="M42" s="1972"/>
      <c r="N42" s="1972"/>
      <c r="O42" s="1973"/>
      <c r="P42" s="2006"/>
      <c r="Q42" s="1972"/>
      <c r="R42" s="1972"/>
      <c r="S42" s="1973"/>
      <c r="T42" s="1971" t="s">
        <v>2086</v>
      </c>
      <c r="U42" s="1972"/>
      <c r="V42" s="1972"/>
      <c r="W42" s="1973"/>
      <c r="X42" s="2006" t="s">
        <v>2087</v>
      </c>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110" zoomScaleNormal="110" workbookViewId="0">
      <selection activeCell="A13" sqref="A12:H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2" t="s">
        <v>1903</v>
      </c>
      <c r="B2" s="1550" t="s">
        <v>2035</v>
      </c>
      <c r="C2" s="715" t="s">
        <v>1908</v>
      </c>
      <c r="D2" s="715" t="s">
        <v>1909</v>
      </c>
      <c r="E2" s="715" t="s">
        <v>1910</v>
      </c>
      <c r="F2" s="715" t="s">
        <v>1911</v>
      </c>
    </row>
    <row r="3" spans="1:6" ht="12" customHeight="1" x14ac:dyDescent="0.2">
      <c r="A3" s="2213"/>
      <c r="B3" s="1547"/>
      <c r="C3" s="1548"/>
      <c r="D3" s="1549" t="s">
        <v>274</v>
      </c>
      <c r="E3" s="1548"/>
      <c r="F3" s="1549" t="s">
        <v>275</v>
      </c>
    </row>
    <row r="4" spans="1:6" ht="13.7" customHeight="1" x14ac:dyDescent="0.2">
      <c r="A4" s="716" t="s">
        <v>1217</v>
      </c>
      <c r="B4" s="1771">
        <f>'Revenues 9-14'!C5</f>
        <v>3117835</v>
      </c>
      <c r="C4" s="1546"/>
      <c r="D4" s="1774">
        <f>B4-C4</f>
        <v>3117835</v>
      </c>
      <c r="E4" s="1546">
        <v>3275812</v>
      </c>
      <c r="F4" s="1774">
        <f>E4-C4</f>
        <v>3275812</v>
      </c>
    </row>
    <row r="5" spans="1:6" ht="13.7" customHeight="1" x14ac:dyDescent="0.2">
      <c r="A5" s="716" t="s">
        <v>925</v>
      </c>
      <c r="B5" s="1772">
        <f>'Revenues 9-14'!D5</f>
        <v>529331</v>
      </c>
      <c r="C5" s="585"/>
      <c r="D5" s="1775">
        <f t="shared" ref="D5:D18" si="0">B5-C5</f>
        <v>529331</v>
      </c>
      <c r="E5" s="585">
        <v>532453</v>
      </c>
      <c r="F5" s="1775">
        <f>E5-C5</f>
        <v>532453</v>
      </c>
    </row>
    <row r="6" spans="1:6" ht="13.7" customHeight="1" x14ac:dyDescent="0.2">
      <c r="A6" s="716" t="s">
        <v>431</v>
      </c>
      <c r="B6" s="1772">
        <f>'Revenues 9-14'!E5</f>
        <v>1252862</v>
      </c>
      <c r="C6" s="585"/>
      <c r="D6" s="1775">
        <f t="shared" si="0"/>
        <v>1252862</v>
      </c>
      <c r="E6" s="585">
        <v>1274024</v>
      </c>
      <c r="F6" s="1775">
        <f t="shared" ref="F6:F18" si="1">E6-C6</f>
        <v>1274024</v>
      </c>
    </row>
    <row r="7" spans="1:6" ht="13.7" customHeight="1" x14ac:dyDescent="0.2">
      <c r="A7" s="716" t="s">
        <v>157</v>
      </c>
      <c r="B7" s="1772">
        <f>'Revenues 9-14'!F5</f>
        <v>299903</v>
      </c>
      <c r="C7" s="585"/>
      <c r="D7" s="1775">
        <f t="shared" si="0"/>
        <v>299903</v>
      </c>
      <c r="E7" s="585">
        <v>337844</v>
      </c>
      <c r="F7" s="1775">
        <f t="shared" si="1"/>
        <v>337844</v>
      </c>
    </row>
    <row r="8" spans="1:6" ht="13.7" customHeight="1" x14ac:dyDescent="0.2">
      <c r="A8" s="716" t="s">
        <v>1241</v>
      </c>
      <c r="B8" s="1772">
        <f>'Revenues 9-14'!G5</f>
        <v>103597</v>
      </c>
      <c r="C8" s="585"/>
      <c r="D8" s="1775">
        <f t="shared" si="0"/>
        <v>103597</v>
      </c>
      <c r="E8" s="585">
        <v>114682</v>
      </c>
      <c r="F8" s="1775">
        <f t="shared" si="1"/>
        <v>114682</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49106</v>
      </c>
      <c r="C10" s="585"/>
      <c r="D10" s="1775">
        <f t="shared" si="0"/>
        <v>49106</v>
      </c>
      <c r="E10" s="585">
        <v>49501</v>
      </c>
      <c r="F10" s="1775">
        <f t="shared" si="1"/>
        <v>49501</v>
      </c>
    </row>
    <row r="11" spans="1:6" x14ac:dyDescent="0.2">
      <c r="A11" s="716" t="s">
        <v>429</v>
      </c>
      <c r="B11" s="1772">
        <f>'Revenues 9-14'!J5</f>
        <v>73046</v>
      </c>
      <c r="C11" s="585"/>
      <c r="D11" s="1775">
        <f t="shared" si="0"/>
        <v>73046</v>
      </c>
      <c r="E11" s="585">
        <v>73607</v>
      </c>
      <c r="F11" s="1775">
        <f t="shared" si="1"/>
        <v>73607</v>
      </c>
    </row>
    <row r="12" spans="1:6" ht="13.7" customHeight="1" x14ac:dyDescent="0.2">
      <c r="A12" s="716" t="s">
        <v>159</v>
      </c>
      <c r="B12" s="1772">
        <f>'Revenues 9-14'!K5</f>
        <v>64771</v>
      </c>
      <c r="C12" s="585"/>
      <c r="D12" s="1775">
        <f t="shared" si="0"/>
        <v>64771</v>
      </c>
      <c r="E12" s="585">
        <v>65299</v>
      </c>
      <c r="F12" s="1775">
        <f t="shared" si="1"/>
        <v>65299</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90385</v>
      </c>
      <c r="C14" s="585"/>
      <c r="D14" s="1775">
        <f t="shared" si="0"/>
        <v>90385</v>
      </c>
      <c r="E14" s="585">
        <v>94554</v>
      </c>
      <c r="F14" s="1775">
        <f t="shared" si="1"/>
        <v>94554</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94858</v>
      </c>
      <c r="C16" s="585"/>
      <c r="D16" s="1775">
        <f t="shared" si="0"/>
        <v>94858</v>
      </c>
      <c r="E16" s="585">
        <v>103097</v>
      </c>
      <c r="F16" s="1775">
        <f t="shared" si="1"/>
        <v>103097</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5675694</v>
      </c>
      <c r="C19" s="1773">
        <f>SUM(C4:C18)</f>
        <v>0</v>
      </c>
      <c r="D19" s="1773">
        <f>SUM(D4:D18)</f>
        <v>5675694</v>
      </c>
      <c r="E19" s="1773">
        <f>SUM(E4:E18)</f>
        <v>5920873</v>
      </c>
      <c r="F19" s="1773">
        <f>SUM(F4:F18)</f>
        <v>5920873</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13" sqref="A12:H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1903</v>
      </c>
      <c r="B2" s="2240"/>
      <c r="C2" s="1909" t="s">
        <v>2036</v>
      </c>
      <c r="D2" s="724" t="s">
        <v>2043</v>
      </c>
      <c r="E2" s="724" t="s">
        <v>2044</v>
      </c>
      <c r="F2" s="1909" t="s">
        <v>2037</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7">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5" t="s">
        <v>652</v>
      </c>
      <c r="B15" s="2226"/>
      <c r="C15" s="1777">
        <f>SUM(C6:C14)</f>
        <v>0</v>
      </c>
      <c r="D15" s="1777">
        <f>SUM(D6:D14)</f>
        <v>0</v>
      </c>
      <c r="E15" s="1777">
        <f>SUM(E6:E14)</f>
        <v>0</v>
      </c>
      <c r="F15" s="1777">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7">
        <f>SUM(C17+D17)-E17</f>
        <v>0</v>
      </c>
    </row>
    <row r="18" spans="1:11" ht="12.75" customHeight="1" thickTop="1" thickBot="1" x14ac:dyDescent="0.25">
      <c r="A18" s="2220" t="s">
        <v>6</v>
      </c>
      <c r="B18" s="2221"/>
      <c r="C18" s="727"/>
      <c r="D18" s="585"/>
      <c r="E18" s="727"/>
      <c r="F18" s="1777">
        <f>SUM(C18+D18)-E18</f>
        <v>0</v>
      </c>
    </row>
    <row r="19" spans="1:11" ht="12.75" customHeight="1" thickTop="1" thickBot="1" x14ac:dyDescent="0.25">
      <c r="A19" s="2220" t="s">
        <v>406</v>
      </c>
      <c r="B19" s="2221"/>
      <c r="C19" s="727"/>
      <c r="D19" s="585"/>
      <c r="E19" s="727"/>
      <c r="F19" s="1777">
        <f>SUM(C19+D19)-E19</f>
        <v>0</v>
      </c>
    </row>
    <row r="20" spans="1:11" ht="12.75" customHeight="1" thickTop="1" thickBot="1" x14ac:dyDescent="0.25">
      <c r="A20" s="2220" t="s">
        <v>468</v>
      </c>
      <c r="B20" s="2221"/>
      <c r="C20" s="727"/>
      <c r="D20" s="585"/>
      <c r="E20" s="727"/>
      <c r="F20" s="1777">
        <f>SUM(C20+D20)-E20</f>
        <v>0</v>
      </c>
    </row>
    <row r="21" spans="1:11" ht="14.25" thickTop="1" thickBot="1" x14ac:dyDescent="0.25">
      <c r="A21" s="2225" t="s">
        <v>653</v>
      </c>
      <c r="B21" s="2226"/>
      <c r="C21" s="1777">
        <f>SUM(C17:C20)</f>
        <v>0</v>
      </c>
      <c r="D21" s="1777">
        <f>SUM(D17:D20)</f>
        <v>0</v>
      </c>
      <c r="E21" s="1777">
        <f>SUM(E17:E20)</f>
        <v>0</v>
      </c>
      <c r="F21" s="1777">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7">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7">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7">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2096</v>
      </c>
      <c r="B31" s="734">
        <v>38770</v>
      </c>
      <c r="C31" s="735">
        <v>5000000</v>
      </c>
      <c r="D31" s="736">
        <v>6</v>
      </c>
      <c r="E31" s="735">
        <v>3575000</v>
      </c>
      <c r="F31" s="735"/>
      <c r="G31" s="735"/>
      <c r="H31" s="735">
        <v>400000</v>
      </c>
      <c r="I31" s="1778">
        <f>((E31+F31)-H31)+G31</f>
        <v>3175000</v>
      </c>
      <c r="J31" s="735">
        <f>I31-4474</f>
        <v>3170526</v>
      </c>
      <c r="K31" s="737"/>
    </row>
    <row r="32" spans="1:11" ht="12" customHeight="1" x14ac:dyDescent="0.2">
      <c r="A32" s="733" t="s">
        <v>2097</v>
      </c>
      <c r="B32" s="734">
        <v>42241</v>
      </c>
      <c r="C32" s="735">
        <v>3800000</v>
      </c>
      <c r="D32" s="736">
        <v>1</v>
      </c>
      <c r="E32" s="735">
        <v>3800000</v>
      </c>
      <c r="F32" s="735"/>
      <c r="G32" s="735"/>
      <c r="H32" s="735">
        <v>75000</v>
      </c>
      <c r="I32" s="1778">
        <f>((E32+F32)-H32)+G32</f>
        <v>3725000</v>
      </c>
      <c r="J32" s="735">
        <v>3725000</v>
      </c>
      <c r="K32" s="737"/>
    </row>
    <row r="33" spans="1:11" ht="12" customHeight="1" x14ac:dyDescent="0.2">
      <c r="A33" s="733" t="s">
        <v>2098</v>
      </c>
      <c r="B33" s="734">
        <v>42241</v>
      </c>
      <c r="C33" s="735">
        <v>4855000</v>
      </c>
      <c r="D33" s="736">
        <v>3</v>
      </c>
      <c r="E33" s="735">
        <v>4180000</v>
      </c>
      <c r="F33" s="735"/>
      <c r="G33" s="735"/>
      <c r="H33" s="735">
        <v>305000</v>
      </c>
      <c r="I33" s="1778">
        <f t="shared" ref="I33:I48" si="1">((E33+F33)-H33)+G33</f>
        <v>3875000</v>
      </c>
      <c r="J33" s="735">
        <v>3875000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2099</v>
      </c>
      <c r="B35" s="734">
        <v>42305</v>
      </c>
      <c r="C35" s="739">
        <v>139450</v>
      </c>
      <c r="D35" s="736">
        <v>7</v>
      </c>
      <c r="E35" s="739">
        <v>70544</v>
      </c>
      <c r="F35" s="739"/>
      <c r="G35" s="739"/>
      <c r="H35" s="739">
        <v>46796</v>
      </c>
      <c r="I35" s="1778">
        <f t="shared" si="1"/>
        <v>23748</v>
      </c>
      <c r="J35" s="739">
        <v>23748</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13794450</v>
      </c>
      <c r="D49" s="746"/>
      <c r="E49" s="1778">
        <f t="shared" ref="E49:J49" si="2">SUM(E31:E48)</f>
        <v>11625544</v>
      </c>
      <c r="F49" s="1778">
        <f t="shared" si="2"/>
        <v>0</v>
      </c>
      <c r="G49" s="1778">
        <f t="shared" si="2"/>
        <v>0</v>
      </c>
      <c r="H49" s="1778">
        <f t="shared" si="2"/>
        <v>826796</v>
      </c>
      <c r="I49" s="1778">
        <f t="shared" si="2"/>
        <v>10798748</v>
      </c>
      <c r="J49" s="1778">
        <f t="shared" si="2"/>
        <v>10794274</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t="s">
        <v>2169</v>
      </c>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3" sqref="A12: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2"/>
      <c r="I1" s="761"/>
      <c r="J1" s="433"/>
    </row>
    <row r="2" spans="1:11" ht="26.25" x14ac:dyDescent="0.2">
      <c r="A2" s="2262" t="s">
        <v>1776</v>
      </c>
      <c r="B2" s="2263"/>
      <c r="C2" s="2263"/>
      <c r="D2" s="2263"/>
      <c r="E2" s="2264"/>
      <c r="F2" s="762" t="s">
        <v>960</v>
      </c>
      <c r="G2" s="763" t="s">
        <v>1773</v>
      </c>
      <c r="H2" s="763" t="s">
        <v>430</v>
      </c>
      <c r="I2" s="763" t="s">
        <v>1220</v>
      </c>
      <c r="J2" s="763" t="s">
        <v>1917</v>
      </c>
      <c r="K2" s="763" t="s">
        <v>140</v>
      </c>
    </row>
    <row r="3" spans="1:11" x14ac:dyDescent="0.2">
      <c r="A3" s="2265" t="s">
        <v>1698</v>
      </c>
      <c r="B3" s="2266"/>
      <c r="C3" s="2266"/>
      <c r="D3" s="2266"/>
      <c r="E3" s="2267"/>
      <c r="F3" s="764"/>
      <c r="G3" s="765"/>
      <c r="H3" s="765"/>
      <c r="I3" s="765"/>
      <c r="J3" s="766"/>
      <c r="K3" s="766">
        <v>27587</v>
      </c>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90385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16240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12590</v>
      </c>
    </row>
    <row r="10" spans="1:11" x14ac:dyDescent="0.2">
      <c r="A10" s="2246" t="s">
        <v>1918</v>
      </c>
      <c r="B10" s="2247"/>
      <c r="C10" s="2247"/>
      <c r="D10" s="2247"/>
      <c r="E10" s="2249"/>
      <c r="F10" s="784" t="s">
        <v>917</v>
      </c>
      <c r="G10" s="783"/>
      <c r="H10" s="785"/>
      <c r="I10" s="765"/>
      <c r="J10" s="766"/>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9"/>
      <c r="G12" s="1780">
        <f>SUM(G5:G11)</f>
        <v>0</v>
      </c>
      <c r="H12" s="1780">
        <f>SUM(H5:H11)</f>
        <v>90385</v>
      </c>
      <c r="I12" s="1780">
        <f>SUM(I5:I11)</f>
        <v>0</v>
      </c>
      <c r="J12" s="1780">
        <f>SUM(J5:J11)</f>
        <v>0</v>
      </c>
      <c r="K12" s="1780">
        <f>SUM(K5:K11)</f>
        <v>28830</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90385</v>
      </c>
      <c r="I14" s="772"/>
      <c r="J14" s="774"/>
      <c r="K14" s="766">
        <v>7969</v>
      </c>
    </row>
    <row r="15" spans="1:11" x14ac:dyDescent="0.2">
      <c r="A15" s="2247" t="s">
        <v>4</v>
      </c>
      <c r="B15" s="2247"/>
      <c r="C15" s="2247"/>
      <c r="D15" s="2247"/>
      <c r="E15" s="2248"/>
      <c r="F15" s="790" t="s">
        <v>910</v>
      </c>
      <c r="G15" s="772"/>
      <c r="H15" s="765"/>
      <c r="I15" s="765"/>
      <c r="J15" s="766"/>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55" t="s">
        <v>1914</v>
      </c>
      <c r="B19" s="2255"/>
      <c r="C19" s="2255"/>
      <c r="D19" s="2255"/>
      <c r="E19" s="2256"/>
      <c r="F19" s="790" t="s">
        <v>990</v>
      </c>
      <c r="G19" s="783"/>
      <c r="H19" s="783"/>
      <c r="I19" s="783"/>
      <c r="J19" s="766"/>
      <c r="K19" s="796"/>
    </row>
    <row r="20" spans="1:11" x14ac:dyDescent="0.2">
      <c r="A20" s="2257" t="s">
        <v>1919</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81"/>
      <c r="G21" s="793"/>
      <c r="H21" s="797"/>
      <c r="I21" s="797"/>
      <c r="J21" s="1782">
        <f>SUM(J18:J20)</f>
        <v>0</v>
      </c>
      <c r="K21" s="794"/>
    </row>
    <row r="22" spans="1:11" ht="13.5" thickTop="1" x14ac:dyDescent="0.2">
      <c r="A22" s="2247" t="s">
        <v>1920</v>
      </c>
      <c r="B22" s="2247"/>
      <c r="C22" s="2247"/>
      <c r="D22" s="2247"/>
      <c r="E22" s="2248"/>
      <c r="F22" s="790" t="s">
        <v>917</v>
      </c>
      <c r="G22" s="783"/>
      <c r="H22" s="765"/>
      <c r="I22" s="765"/>
      <c r="J22" s="798"/>
      <c r="K22" s="766">
        <f>2341+116</f>
        <v>2457</v>
      </c>
    </row>
    <row r="23" spans="1:11" ht="13.5" thickBot="1" x14ac:dyDescent="0.25">
      <c r="A23" s="2277" t="s">
        <v>962</v>
      </c>
      <c r="B23" s="2276"/>
      <c r="C23" s="2276"/>
      <c r="D23" s="2276"/>
      <c r="E23" s="2276"/>
      <c r="F23" s="1783"/>
      <c r="G23" s="1780">
        <f>SUM(G14:G16,G21,G22)</f>
        <v>0</v>
      </c>
      <c r="H23" s="1780">
        <f>SUM(H14:H16,H21,H22)</f>
        <v>90385</v>
      </c>
      <c r="I23" s="1780">
        <f>SUM(I14:I16,I21,I22)</f>
        <v>0</v>
      </c>
      <c r="J23" s="1780">
        <f>SUM(J14:J16,J21,J22)</f>
        <v>0</v>
      </c>
      <c r="K23" s="1780">
        <f>SUM(K14:K16,K21,K22)</f>
        <v>10426</v>
      </c>
    </row>
    <row r="24" spans="1:11" ht="14.25" thickTop="1" thickBot="1" x14ac:dyDescent="0.25">
      <c r="A24" s="2277" t="s">
        <v>2024</v>
      </c>
      <c r="B24" s="2276"/>
      <c r="C24" s="2276"/>
      <c r="D24" s="2276"/>
      <c r="E24" s="2276"/>
      <c r="F24" s="1784"/>
      <c r="G24" s="1785">
        <f>SUM(G3,G12)-G23</f>
        <v>0</v>
      </c>
      <c r="H24" s="1785">
        <f>SUM(H3,H12)-H23</f>
        <v>0</v>
      </c>
      <c r="I24" s="1785">
        <f>SUM(I3,I12)-I23</f>
        <v>0</v>
      </c>
      <c r="J24" s="1785">
        <f>SUM(J3,J12)-J23</f>
        <v>0</v>
      </c>
      <c r="K24" s="1785">
        <f>SUM(K3,K12)-K23</f>
        <v>45991</v>
      </c>
    </row>
    <row r="25" spans="1:11" ht="13.5" thickTop="1" x14ac:dyDescent="0.2">
      <c r="A25" s="799" t="s">
        <v>440</v>
      </c>
      <c r="B25" s="800"/>
      <c r="C25" s="800"/>
      <c r="D25" s="800"/>
      <c r="E25" s="801"/>
      <c r="F25" s="802">
        <v>714</v>
      </c>
      <c r="G25" s="803"/>
      <c r="H25" s="803"/>
      <c r="I25" s="803"/>
      <c r="J25" s="798"/>
      <c r="K25" s="798">
        <v>45991</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A13" sqref="A12:H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2033</v>
      </c>
      <c r="B1" s="2283"/>
      <c r="C1" s="2284"/>
      <c r="D1" s="827"/>
      <c r="E1" s="828"/>
      <c r="F1" s="828"/>
      <c r="G1" s="829"/>
      <c r="H1" s="830"/>
      <c r="I1" s="831"/>
      <c r="J1" s="2280"/>
      <c r="K1" s="2281"/>
      <c r="L1" s="228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582055</v>
      </c>
      <c r="D5" s="842"/>
      <c r="E5" s="842"/>
      <c r="F5" s="1782">
        <f>(C5+D5)-E5</f>
        <v>582055</v>
      </c>
      <c r="G5" s="838"/>
      <c r="H5" s="843"/>
      <c r="I5" s="843"/>
      <c r="J5" s="843"/>
      <c r="K5" s="794"/>
      <c r="L5" s="1791">
        <f>F5-K5</f>
        <v>582055</v>
      </c>
    </row>
    <row r="6" spans="1:14" ht="14.25" thickTop="1" thickBot="1" x14ac:dyDescent="0.25">
      <c r="A6" s="779" t="s">
        <v>1179</v>
      </c>
      <c r="B6" s="841">
        <v>222</v>
      </c>
      <c r="C6" s="766">
        <v>0</v>
      </c>
      <c r="D6" s="766"/>
      <c r="E6" s="766"/>
      <c r="F6" s="1782">
        <f>(C6+D6)-E6</f>
        <v>0</v>
      </c>
      <c r="G6" s="838">
        <v>50</v>
      </c>
      <c r="H6" s="766">
        <v>0</v>
      </c>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18269570</v>
      </c>
      <c r="D8" s="845"/>
      <c r="E8" s="845"/>
      <c r="F8" s="1782">
        <f>(C8+D8)-E8</f>
        <v>18269570</v>
      </c>
      <c r="G8" s="844">
        <v>50</v>
      </c>
      <c r="H8" s="766">
        <v>6649961</v>
      </c>
      <c r="I8" s="766">
        <v>335170</v>
      </c>
      <c r="J8" s="766"/>
      <c r="K8" s="1791">
        <f>(H8+I8)-J8</f>
        <v>6985131</v>
      </c>
      <c r="L8" s="1791">
        <f>F8-K8</f>
        <v>11284439</v>
      </c>
    </row>
    <row r="9" spans="1:14" ht="14.25" thickTop="1" thickBot="1" x14ac:dyDescent="0.25">
      <c r="A9" s="779" t="s">
        <v>1181</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2676290</v>
      </c>
      <c r="D10" s="847"/>
      <c r="E10" s="847"/>
      <c r="F10" s="1786">
        <f>(C10+D10)-E10</f>
        <v>2676290</v>
      </c>
      <c r="G10" s="844">
        <v>20</v>
      </c>
      <c r="H10" s="848">
        <v>936223</v>
      </c>
      <c r="I10" s="848">
        <v>197764</v>
      </c>
      <c r="J10" s="848"/>
      <c r="K10" s="1791">
        <f>(H10+I10)-J10</f>
        <v>1133987</v>
      </c>
      <c r="L10" s="1791">
        <f>F10-K10</f>
        <v>1542303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4693133</v>
      </c>
      <c r="D12" s="845">
        <v>317451</v>
      </c>
      <c r="E12" s="845"/>
      <c r="F12" s="1782">
        <f>(C12+D12)-E12</f>
        <v>5010584</v>
      </c>
      <c r="G12" s="844">
        <v>10</v>
      </c>
      <c r="H12" s="766">
        <v>4023458</v>
      </c>
      <c r="I12" s="766">
        <v>158335</v>
      </c>
      <c r="J12" s="766"/>
      <c r="K12" s="1791">
        <f>(H12+I12)-J12</f>
        <v>4181793</v>
      </c>
      <c r="L12" s="1791">
        <f>F12-K12</f>
        <v>828791</v>
      </c>
    </row>
    <row r="13" spans="1:14" ht="14.25" thickTop="1" thickBot="1" x14ac:dyDescent="0.25">
      <c r="A13" s="849" t="s">
        <v>1184</v>
      </c>
      <c r="B13" s="841">
        <v>252</v>
      </c>
      <c r="C13" s="845">
        <v>190786</v>
      </c>
      <c r="D13" s="845">
        <v>2182</v>
      </c>
      <c r="E13" s="845"/>
      <c r="F13" s="1782">
        <f>(C13+D13)-E13</f>
        <v>192968</v>
      </c>
      <c r="G13" s="844">
        <v>5</v>
      </c>
      <c r="H13" s="766">
        <v>165490</v>
      </c>
      <c r="I13" s="766">
        <v>8028</v>
      </c>
      <c r="J13" s="766"/>
      <c r="K13" s="1791">
        <f>(H13+I13)-J13</f>
        <v>173518</v>
      </c>
      <c r="L13" s="1791">
        <f>F13-K13</f>
        <v>19450</v>
      </c>
    </row>
    <row r="14" spans="1:14" ht="14.25" thickTop="1" thickBot="1" x14ac:dyDescent="0.25">
      <c r="A14" s="849" t="s">
        <v>1185</v>
      </c>
      <c r="B14" s="841">
        <v>253</v>
      </c>
      <c r="C14" s="766">
        <v>18373</v>
      </c>
      <c r="D14" s="766">
        <v>2533</v>
      </c>
      <c r="E14" s="766"/>
      <c r="F14" s="1782">
        <f>(C14+D14)-E14</f>
        <v>20906</v>
      </c>
      <c r="G14" s="844">
        <v>3</v>
      </c>
      <c r="H14" s="766">
        <v>18373</v>
      </c>
      <c r="I14" s="766">
        <v>649</v>
      </c>
      <c r="J14" s="766"/>
      <c r="K14" s="1791">
        <f>(H14+I14)-J14</f>
        <v>19022</v>
      </c>
      <c r="L14" s="1791">
        <f>F14-K14</f>
        <v>1884</v>
      </c>
    </row>
    <row r="15" spans="1:14" ht="15" customHeight="1" thickTop="1" thickBot="1" x14ac:dyDescent="0.25">
      <c r="A15" s="1653" t="s">
        <v>549</v>
      </c>
      <c r="B15" s="1652">
        <v>260</v>
      </c>
      <c r="C15" s="845">
        <v>0</v>
      </c>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26430207</v>
      </c>
      <c r="D16" s="1782">
        <f>SUM(D3,D5:D6,D8:D10,D12:D15)</f>
        <v>322166</v>
      </c>
      <c r="E16" s="1782">
        <f>SUM(E3,E5:E6,E8:E10,E12:E15)</f>
        <v>0</v>
      </c>
      <c r="F16" s="1782">
        <f>SUM(F3,F5:F6,F8:F10,F12:F15)</f>
        <v>26752373</v>
      </c>
      <c r="G16" s="844"/>
      <c r="H16" s="1782">
        <f>SUM(H3,H6,H8:H10,H12:H14,)</f>
        <v>11793505</v>
      </c>
      <c r="I16" s="1782">
        <f>SUM(I3,I6,I8:I10,I12:I14,)</f>
        <v>699946</v>
      </c>
      <c r="J16" s="1782">
        <f>SUM(J3,J6,J8:J10,J12:J14,)</f>
        <v>0</v>
      </c>
      <c r="K16" s="1782">
        <f>(H16+I16)-J16</f>
        <v>12493451</v>
      </c>
      <c r="L16" s="1782">
        <f>F16-K16</f>
        <v>14258922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699946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5" activePane="bottomLeft" state="frozen"/>
      <selection activeCell="A13" sqref="A12:H15"/>
      <selection pane="bottomLeft" activeCell="A13" sqref="A12:H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9799315</v>
      </c>
      <c r="G8" s="866"/>
    </row>
    <row r="9" spans="1:7" x14ac:dyDescent="0.2">
      <c r="A9" s="870" t="s">
        <v>480</v>
      </c>
      <c r="B9" s="871" t="s">
        <v>1987</v>
      </c>
      <c r="C9" s="872"/>
      <c r="D9" s="870" t="s">
        <v>522</v>
      </c>
      <c r="E9" s="869"/>
      <c r="F9" s="1935">
        <f>'Expenditures 15-22'!K151</f>
        <v>479074</v>
      </c>
      <c r="G9" s="873"/>
    </row>
    <row r="10" spans="1:7" x14ac:dyDescent="0.2">
      <c r="A10" s="870" t="s">
        <v>520</v>
      </c>
      <c r="B10" s="871" t="s">
        <v>1988</v>
      </c>
      <c r="C10" s="872"/>
      <c r="D10" s="870" t="s">
        <v>522</v>
      </c>
      <c r="E10" s="869"/>
      <c r="F10" s="1935">
        <f>'Expenditures 15-22'!K174</f>
        <v>1330425</v>
      </c>
      <c r="G10" s="873"/>
    </row>
    <row r="11" spans="1:7" x14ac:dyDescent="0.2">
      <c r="A11" s="870" t="s">
        <v>481</v>
      </c>
      <c r="B11" s="871" t="s">
        <v>1989</v>
      </c>
      <c r="C11" s="872"/>
      <c r="D11" s="870" t="s">
        <v>522</v>
      </c>
      <c r="E11" s="869"/>
      <c r="F11" s="1935">
        <f>'Expenditures 15-22'!K210</f>
        <v>873292</v>
      </c>
      <c r="G11" s="873"/>
    </row>
    <row r="12" spans="1:7" x14ac:dyDescent="0.2">
      <c r="A12" s="870" t="s">
        <v>482</v>
      </c>
      <c r="B12" s="871" t="s">
        <v>1990</v>
      </c>
      <c r="C12" s="872"/>
      <c r="D12" s="870" t="s">
        <v>522</v>
      </c>
      <c r="E12" s="869"/>
      <c r="F12" s="1935">
        <f>'Expenditures 15-22'!K295</f>
        <v>282624</v>
      </c>
      <c r="G12" s="873"/>
    </row>
    <row r="13" spans="1:7" x14ac:dyDescent="0.2">
      <c r="A13" s="870" t="s">
        <v>108</v>
      </c>
      <c r="B13" s="871" t="s">
        <v>1991</v>
      </c>
      <c r="C13" s="872"/>
      <c r="D13" s="870" t="s">
        <v>522</v>
      </c>
      <c r="E13" s="869"/>
      <c r="F13" s="1935">
        <f>'Expenditures 15-22'!K342</f>
        <v>73046</v>
      </c>
      <c r="G13" s="874"/>
    </row>
    <row r="14" spans="1:7" ht="12" customHeight="1" thickBot="1" x14ac:dyDescent="0.25">
      <c r="A14" s="1792"/>
      <c r="B14" s="1793"/>
      <c r="C14" s="1794"/>
      <c r="D14" s="1795" t="s">
        <v>522</v>
      </c>
      <c r="E14" s="1796" t="s">
        <v>1015</v>
      </c>
      <c r="F14" s="1797">
        <f>SUM(F8:F13)</f>
        <v>12837776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214446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2394</v>
      </c>
      <c r="G52" s="866"/>
    </row>
    <row r="53" spans="1:7" x14ac:dyDescent="0.2">
      <c r="A53" s="870" t="s">
        <v>479</v>
      </c>
      <c r="B53" s="870" t="s">
        <v>1551</v>
      </c>
      <c r="C53" s="890">
        <f>'Expenditures 15-22'!B102</f>
        <v>4000</v>
      </c>
      <c r="D53" s="889" t="str">
        <f>'Expenditures 15-22'!A102</f>
        <v>Total Payments to Other Govt Units</v>
      </c>
      <c r="E53" s="869"/>
      <c r="F53" s="1939">
        <f>'Expenditures 15-22'!K102</f>
        <v>1113868</v>
      </c>
      <c r="G53" s="866"/>
    </row>
    <row r="54" spans="1:7" x14ac:dyDescent="0.2">
      <c r="A54" s="870" t="s">
        <v>479</v>
      </c>
      <c r="B54" s="870" t="s">
        <v>1552</v>
      </c>
      <c r="C54" s="890" t="s">
        <v>1039</v>
      </c>
      <c r="D54" s="886" t="s">
        <v>1157</v>
      </c>
      <c r="E54" s="869"/>
      <c r="F54" s="1939">
        <f>'Expenditures 15-22'!G114</f>
        <v>306412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15754</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826796</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0</v>
      </c>
      <c r="G64" s="866"/>
    </row>
    <row r="65" spans="1:8" x14ac:dyDescent="0.2">
      <c r="A65" s="870" t="s">
        <v>481</v>
      </c>
      <c r="B65" s="870" t="s">
        <v>2000</v>
      </c>
      <c r="C65" s="887" t="s">
        <v>1039</v>
      </c>
      <c r="D65" s="886" t="s">
        <v>1157</v>
      </c>
      <c r="E65" s="869"/>
      <c r="F65" s="1939">
        <f>'Expenditures 15-22'!G210</f>
        <v>0</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7606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0</v>
      </c>
      <c r="G71" s="866"/>
    </row>
    <row r="72" spans="1:8" x14ac:dyDescent="0.2">
      <c r="A72" s="870" t="s">
        <v>482</v>
      </c>
      <c r="B72" s="870" t="s">
        <v>2006</v>
      </c>
      <c r="C72" s="887">
        <f>'Expenditures 15-22'!B280</f>
        <v>3000</v>
      </c>
      <c r="D72" s="877" t="s">
        <v>469</v>
      </c>
      <c r="E72" s="869"/>
      <c r="F72" s="1939">
        <f>'Expenditures 15-22'!K280</f>
        <v>284</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2487560</v>
      </c>
      <c r="G76" s="866"/>
    </row>
    <row r="77" spans="1:8" s="894" customFormat="1" ht="12" customHeight="1" thickTop="1" thickBot="1" x14ac:dyDescent="0.25">
      <c r="A77" s="1801"/>
      <c r="B77" s="1798"/>
      <c r="C77" s="1794"/>
      <c r="D77" s="1799" t="s">
        <v>2010</v>
      </c>
      <c r="E77" s="1796"/>
      <c r="F77" s="1802">
        <f>(F14-F76)</f>
        <v>10350216</v>
      </c>
      <c r="G77" s="870"/>
    </row>
    <row r="78" spans="1:8" s="894" customFormat="1" ht="12" customHeight="1" thickTop="1" x14ac:dyDescent="0.2">
      <c r="A78" s="1803"/>
      <c r="B78" s="1798"/>
      <c r="C78" s="1794"/>
      <c r="D78" s="1799" t="s">
        <v>2057</v>
      </c>
      <c r="E78" s="1796"/>
      <c r="F78" s="899">
        <v>926.05</v>
      </c>
      <c r="G78" s="900"/>
      <c r="H78" s="870"/>
    </row>
    <row r="79" spans="1:8" s="894" customFormat="1" ht="12" customHeight="1" thickBot="1" x14ac:dyDescent="0.25">
      <c r="A79" s="1804"/>
      <c r="B79" s="1798"/>
      <c r="C79" s="1794"/>
      <c r="D79" s="1799" t="s">
        <v>2011</v>
      </c>
      <c r="E79" s="1796" t="s">
        <v>1015</v>
      </c>
      <c r="F79" s="1805">
        <f>IF(F78&gt;0,F77/F78," Complete Line 78")</f>
        <v>11176.735597429944</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147310</v>
      </c>
      <c r="G94" s="913"/>
    </row>
    <row r="95" spans="1:7" x14ac:dyDescent="0.2">
      <c r="A95" s="909" t="s">
        <v>142</v>
      </c>
      <c r="B95" s="909" t="s">
        <v>177</v>
      </c>
      <c r="C95" s="911">
        <v>1700</v>
      </c>
      <c r="D95" s="919" t="str">
        <f>'Revenues 9-14'!A82</f>
        <v>Total District/School Activity Income</v>
      </c>
      <c r="E95" s="907"/>
      <c r="F95" s="1811">
        <f>SUM('Revenues 9-14'!C82,'Revenues 9-14'!D82)</f>
        <v>118960</v>
      </c>
      <c r="G95" s="913"/>
    </row>
    <row r="96" spans="1:7" x14ac:dyDescent="0.2">
      <c r="A96" s="909" t="s">
        <v>479</v>
      </c>
      <c r="B96" s="909" t="s">
        <v>178</v>
      </c>
      <c r="C96" s="911">
        <f>'Revenues 9-14'!B84</f>
        <v>1811</v>
      </c>
      <c r="D96" s="912" t="str">
        <f>'Revenues 9-14'!A84</f>
        <v>Rentals - Regular Textbooks</v>
      </c>
      <c r="E96" s="907"/>
      <c r="F96" s="1811">
        <f>'Revenues 9-14'!C84</f>
        <v>17809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4815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89276</v>
      </c>
      <c r="G103" s="913"/>
    </row>
    <row r="104" spans="1:7" x14ac:dyDescent="0.2">
      <c r="A104" s="909" t="s">
        <v>479</v>
      </c>
      <c r="B104" s="909" t="s">
        <v>841</v>
      </c>
      <c r="C104" s="911">
        <f>'Revenues 9-14'!B106</f>
        <v>1993</v>
      </c>
      <c r="D104" s="912" t="str">
        <f>'Revenues 9-14'!A106</f>
        <v>Other Local Fees (Describe &amp; Itemize)</v>
      </c>
      <c r="E104" s="907"/>
      <c r="F104" s="1811">
        <f>('Revenues 9-14'!C106)</f>
        <v>570</v>
      </c>
      <c r="G104" s="913"/>
    </row>
    <row r="105" spans="1:7" x14ac:dyDescent="0.2">
      <c r="A105" s="909" t="s">
        <v>524</v>
      </c>
      <c r="B105" s="909" t="s">
        <v>842</v>
      </c>
      <c r="C105" s="914">
        <v>3100</v>
      </c>
      <c r="D105" s="920" t="str">
        <f>'Revenues 9-14'!A131</f>
        <v>Total Special Education</v>
      </c>
      <c r="E105" s="907"/>
      <c r="F105" s="1811">
        <f>SUM('Revenues 9-14'!C131:D131,'Revenues 9-14'!F131)</f>
        <v>822946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841</v>
      </c>
      <c r="G106" s="913"/>
    </row>
    <row r="107" spans="1:7" x14ac:dyDescent="0.2">
      <c r="A107" s="922" t="s">
        <v>685</v>
      </c>
      <c r="B107" s="909" t="s">
        <v>843</v>
      </c>
      <c r="C107" s="921">
        <v>3300</v>
      </c>
      <c r="D107" s="912" t="str">
        <f>'Revenues 9-14'!A144</f>
        <v>Total Bilingual Ed</v>
      </c>
      <c r="E107" s="907"/>
      <c r="F107" s="1811">
        <f>SUM('Revenues 9-14'!C144,'Revenues 9-14'!G144)</f>
        <v>37380</v>
      </c>
      <c r="G107" s="913"/>
    </row>
    <row r="108" spans="1:7" x14ac:dyDescent="0.2">
      <c r="A108" s="909" t="s">
        <v>479</v>
      </c>
      <c r="B108" s="909" t="s">
        <v>844</v>
      </c>
      <c r="C108" s="921">
        <f>'Revenues 9-14'!B145</f>
        <v>3360</v>
      </c>
      <c r="D108" s="912" t="str">
        <f>'Revenues 9-14'!A145</f>
        <v>State Free Lunch &amp; Breakfast</v>
      </c>
      <c r="E108" s="907"/>
      <c r="F108" s="1811">
        <f>'Revenues 9-14'!C145</f>
        <v>4906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12590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363355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324468</v>
      </c>
      <c r="G129" s="931"/>
    </row>
    <row r="130" spans="1:7" x14ac:dyDescent="0.2">
      <c r="A130" s="928" t="s">
        <v>689</v>
      </c>
      <c r="B130" s="928" t="s">
        <v>804</v>
      </c>
      <c r="C130" s="933">
        <v>4300</v>
      </c>
      <c r="D130" s="934" t="str">
        <f>'Revenues 9-14'!A211</f>
        <v>Total Title I</v>
      </c>
      <c r="E130" s="907"/>
      <c r="F130" s="1811">
        <f>SUM('Revenues 9-14'!C211,'Revenues 9-14'!D211,'Revenues 9-14'!F211,'Revenues 9-14'!G211)</f>
        <v>456131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283263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173800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10605</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75382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27643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48895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3020945</v>
      </c>
    </row>
    <row r="179" spans="1:7" ht="12" customHeight="1" x14ac:dyDescent="0.2">
      <c r="A179" s="1792"/>
      <c r="B179" s="1806"/>
      <c r="C179" s="1807"/>
      <c r="D179" s="1808" t="s">
        <v>2013</v>
      </c>
      <c r="E179" s="1809"/>
      <c r="F179" s="1811">
        <f>'PCTC-OEPP 27-28'!F77-F178</f>
        <v>7329271</v>
      </c>
    </row>
    <row r="180" spans="1:7" ht="12" customHeight="1" x14ac:dyDescent="0.2">
      <c r="A180" s="1792"/>
      <c r="B180" s="1806"/>
      <c r="C180" s="1807"/>
      <c r="D180" s="1808" t="s">
        <v>1922</v>
      </c>
      <c r="E180" s="1809"/>
      <c r="F180" s="1811">
        <f>'Cap Outlay Deprec 26'!I18</f>
        <v>699946</v>
      </c>
    </row>
    <row r="181" spans="1:7" ht="12" customHeight="1" x14ac:dyDescent="0.2">
      <c r="A181" s="1792"/>
      <c r="B181" s="1806"/>
      <c r="C181" s="1807"/>
      <c r="D181" s="1808" t="s">
        <v>2014</v>
      </c>
      <c r="E181" s="1809"/>
      <c r="F181" s="1811">
        <f>F179+F180</f>
        <v>8029217</v>
      </c>
    </row>
    <row r="182" spans="1:7" ht="12" customHeight="1" x14ac:dyDescent="0.2">
      <c r="A182" s="1792"/>
      <c r="B182" s="1812"/>
      <c r="C182" s="1807"/>
      <c r="D182" s="1808" t="str">
        <f>D78</f>
        <v>9 Month ADA from District Average Daily Attendance/Prior General State Aid Inquiry 2017-2018</v>
      </c>
      <c r="E182" s="1809"/>
      <c r="F182" s="1813">
        <f>'PCTC-OEPP 27-28'!F78</f>
        <v>926.05</v>
      </c>
      <c r="G182" s="931"/>
    </row>
    <row r="183" spans="1:7" ht="12" customHeight="1" thickBot="1" x14ac:dyDescent="0.25">
      <c r="A183" s="1792"/>
      <c r="B183" s="1812"/>
      <c r="C183" s="1807"/>
      <c r="D183" s="1808" t="s">
        <v>2015</v>
      </c>
      <c r="E183" s="1809" t="s">
        <v>1626</v>
      </c>
      <c r="F183" s="1814">
        <f>F181/F182</f>
        <v>8670.3925274013291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3" sqref="A12:H15"/>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9" t="s">
        <v>1923</v>
      </c>
      <c r="B4" s="2300"/>
      <c r="C4" s="2300"/>
      <c r="D4" s="2300"/>
      <c r="E4" s="2300"/>
      <c r="F4" s="2300"/>
      <c r="G4" s="2301"/>
    </row>
    <row r="5" spans="1:7" x14ac:dyDescent="0.25">
      <c r="A5" s="2302"/>
      <c r="B5" s="2303"/>
      <c r="C5" s="2303"/>
      <c r="D5" s="2303"/>
      <c r="E5" s="2303"/>
      <c r="F5" s="2303"/>
      <c r="G5" s="2304"/>
    </row>
    <row r="6" spans="1:7" ht="18.75" x14ac:dyDescent="0.25">
      <c r="A6" s="1556" t="s">
        <v>1924</v>
      </c>
      <c r="B6" s="1557"/>
      <c r="C6" s="1557"/>
      <c r="D6" s="1557"/>
      <c r="E6" s="1557"/>
      <c r="F6" s="1557"/>
      <c r="G6" s="1558"/>
    </row>
    <row r="7" spans="1:7" ht="30.75" customHeight="1" x14ac:dyDescent="0.25">
      <c r="A7" s="2305" t="s">
        <v>2073</v>
      </c>
      <c r="B7" s="2306"/>
      <c r="C7" s="2306"/>
      <c r="D7" s="2306"/>
      <c r="E7" s="2306"/>
      <c r="F7" s="2306"/>
      <c r="G7" s="2307"/>
    </row>
    <row r="8" spans="1:7" ht="15.75" customHeight="1" x14ac:dyDescent="0.25">
      <c r="A8" s="2308" t="s">
        <v>2022</v>
      </c>
      <c r="B8" s="2309"/>
      <c r="C8" s="2309"/>
      <c r="D8" s="2309"/>
      <c r="E8" s="2309"/>
      <c r="F8" s="2309"/>
      <c r="G8" s="2310"/>
    </row>
    <row r="9" spans="1:7" ht="35.25" customHeight="1" x14ac:dyDescent="0.25">
      <c r="A9" s="2305" t="s">
        <v>2021</v>
      </c>
      <c r="B9" s="2306"/>
      <c r="C9" s="2306"/>
      <c r="D9" s="2306"/>
      <c r="E9" s="2306"/>
      <c r="F9" s="2306"/>
      <c r="G9" s="2307"/>
    </row>
    <row r="10" spans="1:7" ht="15" customHeight="1" x14ac:dyDescent="0.25">
      <c r="A10" s="1559" t="s">
        <v>1925</v>
      </c>
      <c r="B10" s="1560"/>
      <c r="C10" s="1560"/>
      <c r="D10" s="1560"/>
      <c r="E10" s="1560"/>
      <c r="F10" s="1560"/>
      <c r="G10" s="1561"/>
    </row>
    <row r="11" spans="1:7" ht="17.25" customHeight="1" x14ac:dyDescent="0.25">
      <c r="A11" s="2305" t="s">
        <v>1939</v>
      </c>
      <c r="B11" s="2306"/>
      <c r="C11" s="2306"/>
      <c r="D11" s="2306"/>
      <c r="E11" s="2306"/>
      <c r="F11" s="2306"/>
      <c r="G11" s="2307"/>
    </row>
    <row r="12" spans="1:7" ht="15" customHeight="1" x14ac:dyDescent="0.25">
      <c r="A12" s="1559" t="s">
        <v>1930</v>
      </c>
      <c r="B12" s="1560"/>
      <c r="C12" s="1560"/>
      <c r="D12" s="1560"/>
      <c r="E12" s="1560"/>
      <c r="F12" s="1560"/>
      <c r="G12" s="1561"/>
    </row>
    <row r="13" spans="1:7" ht="32.25" customHeight="1" x14ac:dyDescent="0.25">
      <c r="A13" s="2296" t="s">
        <v>1931</v>
      </c>
      <c r="B13" s="2297"/>
      <c r="C13" s="2297"/>
      <c r="D13" s="2297"/>
      <c r="E13" s="2297"/>
      <c r="F13" s="2297"/>
      <c r="G13" s="2298"/>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5" t="s">
        <v>2170</v>
      </c>
      <c r="B17" s="1966" t="s">
        <v>2172</v>
      </c>
      <c r="C17" s="1967" t="s">
        <v>2171</v>
      </c>
      <c r="D17" s="1867">
        <v>26063</v>
      </c>
      <c r="E17" s="1562">
        <f t="shared" ref="E17:E141" si="1">IF(D17&lt;=25000,D17,IF(D17&gt;25000,25000,0))</f>
        <v>25000</v>
      </c>
      <c r="F17" s="1815">
        <f t="shared" si="0"/>
        <v>25000</v>
      </c>
      <c r="G17" s="1816">
        <f>IF(F17=0,0,D17-F17)</f>
        <v>1063</v>
      </c>
      <c r="H17" s="1669"/>
    </row>
    <row r="18" spans="1:8" x14ac:dyDescent="0.25">
      <c r="A18" s="1965" t="s">
        <v>2173</v>
      </c>
      <c r="B18" s="1966" t="s">
        <v>2176</v>
      </c>
      <c r="C18" s="1967" t="s">
        <v>2177</v>
      </c>
      <c r="D18" s="1867">
        <v>4500</v>
      </c>
      <c r="E18" s="1562">
        <f t="shared" ref="E18:E140" si="2">IF(D18&lt;=25000,D18,IF(D18&gt;25000,25000,0))</f>
        <v>4500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4500</v>
      </c>
      <c r="G18" s="1816">
        <f t="shared" ref="G18:G140" si="4">IF(F18=0,0,D18-F18)</f>
        <v>0</v>
      </c>
    </row>
    <row r="19" spans="1:8" x14ac:dyDescent="0.25">
      <c r="A19" s="1965" t="s">
        <v>2174</v>
      </c>
      <c r="B19" s="1966" t="s">
        <v>2184</v>
      </c>
      <c r="C19" s="1967" t="s">
        <v>2178</v>
      </c>
      <c r="D19" s="1867">
        <v>16201</v>
      </c>
      <c r="E19" s="1562">
        <f t="shared" si="2"/>
        <v>16201</v>
      </c>
      <c r="F19" s="1815">
        <f t="shared" si="3"/>
        <v>16201</v>
      </c>
      <c r="G19" s="1816">
        <f t="shared" si="4"/>
        <v>0</v>
      </c>
    </row>
    <row r="20" spans="1:8" x14ac:dyDescent="0.25">
      <c r="A20" s="1965" t="s">
        <v>2175</v>
      </c>
      <c r="B20" s="1966" t="s">
        <v>2185</v>
      </c>
      <c r="C20" s="1967" t="s">
        <v>2179</v>
      </c>
      <c r="D20" s="1867">
        <v>3489</v>
      </c>
      <c r="E20" s="1562">
        <f t="shared" si="2"/>
        <v>3489</v>
      </c>
      <c r="F20" s="1815">
        <f t="shared" si="3"/>
        <v>3489</v>
      </c>
      <c r="G20" s="1816">
        <f t="shared" si="4"/>
        <v>0</v>
      </c>
    </row>
    <row r="21" spans="1:8" x14ac:dyDescent="0.25">
      <c r="A21" s="1965" t="s">
        <v>2174</v>
      </c>
      <c r="B21" s="1966" t="s">
        <v>2184</v>
      </c>
      <c r="C21" s="1967" t="s">
        <v>2180</v>
      </c>
      <c r="D21" s="1867">
        <v>14625</v>
      </c>
      <c r="E21" s="1562">
        <f t="shared" si="2"/>
        <v>14625</v>
      </c>
      <c r="F21" s="1815">
        <f t="shared" si="3"/>
        <v>14625</v>
      </c>
      <c r="G21" s="1816">
        <f t="shared" si="4"/>
        <v>0</v>
      </c>
    </row>
    <row r="22" spans="1:8" x14ac:dyDescent="0.25">
      <c r="A22" s="1965" t="s">
        <v>2175</v>
      </c>
      <c r="B22" s="1966" t="s">
        <v>2186</v>
      </c>
      <c r="C22" s="1967" t="s">
        <v>2181</v>
      </c>
      <c r="D22" s="1867">
        <v>2371</v>
      </c>
      <c r="E22" s="1562">
        <f t="shared" si="2"/>
        <v>2371</v>
      </c>
      <c r="F22" s="1815">
        <f t="shared" si="3"/>
        <v>2371</v>
      </c>
      <c r="G22" s="1816">
        <f t="shared" si="4"/>
        <v>0</v>
      </c>
    </row>
    <row r="23" spans="1:8" x14ac:dyDescent="0.25">
      <c r="A23" s="1965" t="s">
        <v>2170</v>
      </c>
      <c r="B23" s="1966" t="s">
        <v>2187</v>
      </c>
      <c r="C23" s="1967" t="s">
        <v>2182</v>
      </c>
      <c r="D23" s="1867">
        <v>14076</v>
      </c>
      <c r="E23" s="1562">
        <f t="shared" si="2"/>
        <v>14076</v>
      </c>
      <c r="F23" s="1815">
        <f t="shared" si="3"/>
        <v>14076</v>
      </c>
      <c r="G23" s="1816">
        <f t="shared" si="4"/>
        <v>0</v>
      </c>
    </row>
    <row r="24" spans="1:8" x14ac:dyDescent="0.25">
      <c r="A24" s="1965" t="s">
        <v>2175</v>
      </c>
      <c r="B24" s="1966" t="s">
        <v>2186</v>
      </c>
      <c r="C24" s="1967" t="s">
        <v>2183</v>
      </c>
      <c r="D24" s="1867">
        <v>2320</v>
      </c>
      <c r="E24" s="1562">
        <f t="shared" si="2"/>
        <v>2320</v>
      </c>
      <c r="F24" s="1815">
        <f t="shared" si="3"/>
        <v>2320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83645</v>
      </c>
      <c r="E141" s="1563">
        <f t="shared" si="1"/>
        <v>25000</v>
      </c>
      <c r="F141" s="1817">
        <f>SUM(F17:F140)</f>
        <v>82582</v>
      </c>
      <c r="G141" s="1818">
        <f>SUM(G17:G140)</f>
        <v>1063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3" sqref="A12: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244385</v>
      </c>
      <c r="F10" s="975"/>
      <c r="G10" s="976"/>
      <c r="H10" s="162"/>
      <c r="I10" s="162"/>
    </row>
    <row r="11" spans="1:9" s="669" customFormat="1" ht="22.5" customHeight="1" x14ac:dyDescent="0.2">
      <c r="A11" s="2316" t="s">
        <v>1943</v>
      </c>
      <c r="B11" s="2317"/>
      <c r="C11" s="2317"/>
      <c r="D11" s="2318"/>
      <c r="E11" s="978">
        <v>39336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5289843</v>
      </c>
      <c r="F19" s="1822"/>
      <c r="G19" s="1824">
        <f>'Expenditures 15-22'!K33-SUM('Expenditures 15-22'!G33,'Expenditures 15-22'!I33)+'Expenditures 15-22'!D229</f>
        <v>5289843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554668</v>
      </c>
      <c r="F21" s="1825"/>
      <c r="G21" s="1828">
        <f>'Expenditures 15-22'!K42-SUM('Expenditures 15-22'!G42,'Expenditures 15-22'!I42)+'Expenditures 15-22'!K120-SUM('Expenditures 15-22'!G120,'Expenditures 15-22'!I120)+'Expenditures 15-22'!K180-SUM('Expenditures 15-22'!G180,'Expenditures 15-22'!I180)+'Expenditures 15-22'!D238</f>
        <v>554668</v>
      </c>
      <c r="H21" s="988"/>
      <c r="I21" s="162"/>
    </row>
    <row r="22" spans="1:9" s="669" customFormat="1" ht="12" customHeight="1" x14ac:dyDescent="0.2">
      <c r="A22" s="995" t="s">
        <v>585</v>
      </c>
      <c r="B22" s="996"/>
      <c r="C22" s="994">
        <v>2200</v>
      </c>
      <c r="D22" s="1825"/>
      <c r="E22" s="1827">
        <f>'Expenditures 15-22'!K47-SUM('Expenditures 15-22'!G47,'Expenditures 15-22'!I47)+'Expenditures 15-22'!D243</f>
        <v>314183</v>
      </c>
      <c r="F22" s="1825"/>
      <c r="G22" s="1828">
        <f>'Expenditures 15-22'!K47-SUM('Expenditures 15-22'!G47,'Expenditures 15-22'!I47)+'Expenditures 15-22'!D243</f>
        <v>314183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492579</v>
      </c>
      <c r="F23" s="1825"/>
      <c r="G23" s="1827">
        <f>'Expenditures 15-22'!K53-SUM('Expenditures 15-22'!G53,'Expenditures 15-22'!I53)+'Expenditures 15-22'!D257+'Expenditures 15-22'!K330-SUM('Expenditures 15-22'!G330,'Expenditures 15-22'!I330)</f>
        <v>492579</v>
      </c>
      <c r="H23" s="988"/>
      <c r="I23" s="162"/>
    </row>
    <row r="24" spans="1:9" s="669" customFormat="1" ht="12" customHeight="1" x14ac:dyDescent="0.2">
      <c r="A24" s="995" t="s">
        <v>587</v>
      </c>
      <c r="B24" s="996"/>
      <c r="C24" s="994">
        <v>2400</v>
      </c>
      <c r="D24" s="1825"/>
      <c r="E24" s="1827">
        <f>'Expenditures 15-22'!K57-SUM('Expenditures 15-22'!G57,'Expenditures 15-22'!I57)+'Expenditures 15-22'!D261</f>
        <v>537974</v>
      </c>
      <c r="F24" s="1825"/>
      <c r="G24" s="1828">
        <f>'Expenditures 15-22'!K57-SUM('Expenditures 15-22'!G57,'Expenditures 15-22'!I57)+'Expenditures 15-22'!D261</f>
        <v>537974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737608</v>
      </c>
      <c r="E27" s="1827">
        <f>E8</f>
        <v>0</v>
      </c>
      <c r="F27" s="1827">
        <f>'Expenditures 15-22'!K60-SUM('Expenditures 15-22'!G60,'Expenditures 15-22'!I60)+'Expenditures 15-22'!D264-E8</f>
        <v>737608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769181</v>
      </c>
      <c r="F28" s="1829">
        <f>'Expenditures 15-22'!K61-SUM('Expenditures 15-22'!G61,'Expenditures 15-22'!I61)+'Expenditures 15-22'!K124-SUM('Expenditures 15-22'!G124,'Expenditures 15-22'!I124)+'Expenditures 15-22'!D266-E9</f>
        <v>769181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873960</v>
      </c>
      <c r="F29" s="1825"/>
      <c r="G29" s="1828">
        <f>'Expenditures 15-22'!K62-SUM('Expenditures 15-22'!G62,'Expenditures 15-22'!I62)+'Expenditures 15-22'!K125-SUM('Expenditures 15-22'!G125,'Expenditures 15-22'!I125)+'Expenditures 15-22'!K182-SUM('Expenditures 15-22'!G182,'Expenditures 15-22'!I182)+'Expenditures 15-22'!D267</f>
        <v>873960</v>
      </c>
      <c r="H29" s="986"/>
    </row>
    <row r="30" spans="1:9" ht="12" customHeight="1" x14ac:dyDescent="0.2">
      <c r="A30" s="995" t="s">
        <v>102</v>
      </c>
      <c r="B30" s="998"/>
      <c r="C30" s="994">
        <v>2560</v>
      </c>
      <c r="D30" s="1825"/>
      <c r="E30" s="1827">
        <f>'Expenditures 15-22'!K63-SUM('Expenditures 15-22'!G63,'Expenditures 15-22'!I63)+'Expenditures 15-22'!D268-E10</f>
        <v>188891</v>
      </c>
      <c r="F30" s="1825"/>
      <c r="G30" s="1827">
        <f>'Expenditures 15-22'!K63-SUM('Expenditures 15-22'!G63,'Expenditures 15-22'!I63)+'Expenditures 15-22'!D268-E10</f>
        <v>188891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65367</v>
      </c>
      <c r="F35" s="1825"/>
      <c r="G35" s="1827">
        <f>'Expenditures 15-22'!K69-SUM('Expenditures 15-22'!G69,'Expenditures 15-22'!I69)+'Expenditures 15-22'!D274</f>
        <v>65367</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2678</v>
      </c>
      <c r="F39" s="1825"/>
      <c r="G39" s="1827">
        <f>'Expenditures 15-22'!K75-SUM('Expenditures 15-22'!G75,'Expenditures 15-22'!I75)+'Expenditures 15-22'!K130-SUM('Expenditures 15-22'!G130,'Expenditures 15-22'!I130)+'Expenditures 15-22'!K185-SUM('Expenditures 15-22'!G185,'Expenditures 15-22'!I185)+'Expenditures 15-22'!D280</f>
        <v>2678</v>
      </c>
    </row>
    <row r="40" spans="1:7" ht="12" customHeight="1" x14ac:dyDescent="0.2">
      <c r="A40" s="991" t="s">
        <v>1928</v>
      </c>
      <c r="B40" s="992"/>
      <c r="C40" s="994"/>
      <c r="D40" s="1825"/>
      <c r="E40" s="1829">
        <f>-'Contracts Paid in CY 29'!G141</f>
        <v>-1063</v>
      </c>
      <c r="F40" s="1825"/>
      <c r="G40" s="1829">
        <f>-'Contracts Paid in CY 29'!G141</f>
        <v>-1063</v>
      </c>
    </row>
    <row r="41" spans="1:7" ht="12" customHeight="1" x14ac:dyDescent="0.2">
      <c r="A41" s="999" t="s">
        <v>158</v>
      </c>
      <c r="B41" s="1000"/>
      <c r="C41" s="1001"/>
      <c r="D41" s="1829">
        <f>SUM(D19:D39)</f>
        <v>737608</v>
      </c>
      <c r="E41" s="1829">
        <f>SUM(E19:E40)</f>
        <v>9088261</v>
      </c>
      <c r="F41" s="1829">
        <f>SUM(F19:F39)</f>
        <v>1506789</v>
      </c>
      <c r="G41" s="1829">
        <f>SUM(G19:G40)</f>
        <v>8319080</v>
      </c>
    </row>
    <row r="42" spans="1:7" x14ac:dyDescent="0.2">
      <c r="A42" s="988"/>
      <c r="B42" s="162"/>
      <c r="C42" s="1002"/>
      <c r="D42" s="2314" t="s">
        <v>543</v>
      </c>
      <c r="E42" s="2315"/>
      <c r="F42" s="1003" t="s">
        <v>544</v>
      </c>
      <c r="G42" s="1004"/>
    </row>
    <row r="43" spans="1:7" ht="12" customHeight="1" x14ac:dyDescent="0.2">
      <c r="A43" s="988"/>
      <c r="B43" s="162"/>
      <c r="C43" s="1002"/>
      <c r="D43" s="1830" t="s">
        <v>493</v>
      </c>
      <c r="E43" s="1831">
        <f>D41</f>
        <v>737608</v>
      </c>
      <c r="F43" s="1830" t="s">
        <v>495</v>
      </c>
      <c r="G43" s="1831">
        <f>F41</f>
        <v>1506789</v>
      </c>
    </row>
    <row r="44" spans="1:7" ht="12" customHeight="1" x14ac:dyDescent="0.2">
      <c r="A44" s="988"/>
      <c r="B44" s="162"/>
      <c r="C44" s="1002"/>
      <c r="D44" s="1830" t="s">
        <v>494</v>
      </c>
      <c r="E44" s="1831">
        <f>E41</f>
        <v>9088261</v>
      </c>
      <c r="F44" s="1830" t="s">
        <v>494</v>
      </c>
      <c r="G44" s="1831">
        <f>G41</f>
        <v>8319080</v>
      </c>
    </row>
    <row r="45" spans="1:7" ht="12" customHeight="1" x14ac:dyDescent="0.2">
      <c r="A45" s="988"/>
      <c r="B45" s="162"/>
      <c r="C45" s="162"/>
      <c r="D45" s="1832" t="s">
        <v>1063</v>
      </c>
      <c r="E45" s="1833">
        <f>(E43/E44)</f>
        <v>8.1160521248234405E-2</v>
      </c>
      <c r="F45" s="1832" t="s">
        <v>1063</v>
      </c>
      <c r="G45" s="1833">
        <f>(G43/G44)</f>
        <v>0.18112447530255749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3" sqref="A12:H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3" t="s">
        <v>1446</v>
      </c>
      <c r="B1" s="2333"/>
      <c r="C1" s="2333"/>
      <c r="D1" s="2333"/>
      <c r="E1" s="2333"/>
      <c r="F1" s="2333"/>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4" t="s">
        <v>1627</v>
      </c>
      <c r="B5" s="2335"/>
      <c r="C5" s="2336"/>
      <c r="D5" s="2336"/>
      <c r="E5" s="2336"/>
      <c r="F5" s="2336"/>
    </row>
    <row r="6" spans="1:10" ht="12" customHeight="1" x14ac:dyDescent="0.25">
      <c r="A6" s="1875"/>
      <c r="B6" s="1876"/>
      <c r="C6" s="2337" t="str">
        <f>COVER!A17</f>
        <v>Momence CUSD 1</v>
      </c>
      <c r="D6" s="2337"/>
      <c r="E6" s="2337"/>
      <c r="F6" s="1877"/>
    </row>
    <row r="7" spans="1:10" ht="11.25" customHeight="1" thickBot="1" x14ac:dyDescent="0.3">
      <c r="A7" s="1875"/>
      <c r="B7" s="1876"/>
      <c r="C7" s="2338">
        <f>COVER!A13</f>
        <v>32046001026</v>
      </c>
      <c r="D7" s="2338"/>
      <c r="E7" s="2338"/>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2088</v>
      </c>
      <c r="D19" s="1890" t="s">
        <v>2088</v>
      </c>
      <c r="E19" s="1893" t="s">
        <v>2088</v>
      </c>
      <c r="F19" s="1892" t="s">
        <v>2100</v>
      </c>
      <c r="H19" s="1903">
        <f t="shared" si="0"/>
        <v>5</v>
      </c>
      <c r="I19" s="1903">
        <f t="shared" si="1"/>
        <v>5</v>
      </c>
      <c r="J19" s="1903">
        <f t="shared" si="2"/>
        <v>5</v>
      </c>
    </row>
    <row r="20" spans="1:12" ht="12" customHeight="1" x14ac:dyDescent="0.2">
      <c r="A20" s="1888" t="s">
        <v>1609</v>
      </c>
      <c r="B20" s="1889"/>
      <c r="C20" s="1890" t="s">
        <v>2088</v>
      </c>
      <c r="D20" s="1890" t="s">
        <v>2088</v>
      </c>
      <c r="E20" s="1893" t="s">
        <v>2088</v>
      </c>
      <c r="F20" s="1892" t="s">
        <v>2101</v>
      </c>
      <c r="H20" s="1903">
        <f t="shared" si="0"/>
        <v>5</v>
      </c>
      <c r="I20" s="1903">
        <f t="shared" si="1"/>
        <v>5</v>
      </c>
      <c r="J20" s="1903">
        <f t="shared" si="2"/>
        <v>5</v>
      </c>
    </row>
    <row r="21" spans="1:12" ht="12" customHeight="1" x14ac:dyDescent="0.2">
      <c r="A21" s="1888" t="s">
        <v>1610</v>
      </c>
      <c r="B21" s="1889"/>
      <c r="C21" s="1890" t="s">
        <v>2088</v>
      </c>
      <c r="D21" s="1890" t="s">
        <v>2088</v>
      </c>
      <c r="E21" s="1893" t="s">
        <v>2088</v>
      </c>
      <c r="F21" s="1892" t="s">
        <v>2188</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2088</v>
      </c>
      <c r="D25" s="1890" t="s">
        <v>2088</v>
      </c>
      <c r="E25" s="1893" t="s">
        <v>2088</v>
      </c>
      <c r="F25" s="1892" t="s">
        <v>2102</v>
      </c>
      <c r="H25" s="1903">
        <f t="shared" si="0"/>
        <v>5</v>
      </c>
      <c r="I25" s="1903">
        <f t="shared" si="1"/>
        <v>5</v>
      </c>
      <c r="J25" s="1903">
        <f t="shared" si="2"/>
        <v>5</v>
      </c>
    </row>
    <row r="26" spans="1:12" ht="12" customHeight="1" x14ac:dyDescent="0.2">
      <c r="A26" s="1888" t="s">
        <v>1615</v>
      </c>
      <c r="B26" s="1889"/>
      <c r="C26" s="1890" t="s">
        <v>2088</v>
      </c>
      <c r="D26" s="1890" t="s">
        <v>2088</v>
      </c>
      <c r="E26" s="1893" t="s">
        <v>2088</v>
      </c>
      <c r="F26" s="1892" t="s">
        <v>2103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2088</v>
      </c>
      <c r="D29" s="1890" t="s">
        <v>2088</v>
      </c>
      <c r="E29" s="1893" t="s">
        <v>2088</v>
      </c>
      <c r="F29" s="1892" t="s">
        <v>2104</v>
      </c>
      <c r="H29" s="1903">
        <f t="shared" si="0"/>
        <v>5</v>
      </c>
      <c r="I29" s="1903">
        <f t="shared" si="1"/>
        <v>5</v>
      </c>
      <c r="J29" s="1903">
        <f t="shared" si="2"/>
        <v>5</v>
      </c>
    </row>
    <row r="30" spans="1:12" ht="12" customHeight="1" x14ac:dyDescent="0.2">
      <c r="A30" s="1888" t="s">
        <v>1619</v>
      </c>
      <c r="B30" s="1889"/>
      <c r="C30" s="1890" t="s">
        <v>2088</v>
      </c>
      <c r="D30" s="1890" t="s">
        <v>2088</v>
      </c>
      <c r="E30" s="1893" t="s">
        <v>2088</v>
      </c>
      <c r="F30" s="1892" t="s">
        <v>2105</v>
      </c>
      <c r="H30" s="1903">
        <f t="shared" si="0"/>
        <v>5</v>
      </c>
      <c r="I30" s="1903">
        <f t="shared" si="1"/>
        <v>5</v>
      </c>
      <c r="J30" s="1903">
        <f t="shared" si="2"/>
        <v>5</v>
      </c>
    </row>
    <row r="31" spans="1:12" ht="12" customHeight="1" x14ac:dyDescent="0.2">
      <c r="A31" s="1888" t="s">
        <v>1620</v>
      </c>
      <c r="B31" s="1889"/>
      <c r="C31" s="1890" t="s">
        <v>2088</v>
      </c>
      <c r="D31" s="1890" t="s">
        <v>2088</v>
      </c>
      <c r="E31" s="1893" t="s">
        <v>2088</v>
      </c>
      <c r="F31" s="1892" t="s">
        <v>2106</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2088</v>
      </c>
      <c r="D33" s="1890" t="s">
        <v>2088</v>
      </c>
      <c r="E33" s="1893" t="s">
        <v>2088</v>
      </c>
      <c r="F33" s="1892" t="s">
        <v>2189</v>
      </c>
      <c r="H33" s="1903">
        <f t="shared" si="0"/>
        <v>5</v>
      </c>
      <c r="I33" s="1903">
        <f t="shared" si="1"/>
        <v>5</v>
      </c>
      <c r="J33" s="1903">
        <f t="shared" si="2"/>
        <v>5</v>
      </c>
    </row>
    <row r="34" spans="1:11" ht="12" customHeight="1" x14ac:dyDescent="0.25">
      <c r="A34" s="1895"/>
      <c r="B34" s="1895"/>
      <c r="C34" s="1895"/>
      <c r="D34" s="1895"/>
      <c r="E34" s="1895"/>
      <c r="F34" s="1895"/>
      <c r="H34" s="1903">
        <f>SUM(H11:H32)</f>
        <v>40</v>
      </c>
      <c r="I34" s="1903">
        <f>SUM(I11:I32)</f>
        <v>40</v>
      </c>
      <c r="J34" s="1903">
        <f>SUM(J11:J32)</f>
        <v>40</v>
      </c>
      <c r="K34" s="1903">
        <f>SUM(H34:J34)</f>
        <v>120</v>
      </c>
    </row>
    <row r="35" spans="1:11" ht="12" customHeight="1" x14ac:dyDescent="0.2">
      <c r="A35" s="1896" t="s">
        <v>1459</v>
      </c>
      <c r="B35" s="1897"/>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8"/>
      <c r="B39" s="1898"/>
      <c r="C39" s="1898"/>
      <c r="D39" s="1898"/>
      <c r="E39" s="1898"/>
      <c r="F39" s="1898"/>
    </row>
    <row r="40" spans="1:11" s="1895" customFormat="1" ht="12" customHeight="1" x14ac:dyDescent="0.25">
      <c r="A40" s="1899" t="s">
        <v>1458</v>
      </c>
      <c r="B40" s="1900"/>
      <c r="C40" s="2328"/>
      <c r="D40" s="2328"/>
      <c r="E40" s="2328"/>
      <c r="F40" s="2329"/>
      <c r="H40" s="1904"/>
      <c r="I40" s="1904"/>
      <c r="J40" s="1904"/>
      <c r="K40" s="1904"/>
    </row>
    <row r="41" spans="1:11" s="1895" customFormat="1" ht="12" customHeight="1" x14ac:dyDescent="0.25">
      <c r="A41" s="2330"/>
      <c r="B41" s="2331"/>
      <c r="C41" s="2331"/>
      <c r="D41" s="2331"/>
      <c r="E41" s="2331"/>
      <c r="F41" s="2332"/>
      <c r="H41" s="1904"/>
      <c r="I41" s="1904"/>
      <c r="J41" s="1904"/>
      <c r="K41" s="1904"/>
    </row>
    <row r="42" spans="1:11" s="1895" customFormat="1" ht="12" customHeight="1" x14ac:dyDescent="0.25">
      <c r="A42" s="2330"/>
      <c r="B42" s="2331"/>
      <c r="C42" s="2331"/>
      <c r="D42" s="2331"/>
      <c r="E42" s="2331"/>
      <c r="F42" s="2332"/>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A13" sqref="A12: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6" t="str">
        <f>COVER!A17</f>
        <v>Momence CUSD 1</v>
      </c>
      <c r="J6" s="2347"/>
      <c r="Q6" s="1686"/>
    </row>
    <row r="7" spans="1:17" x14ac:dyDescent="0.2">
      <c r="A7" s="2348" t="s">
        <v>924</v>
      </c>
      <c r="B7" s="2349"/>
      <c r="C7" s="2349"/>
      <c r="D7" s="2349"/>
      <c r="E7" s="2350"/>
      <c r="F7" s="1018"/>
      <c r="G7" s="1010"/>
      <c r="H7" s="1017" t="s">
        <v>390</v>
      </c>
      <c r="I7" s="2351">
        <f>COVER!A13</f>
        <v>32046001026</v>
      </c>
      <c r="J7" s="235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150773</v>
      </c>
      <c r="F12" s="1040"/>
      <c r="G12" s="1834">
        <f t="shared" ref="G12:G18" si="0">SUM(E12:F12)</f>
        <v>150773</v>
      </c>
      <c r="H12" s="1041">
        <v>157673</v>
      </c>
      <c r="I12" s="1040"/>
      <c r="J12" s="1834">
        <f t="shared" ref="J12:J18" si="1">SUM(H12:I12)</f>
        <v>157673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155397</v>
      </c>
      <c r="F14" s="1040"/>
      <c r="G14" s="1834">
        <f t="shared" si="0"/>
        <v>155397</v>
      </c>
      <c r="H14" s="1041">
        <v>163609</v>
      </c>
      <c r="I14" s="1040"/>
      <c r="J14" s="1834">
        <f t="shared" si="1"/>
        <v>163609</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5" t="s">
        <v>7</v>
      </c>
      <c r="C18" s="2356"/>
      <c r="D18" s="235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306170</v>
      </c>
      <c r="F19" s="1836">
        <f t="shared" si="2"/>
        <v>0</v>
      </c>
      <c r="G19" s="1836">
        <f t="shared" si="2"/>
        <v>306170</v>
      </c>
      <c r="H19" s="1836">
        <f t="shared" si="2"/>
        <v>321282</v>
      </c>
      <c r="I19" s="1836">
        <f t="shared" si="2"/>
        <v>0</v>
      </c>
      <c r="J19" s="1836">
        <f t="shared" si="2"/>
        <v>321282</v>
      </c>
    </row>
    <row r="20" spans="1:10" ht="13.5" thickTop="1" x14ac:dyDescent="0.2">
      <c r="A20" s="1036">
        <v>9</v>
      </c>
      <c r="B20" s="2358" t="s">
        <v>1703</v>
      </c>
      <c r="C20" s="2358"/>
      <c r="D20" s="2359"/>
      <c r="E20" s="1047"/>
      <c r="F20" s="1047"/>
      <c r="G20" s="1047"/>
      <c r="H20" s="1047"/>
      <c r="I20" s="1047"/>
      <c r="J20" s="1837">
        <f>IF(AND(G19&gt;0,J19&gt;0),(((J19-G19)/G19)),"Enter Budget Data")</f>
        <v>4.9358199692981025E-2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1942</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2:H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2203</v>
      </c>
    </row>
    <row r="6" spans="1:2" x14ac:dyDescent="0.2">
      <c r="A6" s="1069"/>
      <c r="B6" s="329" t="s">
        <v>2206</v>
      </c>
    </row>
    <row r="7" spans="1:2" x14ac:dyDescent="0.2">
      <c r="A7" s="1069">
        <v>2</v>
      </c>
      <c r="B7" s="329" t="s">
        <v>2197</v>
      </c>
    </row>
    <row r="8" spans="1:2" x14ac:dyDescent="0.2">
      <c r="A8" s="1069">
        <v>3</v>
      </c>
      <c r="B8" s="329" t="s">
        <v>2198</v>
      </c>
    </row>
    <row r="9" spans="1:2" x14ac:dyDescent="0.2">
      <c r="A9" s="1069">
        <v>4</v>
      </c>
      <c r="B9" s="329" t="s">
        <v>2202</v>
      </c>
    </row>
    <row r="10" spans="1:2" x14ac:dyDescent="0.2">
      <c r="A10" s="1069">
        <v>5</v>
      </c>
      <c r="B10" s="329" t="s">
        <v>2199</v>
      </c>
    </row>
    <row r="11" spans="1:2" x14ac:dyDescent="0.2">
      <c r="A11" s="1069">
        <v>6</v>
      </c>
      <c r="B11" s="329" t="s">
        <v>2200</v>
      </c>
    </row>
    <row r="12" spans="1:2" x14ac:dyDescent="0.2">
      <c r="A12" s="1069">
        <v>7</v>
      </c>
      <c r="B12" s="329" t="s">
        <v>2205</v>
      </c>
    </row>
    <row r="13" spans="1:2" x14ac:dyDescent="0.2">
      <c r="A13" s="1069">
        <v>8</v>
      </c>
      <c r="B13" s="329" t="s">
        <v>2201</v>
      </c>
    </row>
    <row r="14" spans="1:2" x14ac:dyDescent="0.2">
      <c r="A14" s="1069">
        <v>9</v>
      </c>
      <c r="B14" s="329" t="s">
        <v>2204</v>
      </c>
    </row>
    <row r="15" spans="1:2" x14ac:dyDescent="0.2">
      <c r="A15" s="1069">
        <v>10</v>
      </c>
      <c r="B15" s="329" t="s">
        <v>2211</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Momence CUSD 1</v>
      </c>
    </row>
    <row r="65" spans="2:2" x14ac:dyDescent="0.2">
      <c r="B65" s="1071">
        <f>COVER!A13</f>
        <v>32046001026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A13" sqref="A12: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9" t="s">
        <v>1709</v>
      </c>
    </row>
    <row r="23" spans="1:5" x14ac:dyDescent="0.2">
      <c r="A23" s="168"/>
      <c r="B23" s="162" t="s">
        <v>1967</v>
      </c>
      <c r="D23" s="167" t="s">
        <v>658</v>
      </c>
      <c r="E23" s="1859"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2: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2:H15"/>
    </sheetView>
  </sheetViews>
  <sheetFormatPr defaultColWidth="9.140625" defaultRowHeight="12.75" x14ac:dyDescent="0.2"/>
  <cols>
    <col min="1" max="1" width="25.7109375" style="329" customWidth="1"/>
    <col min="2" max="2" width="49.7109375" style="329" customWidth="1"/>
    <col min="3" max="3" width="36.28515625" style="329" customWidth="1"/>
    <col min="4"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5" t="s">
        <v>1784</v>
      </c>
      <c r="B18" s="236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4</xdr:row>
                <xdr:rowOff>0</xdr:rowOff>
              </from>
              <to>
                <xdr:col>0</xdr:col>
                <xdr:colOff>866775</xdr:colOff>
                <xdr:row>8</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3</xdr:row>
                <xdr:rowOff>0</xdr:rowOff>
              </from>
              <to>
                <xdr:col>1</xdr:col>
                <xdr:colOff>866775</xdr:colOff>
                <xdr:row>7</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0</xdr:colOff>
                <xdr:row>3</xdr:row>
                <xdr:rowOff>0</xdr:rowOff>
              </from>
              <to>
                <xdr:col>1</xdr:col>
                <xdr:colOff>866775</xdr:colOff>
                <xdr:row>7</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9">
            <anchor moveWithCells="1">
              <from>
                <xdr:col>2</xdr:col>
                <xdr:colOff>0</xdr:colOff>
                <xdr:row>2</xdr:row>
                <xdr:rowOff>0</xdr:rowOff>
              </from>
              <to>
                <xdr:col>2</xdr:col>
                <xdr:colOff>866775</xdr:colOff>
                <xdr:row>6</xdr:row>
                <xdr:rowOff>57150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1">
          <objectPr defaultSize="0" r:id="rId12">
            <anchor moveWithCells="1">
              <from>
                <xdr:col>3</xdr:col>
                <xdr:colOff>0</xdr:colOff>
                <xdr:row>3</xdr:row>
                <xdr:rowOff>0</xdr:rowOff>
              </from>
              <to>
                <xdr:col>4</xdr:col>
                <xdr:colOff>257175</xdr:colOff>
                <xdr:row>7</xdr:row>
                <xdr:rowOff>57150</xdr:rowOff>
              </to>
            </anchor>
          </objectPr>
        </oleObject>
      </mc:Choice>
      <mc:Fallback>
        <oleObject progId="Acrobat Document" dvAspect="DVASPECT_ICON" shapeId="35845" r:id="rId11"/>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3" sqref="A12: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5"/>
      <c r="H2" s="1075"/>
    </row>
    <row r="3" spans="1:8" ht="57" customHeight="1" x14ac:dyDescent="0.2">
      <c r="A3" s="2379" t="s">
        <v>1786</v>
      </c>
      <c r="B3" s="2380"/>
      <c r="C3" s="2380"/>
      <c r="D3" s="2380"/>
      <c r="E3" s="2380"/>
      <c r="F3" s="2381"/>
      <c r="G3" s="1075"/>
      <c r="H3" s="1075"/>
    </row>
    <row r="4" spans="1:8" ht="14.25" customHeight="1" x14ac:dyDescent="0.2">
      <c r="A4" s="2385" t="s">
        <v>2054</v>
      </c>
      <c r="B4" s="2386"/>
      <c r="C4" s="2386"/>
      <c r="D4" s="2386"/>
      <c r="E4" s="2386"/>
      <c r="F4" s="2387"/>
      <c r="G4" s="1075"/>
      <c r="H4" s="1075"/>
    </row>
    <row r="5" spans="1:8" ht="14.25" customHeight="1" x14ac:dyDescent="0.2">
      <c r="A5" s="2388" t="s">
        <v>2055</v>
      </c>
      <c r="B5" s="2389"/>
      <c r="C5" s="2389"/>
      <c r="D5" s="2389"/>
      <c r="E5" s="2389"/>
      <c r="F5" s="2390"/>
      <c r="G5" s="1075"/>
      <c r="H5" s="1075"/>
    </row>
    <row r="6" spans="1:8" s="1076" customFormat="1" ht="41.25" customHeight="1" x14ac:dyDescent="0.2">
      <c r="A6" s="2382" t="s">
        <v>1792</v>
      </c>
      <c r="B6" s="2383"/>
      <c r="C6" s="2383"/>
      <c r="D6" s="2383"/>
      <c r="E6" s="2383"/>
      <c r="F6" s="238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11160058</v>
      </c>
      <c r="C8" s="1838">
        <f>'Acct Summary 7-8'!D8</f>
        <v>534096</v>
      </c>
      <c r="D8" s="1838">
        <f>'Acct Summary 7-8'!F8</f>
        <v>711705</v>
      </c>
      <c r="E8" s="1838">
        <f>'Acct Summary 7-8'!I8</f>
        <v>55461</v>
      </c>
      <c r="F8" s="1838">
        <f>SUM(B8:E8)</f>
        <v>12461320</v>
      </c>
    </row>
    <row r="9" spans="1:8" s="1080" customFormat="1" ht="14.25" customHeight="1" thickBot="1" x14ac:dyDescent="0.25">
      <c r="A9" s="1079" t="s">
        <v>1436</v>
      </c>
      <c r="B9" s="1839">
        <f>'Acct Summary 7-8'!C17</f>
        <v>9799315</v>
      </c>
      <c r="C9" s="1839">
        <f>'Acct Summary 7-8'!D17</f>
        <v>479074</v>
      </c>
      <c r="D9" s="1839">
        <f>'Acct Summary 7-8'!F17</f>
        <v>873292</v>
      </c>
      <c r="E9" s="1838"/>
      <c r="F9" s="1838">
        <f>SUM(B9:E9)</f>
        <v>11151681</v>
      </c>
    </row>
    <row r="10" spans="1:8" s="1080" customFormat="1" ht="14.25" thickTop="1" thickBot="1" x14ac:dyDescent="0.25">
      <c r="A10" s="1081" t="s">
        <v>1437</v>
      </c>
      <c r="B10" s="1840">
        <f>(B8-B9)</f>
        <v>1360743</v>
      </c>
      <c r="C10" s="1840">
        <f>(C8-C9)</f>
        <v>55022</v>
      </c>
      <c r="D10" s="1840">
        <f>(D8-D9)</f>
        <v>-161587</v>
      </c>
      <c r="E10" s="1839">
        <f>(E8-E9)</f>
        <v>55461</v>
      </c>
      <c r="F10" s="1841">
        <f>SUM(F8-F9)</f>
        <v>1309639</v>
      </c>
    </row>
    <row r="11" spans="1:8" s="1080" customFormat="1" ht="14.25" thickTop="1" thickBot="1" x14ac:dyDescent="0.25">
      <c r="A11" s="1082" t="s">
        <v>1785</v>
      </c>
      <c r="B11" s="1842">
        <f>'Acct Summary 7-8'!C81</f>
        <v>1625301</v>
      </c>
      <c r="C11" s="1842">
        <f>'Acct Summary 7-8'!D81</f>
        <v>392336</v>
      </c>
      <c r="D11" s="1842">
        <f>'Acct Summary 7-8'!F81</f>
        <v>170915</v>
      </c>
      <c r="E11" s="1842">
        <f>'Acct Summary 7-8'!I81</f>
        <v>438643</v>
      </c>
      <c r="F11" s="1843">
        <f>SUM(B11:E11)</f>
        <v>2627195</v>
      </c>
    </row>
    <row r="12" spans="1:8" ht="16.5" customHeight="1" thickTop="1" x14ac:dyDescent="0.2">
      <c r="A12" s="1083"/>
      <c r="B12" s="1084"/>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5"/>
      <c r="B13" s="1086"/>
      <c r="C13" s="2370"/>
      <c r="D13" s="2371"/>
      <c r="E13" s="2371"/>
      <c r="F13" s="2372"/>
      <c r="H13" s="1075"/>
    </row>
    <row r="14" spans="1:8" ht="19.5" customHeight="1" x14ac:dyDescent="0.2">
      <c r="A14" s="1085"/>
      <c r="B14" s="1086"/>
      <c r="C14" s="2370"/>
      <c r="D14" s="2371"/>
      <c r="E14" s="2371"/>
      <c r="F14" s="2372"/>
      <c r="H14" s="1075"/>
    </row>
    <row r="15" spans="1:8" ht="17.25" customHeight="1" x14ac:dyDescent="0.2">
      <c r="A15" s="1085"/>
      <c r="B15" s="1086"/>
      <c r="C15" s="2373"/>
      <c r="D15" s="2374"/>
      <c r="E15" s="2374"/>
      <c r="F15" s="2375"/>
      <c r="H15" s="1075"/>
    </row>
    <row r="16" spans="1:8" s="310" customFormat="1" ht="51.75" hidden="1" customHeight="1" x14ac:dyDescent="0.2">
      <c r="A16" s="2369" t="s">
        <v>1787</v>
      </c>
      <c r="B16" s="2369"/>
      <c r="C16" s="2369"/>
      <c r="D16" s="2369"/>
      <c r="E16" s="236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1" t="s">
        <v>686</v>
      </c>
      <c r="B3" s="2392"/>
      <c r="C3" s="2392"/>
      <c r="D3" s="2393"/>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2" t="s">
        <v>1584</v>
      </c>
      <c r="D7" s="240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6" t="s">
        <v>332</v>
      </c>
      <c r="D21" s="2407"/>
    </row>
    <row r="22" spans="1:10" ht="12.75" x14ac:dyDescent="0.2">
      <c r="A22" s="1140"/>
      <c r="B22" s="1141">
        <v>2</v>
      </c>
      <c r="C22" s="2404" t="s">
        <v>1605</v>
      </c>
      <c r="D22" s="240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8" t="s">
        <v>557</v>
      </c>
      <c r="D43" s="240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0" t="s">
        <v>817</v>
      </c>
      <c r="D56" s="240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400" t="s">
        <v>1797</v>
      </c>
      <c r="D70" s="240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ERROR</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32046001026</v>
      </c>
    </row>
    <row r="3" spans="1:2" x14ac:dyDescent="0.2">
      <c r="A3" t="s">
        <v>1013</v>
      </c>
      <c r="B3" s="138" t="str">
        <f>COVER!A15</f>
        <v>Kankakee</v>
      </c>
    </row>
    <row r="4" spans="1:2" x14ac:dyDescent="0.2">
      <c r="A4" t="s">
        <v>1064</v>
      </c>
      <c r="B4" s="138" t="str">
        <f>COVER!A17</f>
        <v>Momence CUSD 1</v>
      </c>
    </row>
    <row r="5" spans="1:2" x14ac:dyDescent="0.2">
      <c r="A5" t="s">
        <v>728</v>
      </c>
      <c r="B5" s="138" t="str">
        <f>COVER!A38</f>
        <v>Shannon Anderson</v>
      </c>
    </row>
    <row r="6" spans="1:2" x14ac:dyDescent="0.2">
      <c r="A6" t="s">
        <v>733</v>
      </c>
      <c r="B6" s="138">
        <f>COVER!P35</f>
        <v>0</v>
      </c>
    </row>
    <row r="7" spans="1:2" x14ac:dyDescent="0.2">
      <c r="A7" t="s">
        <v>729</v>
      </c>
      <c r="B7" s="138">
        <f>COVER!I38</f>
        <v>0</v>
      </c>
    </row>
    <row r="8" spans="1:2" x14ac:dyDescent="0.2">
      <c r="A8" t="s">
        <v>730</v>
      </c>
      <c r="B8" s="138" t="str">
        <f>COVER!T38</f>
        <v>Dr. Gregg Murphy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066-005281</v>
      </c>
    </row>
    <row r="16" spans="1:2" x14ac:dyDescent="0.2">
      <c r="A16" t="s">
        <v>442</v>
      </c>
      <c r="B16" s="138" t="str">
        <f>COVER!T13</f>
        <v>Smith, Koelling, Dykstra &amp; Ohm, P.C.</v>
      </c>
    </row>
    <row r="17" spans="1:2" x14ac:dyDescent="0.2">
      <c r="A17" t="s">
        <v>939</v>
      </c>
      <c r="B17" s="138" t="str">
        <f>COVER!T15</f>
        <v>Marcie Meents Kolberg</v>
      </c>
    </row>
    <row r="18" spans="1:2" x14ac:dyDescent="0.2">
      <c r="A18" t="s">
        <v>1212</v>
      </c>
      <c r="B18" s="138" t="str">
        <f>COVER!T17</f>
        <v>1605 North Convent</v>
      </c>
    </row>
    <row r="19" spans="1:2" x14ac:dyDescent="0.2">
      <c r="A19" t="s">
        <v>941</v>
      </c>
      <c r="B19" s="138" t="str">
        <f>COVER!T25</f>
        <v>marciek@skdocpa.com</v>
      </c>
    </row>
    <row r="20" spans="1:2" x14ac:dyDescent="0.2">
      <c r="A20" t="s">
        <v>942</v>
      </c>
      <c r="B20" s="138" t="str">
        <f>COVER!T19</f>
        <v>Bourbonnais</v>
      </c>
    </row>
    <row r="21" spans="1:2" x14ac:dyDescent="0.2">
      <c r="A21" t="s">
        <v>500</v>
      </c>
      <c r="B21" s="138" t="str">
        <f>COVER!X19</f>
        <v>IL</v>
      </c>
    </row>
    <row r="22" spans="1:2" x14ac:dyDescent="0.2">
      <c r="A22" t="s">
        <v>943</v>
      </c>
      <c r="B22" s="138">
        <f>COVER!Z19</f>
        <v>60914</v>
      </c>
    </row>
    <row r="23" spans="1:2" x14ac:dyDescent="0.2">
      <c r="A23" t="s">
        <v>1214</v>
      </c>
      <c r="B23" s="138" t="str">
        <f>COVER!T21</f>
        <v>815-937-1997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879588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1625301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1579310</v>
      </c>
      <c r="D92" s="2" t="str">
        <f t="shared" si="0"/>
        <v>Error?</v>
      </c>
    </row>
    <row r="93" spans="1:4" x14ac:dyDescent="0.2">
      <c r="A93" s="5">
        <v>32</v>
      </c>
      <c r="B93" s="138">
        <f>'Assets-Liab 5-6'!C41</f>
        <v>1625301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389632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392336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392336</v>
      </c>
      <c r="D123" s="2" t="str">
        <f t="shared" si="0"/>
        <v>Error?</v>
      </c>
    </row>
    <row r="124" spans="1:4" x14ac:dyDescent="0.2">
      <c r="A124" s="5">
        <v>63</v>
      </c>
      <c r="B124" s="138">
        <f>'Assets-Liab 5-6'!D41</f>
        <v>392336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2500</v>
      </c>
      <c r="D129" s="2" t="str">
        <f t="shared" si="1"/>
        <v>Error?</v>
      </c>
    </row>
    <row r="130" spans="1:4" x14ac:dyDescent="0.2">
      <c r="A130" s="5">
        <v>69</v>
      </c>
      <c r="B130" s="138">
        <f>'Assets-Liab 5-6'!E12</f>
        <v>0</v>
      </c>
      <c r="D130" s="2" t="str">
        <f t="shared" si="1"/>
        <v>Error?</v>
      </c>
    </row>
    <row r="131" spans="1:4" x14ac:dyDescent="0.2">
      <c r="A131" s="5">
        <v>70</v>
      </c>
      <c r="B131" s="138">
        <f>'Assets-Liab 5-6'!E13</f>
        <v>4474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4474</v>
      </c>
      <c r="D140" s="2" t="str">
        <f t="shared" si="1"/>
        <v>Error?</v>
      </c>
    </row>
    <row r="141" spans="1:4" x14ac:dyDescent="0.2">
      <c r="A141" s="5">
        <v>80</v>
      </c>
      <c r="B141" s="138">
        <f>'Assets-Liab 5-6'!E41</f>
        <v>4474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14613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170915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170915</v>
      </c>
      <c r="D170" s="2" t="str">
        <f t="shared" si="1"/>
        <v>Error?</v>
      </c>
    </row>
    <row r="171" spans="1:4" x14ac:dyDescent="0.2">
      <c r="A171" s="5">
        <v>110</v>
      </c>
      <c r="B171" s="138">
        <f>'Assets-Liab 5-6'!F41</f>
        <v>170915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7712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227</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227</v>
      </c>
      <c r="C188" s="2" t="s">
        <v>594</v>
      </c>
      <c r="D188" s="2" t="str">
        <f t="shared" si="1"/>
        <v>Error?</v>
      </c>
    </row>
    <row r="189" spans="1:4" x14ac:dyDescent="0.2">
      <c r="A189" s="5">
        <v>128</v>
      </c>
      <c r="B189" s="138">
        <f>'Assets-Liab 5-6'!G39</f>
        <v>7485</v>
      </c>
      <c r="D189" s="2" t="str">
        <f t="shared" si="1"/>
        <v>Error?</v>
      </c>
    </row>
    <row r="190" spans="1:4" x14ac:dyDescent="0.2">
      <c r="A190" s="5">
        <v>129</v>
      </c>
      <c r="B190" s="138">
        <f>'Assets-Liab 5-6'!G41</f>
        <v>7712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582055</v>
      </c>
      <c r="D273" s="2" t="str">
        <f t="shared" si="3"/>
        <v>Error?</v>
      </c>
    </row>
    <row r="274" spans="1:4" x14ac:dyDescent="0.2">
      <c r="A274" s="5">
        <v>213</v>
      </c>
      <c r="B274" s="138">
        <f>'Assets-Liab 5-6'!M17</f>
        <v>16527473</v>
      </c>
      <c r="D274" s="2" t="str">
        <f t="shared" si="3"/>
        <v>Error?</v>
      </c>
    </row>
    <row r="275" spans="1:4" x14ac:dyDescent="0.2">
      <c r="A275" s="5">
        <v>214</v>
      </c>
      <c r="B275" s="138">
        <f>'Assets-Liab 5-6'!M18</f>
        <v>4418387</v>
      </c>
      <c r="D275" s="2" t="str">
        <f t="shared" si="3"/>
        <v>Error?</v>
      </c>
    </row>
    <row r="276" spans="1:4" x14ac:dyDescent="0.2">
      <c r="A276" s="5">
        <v>215</v>
      </c>
      <c r="B276" s="138">
        <f>'Assets-Liab 5-6'!M19</f>
        <v>5224458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26752373</v>
      </c>
      <c r="C279" s="2" t="s">
        <v>594</v>
      </c>
      <c r="D279" s="2" t="str">
        <f t="shared" si="3"/>
        <v>Error?</v>
      </c>
    </row>
    <row r="280" spans="1:4" x14ac:dyDescent="0.2">
      <c r="A280" s="5">
        <v>219</v>
      </c>
      <c r="B280" s="138">
        <f>'Assets-Liab 5-6'!M40</f>
        <v>26752373</v>
      </c>
      <c r="D280" s="2" t="str">
        <f t="shared" si="3"/>
        <v>Error?</v>
      </c>
    </row>
    <row r="281" spans="1:4" x14ac:dyDescent="0.2">
      <c r="A281" s="5">
        <v>220</v>
      </c>
      <c r="B281" s="138">
        <f>'Assets-Liab 5-6'!M41</f>
        <v>26752373</v>
      </c>
      <c r="C281" s="2" t="s">
        <v>594</v>
      </c>
      <c r="D281" s="2" t="str">
        <f t="shared" si="3"/>
        <v>Error?</v>
      </c>
    </row>
    <row r="282" spans="1:4" x14ac:dyDescent="0.2">
      <c r="A282" s="5">
        <v>221</v>
      </c>
      <c r="B282" s="138">
        <f>'Assets-Liab 5-6'!N21</f>
        <v>4474</v>
      </c>
      <c r="D282" s="2" t="str">
        <f t="shared" si="3"/>
        <v>Error?</v>
      </c>
    </row>
    <row r="283" spans="1:4" x14ac:dyDescent="0.2">
      <c r="A283" s="5">
        <v>222</v>
      </c>
      <c r="B283" s="138">
        <f>'Assets-Liab 5-6'!N22</f>
        <v>10794274</v>
      </c>
      <c r="D283" s="2" t="str">
        <f t="shared" si="3"/>
        <v>Error?</v>
      </c>
    </row>
    <row r="284" spans="1:4" x14ac:dyDescent="0.2">
      <c r="A284" s="5">
        <v>223</v>
      </c>
      <c r="B284" s="138">
        <f>'Assets-Liab 5-6'!N23</f>
        <v>10798748</v>
      </c>
      <c r="C284" s="2" t="s">
        <v>594</v>
      </c>
      <c r="D284" s="2" t="str">
        <f t="shared" si="3"/>
        <v>Error?</v>
      </c>
    </row>
    <row r="285" spans="1:4" x14ac:dyDescent="0.2">
      <c r="A285" s="5">
        <v>224</v>
      </c>
      <c r="B285" s="138">
        <f>'Assets-Liab 5-6'!N36</f>
        <v>10798748</v>
      </c>
      <c r="D285" s="2" t="str">
        <f t="shared" si="3"/>
        <v>Error?</v>
      </c>
    </row>
    <row r="286" spans="1:4" x14ac:dyDescent="0.2">
      <c r="A286" s="10">
        <v>225</v>
      </c>
      <c r="D286" s="2" t="str">
        <f t="shared" si="3"/>
        <v>OK</v>
      </c>
    </row>
    <row r="287" spans="1:4" x14ac:dyDescent="0.2">
      <c r="A287" s="5">
        <v>226</v>
      </c>
      <c r="B287" s="138">
        <f>'Assets-Liab 5-6'!N37</f>
        <v>10798748</v>
      </c>
      <c r="C287" s="2" t="s">
        <v>594</v>
      </c>
      <c r="D287" s="2" t="str">
        <f t="shared" si="3"/>
        <v>Error?</v>
      </c>
    </row>
    <row r="288" spans="1:4" x14ac:dyDescent="0.2">
      <c r="A288" s="5">
        <v>227</v>
      </c>
      <c r="B288" s="138">
        <f>'Assets-Liab 5-6'!N41</f>
        <v>10798748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2521881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121359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145111</v>
      </c>
      <c r="D717" s="2" t="str">
        <f t="shared" si="10"/>
        <v>Error?</v>
      </c>
    </row>
    <row r="718" spans="1:4" x14ac:dyDescent="0.2">
      <c r="A718" s="5">
        <v>657</v>
      </c>
      <c r="B718" s="138">
        <f>'Expenditures 15-22'!C14</f>
        <v>109850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4339964</v>
      </c>
      <c r="C720" s="2" t="s">
        <v>594</v>
      </c>
      <c r="D720" s="2" t="str">
        <f t="shared" si="10"/>
        <v>Error?</v>
      </c>
    </row>
    <row r="721" spans="1:4" x14ac:dyDescent="0.2">
      <c r="A721" s="5">
        <v>660</v>
      </c>
      <c r="B721" s="138">
        <f>'Expenditures 15-22'!C36</f>
        <v>96055</v>
      </c>
      <c r="D721" s="2" t="str">
        <f t="shared" si="10"/>
        <v>Error?</v>
      </c>
    </row>
    <row r="722" spans="1:4" x14ac:dyDescent="0.2">
      <c r="A722" s="5">
        <v>661</v>
      </c>
      <c r="B722" s="138">
        <f>'Expenditures 15-22'!C37</f>
        <v>110174</v>
      </c>
      <c r="D722" s="2" t="str">
        <f t="shared" si="10"/>
        <v>Error?</v>
      </c>
    </row>
    <row r="723" spans="1:4" x14ac:dyDescent="0.2">
      <c r="A723" s="5">
        <v>662</v>
      </c>
      <c r="B723" s="138">
        <f>'Expenditures 15-22'!C38</f>
        <v>135887</v>
      </c>
      <c r="D723" s="2" t="str">
        <f t="shared" si="10"/>
        <v>Error?</v>
      </c>
    </row>
    <row r="724" spans="1:4" x14ac:dyDescent="0.2">
      <c r="A724" s="5">
        <v>663</v>
      </c>
      <c r="B724" s="138">
        <f>'Expenditures 15-22'!C39</f>
        <v>58667</v>
      </c>
      <c r="D724" s="2" t="str">
        <f t="shared" si="10"/>
        <v>Error?</v>
      </c>
    </row>
    <row r="725" spans="1:4" x14ac:dyDescent="0.2">
      <c r="A725" s="5">
        <v>664</v>
      </c>
      <c r="B725" s="138">
        <f>'Expenditures 15-22'!C40</f>
        <v>83322</v>
      </c>
      <c r="D725" s="2" t="str">
        <f t="shared" si="10"/>
        <v>Error?</v>
      </c>
    </row>
    <row r="726" spans="1:4" x14ac:dyDescent="0.2">
      <c r="A726" s="5">
        <v>665</v>
      </c>
      <c r="B726" s="138">
        <f>'Expenditures 15-22'!C41</f>
        <v>9667</v>
      </c>
      <c r="D726" s="2" t="str">
        <f t="shared" si="10"/>
        <v>Error?</v>
      </c>
    </row>
    <row r="727" spans="1:4" x14ac:dyDescent="0.2">
      <c r="A727" s="5">
        <v>666</v>
      </c>
      <c r="B727" s="138">
        <f>'Expenditures 15-22'!C42</f>
        <v>493772</v>
      </c>
      <c r="C727" s="2" t="s">
        <v>594</v>
      </c>
      <c r="D727" s="2" t="str">
        <f t="shared" si="10"/>
        <v>Error?</v>
      </c>
    </row>
    <row r="728" spans="1:4" x14ac:dyDescent="0.2">
      <c r="A728" s="5">
        <v>667</v>
      </c>
      <c r="B728" s="138">
        <f>'Expenditures 15-22'!C44</f>
        <v>10814</v>
      </c>
      <c r="D728" s="2" t="str">
        <f t="shared" si="10"/>
        <v>Error?</v>
      </c>
    </row>
    <row r="729" spans="1:4" x14ac:dyDescent="0.2">
      <c r="A729" s="5">
        <v>668</v>
      </c>
      <c r="B729" s="138">
        <f>'Expenditures 15-22'!C45</f>
        <v>64840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75654</v>
      </c>
      <c r="C731" s="2" t="s">
        <v>594</v>
      </c>
      <c r="D731" s="2" t="str">
        <f t="shared" si="10"/>
        <v>Error?</v>
      </c>
    </row>
    <row r="732" spans="1:4" x14ac:dyDescent="0.2">
      <c r="A732" s="5">
        <v>671</v>
      </c>
      <c r="B732" s="138">
        <f>'Expenditures 15-22'!C49</f>
        <v>4467</v>
      </c>
      <c r="D732" s="2" t="str">
        <f t="shared" si="10"/>
        <v>Error?</v>
      </c>
    </row>
    <row r="733" spans="1:4" x14ac:dyDescent="0.2">
      <c r="A733" s="5">
        <v>672</v>
      </c>
      <c r="B733" s="138">
        <f>'Expenditures 15-22'!C50</f>
        <v>143776</v>
      </c>
      <c r="D733" s="2" t="str">
        <f t="shared" si="10"/>
        <v>Error?</v>
      </c>
    </row>
    <row r="734" spans="1:4" x14ac:dyDescent="0.2">
      <c r="A734" s="5">
        <v>673</v>
      </c>
      <c r="B734" s="138">
        <f>'Expenditures 15-22'!C53</f>
        <v>148243</v>
      </c>
      <c r="C734" s="2" t="s">
        <v>594</v>
      </c>
      <c r="D734" s="2" t="str">
        <f t="shared" si="10"/>
        <v>Error?</v>
      </c>
    </row>
    <row r="735" spans="1:4" x14ac:dyDescent="0.2">
      <c r="A735" s="5">
        <v>674</v>
      </c>
      <c r="B735" s="138">
        <f>'Expenditures 15-22'!C55</f>
        <v>356959</v>
      </c>
      <c r="D735" s="2" t="str">
        <f t="shared" si="10"/>
        <v>Error?</v>
      </c>
    </row>
    <row r="736" spans="1:4" x14ac:dyDescent="0.2">
      <c r="A736" s="5">
        <v>675</v>
      </c>
      <c r="B736" s="138">
        <f>'Expenditures 15-22'!C56</f>
        <v>154231</v>
      </c>
      <c r="D736" s="2" t="str">
        <f t="shared" si="10"/>
        <v>Error?</v>
      </c>
    </row>
    <row r="737" spans="1:4" x14ac:dyDescent="0.2">
      <c r="A737" s="5">
        <v>676</v>
      </c>
      <c r="B737" s="138">
        <f>'Expenditures 15-22'!C57</f>
        <v>511190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92451</v>
      </c>
      <c r="D739" s="2" t="str">
        <f t="shared" si="10"/>
        <v>Error?</v>
      </c>
    </row>
    <row r="740" spans="1:4" x14ac:dyDescent="0.2">
      <c r="A740" s="5">
        <v>679</v>
      </c>
      <c r="B740" s="138">
        <f>'Expenditures 15-22'!C61</f>
        <v>71212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163017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326680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1555539</v>
      </c>
      <c r="C755" s="2" t="s">
        <v>594</v>
      </c>
      <c r="D755" s="2" t="str">
        <f t="shared" si="10"/>
        <v>Error?</v>
      </c>
    </row>
    <row r="756" spans="1:4" x14ac:dyDescent="0.2">
      <c r="A756" s="5">
        <v>695</v>
      </c>
      <c r="B756" s="138">
        <f>'Expenditures 15-22'!C75</f>
        <v>2394</v>
      </c>
      <c r="D756" s="2" t="str">
        <f t="shared" si="10"/>
        <v>Error?</v>
      </c>
    </row>
    <row r="757" spans="1:4" x14ac:dyDescent="0.2">
      <c r="A757" s="5">
        <v>696</v>
      </c>
      <c r="B757" s="138">
        <f>'Expenditures 15-22'!C114</f>
        <v>5897897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15401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1393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451377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141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141</v>
      </c>
      <c r="C789" s="2" t="s">
        <v>594</v>
      </c>
      <c r="D789" s="2" t="str">
        <f t="shared" si="11"/>
        <v>Error?</v>
      </c>
    </row>
    <row r="790" spans="1:4" x14ac:dyDescent="0.2">
      <c r="A790" s="5">
        <v>729</v>
      </c>
      <c r="B790" s="138">
        <f>'Expenditures 15-22'!D49</f>
        <v>63323</v>
      </c>
      <c r="D790" s="2" t="str">
        <f t="shared" si="11"/>
        <v>Error?</v>
      </c>
    </row>
    <row r="791" spans="1:4" x14ac:dyDescent="0.2">
      <c r="A791" s="5">
        <v>730</v>
      </c>
      <c r="B791" s="138">
        <f>'Expenditures 15-22'!D50</f>
        <v>0</v>
      </c>
      <c r="D791" s="2" t="str">
        <f t="shared" si="11"/>
        <v>Error?</v>
      </c>
    </row>
    <row r="792" spans="1:4" x14ac:dyDescent="0.2">
      <c r="A792" s="5">
        <v>731</v>
      </c>
      <c r="B792" s="138">
        <f>'Expenditures 15-22'!D53</f>
        <v>63323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607439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607439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670903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1122280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18821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2843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24781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173473</v>
      </c>
      <c r="C836" s="2" t="s">
        <v>594</v>
      </c>
      <c r="D836" s="2" t="str">
        <f t="shared" si="12"/>
        <v>Error?</v>
      </c>
    </row>
    <row r="837" spans="1:4" x14ac:dyDescent="0.2">
      <c r="A837" s="5">
        <v>776</v>
      </c>
      <c r="B837" s="138">
        <f>'Expenditures 15-22'!E36</f>
        <v>3053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301</v>
      </c>
      <c r="D839" s="2" t="str">
        <f t="shared" si="12"/>
        <v>Error?</v>
      </c>
    </row>
    <row r="840" spans="1:4" x14ac:dyDescent="0.2">
      <c r="A840" s="5">
        <v>779</v>
      </c>
      <c r="B840" s="138">
        <f>'Expenditures 15-22'!E39</f>
        <v>824</v>
      </c>
      <c r="D840" s="2" t="str">
        <f t="shared" si="12"/>
        <v>Error?</v>
      </c>
    </row>
    <row r="841" spans="1:4" x14ac:dyDescent="0.2">
      <c r="A841" s="5">
        <v>780</v>
      </c>
      <c r="B841" s="138">
        <f>'Expenditures 15-22'!E40</f>
        <v>188</v>
      </c>
      <c r="D841" s="2" t="str">
        <f t="shared" si="12"/>
        <v>Error?</v>
      </c>
    </row>
    <row r="842" spans="1:4" x14ac:dyDescent="0.2">
      <c r="A842" s="5">
        <v>781</v>
      </c>
      <c r="B842" s="138">
        <f>'Expenditures 15-22'!E41</f>
        <v>24113</v>
      </c>
      <c r="D842" s="2" t="str">
        <f t="shared" si="12"/>
        <v>Error?</v>
      </c>
    </row>
    <row r="843" spans="1:4" x14ac:dyDescent="0.2">
      <c r="A843" s="5">
        <v>782</v>
      </c>
      <c r="B843" s="138">
        <f>'Expenditures 15-22'!E42</f>
        <v>28479</v>
      </c>
      <c r="C843" s="2" t="s">
        <v>594</v>
      </c>
      <c r="D843" s="2" t="str">
        <f t="shared" si="12"/>
        <v>Error?</v>
      </c>
    </row>
    <row r="844" spans="1:4" x14ac:dyDescent="0.2">
      <c r="A844" s="5">
        <v>783</v>
      </c>
      <c r="B844" s="138">
        <f>'Expenditures 15-22'!E44</f>
        <v>64788</v>
      </c>
      <c r="D844" s="2" t="str">
        <f t="shared" si="12"/>
        <v>Error?</v>
      </c>
    </row>
    <row r="845" spans="1:4" x14ac:dyDescent="0.2">
      <c r="A845" s="5">
        <v>784</v>
      </c>
      <c r="B845" s="138">
        <f>'Expenditures 15-22'!E45</f>
        <v>135096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199884</v>
      </c>
      <c r="C847" s="2" t="s">
        <v>594</v>
      </c>
      <c r="D847" s="2" t="str">
        <f t="shared" si="12"/>
        <v>Error?</v>
      </c>
    </row>
    <row r="848" spans="1:4" x14ac:dyDescent="0.2">
      <c r="A848" s="5">
        <v>787</v>
      </c>
      <c r="B848" s="138">
        <f>'Expenditures 15-22'!E49</f>
        <v>166381</v>
      </c>
      <c r="D848" s="2" t="str">
        <f t="shared" si="12"/>
        <v>Error?</v>
      </c>
    </row>
    <row r="849" spans="1:4" x14ac:dyDescent="0.2">
      <c r="A849" s="5">
        <v>788</v>
      </c>
      <c r="B849" s="138">
        <f>'Expenditures 15-22'!E50</f>
        <v>2969</v>
      </c>
      <c r="D849" s="2" t="str">
        <f t="shared" si="12"/>
        <v>Error?</v>
      </c>
    </row>
    <row r="850" spans="1:4" x14ac:dyDescent="0.2">
      <c r="A850" s="5">
        <v>789</v>
      </c>
      <c r="B850" s="138">
        <f>'Expenditures 15-22'!E53</f>
        <v>169350</v>
      </c>
      <c r="C850" s="2" t="s">
        <v>594</v>
      </c>
      <c r="D850" s="2" t="str">
        <f t="shared" si="12"/>
        <v>Error?</v>
      </c>
    </row>
    <row r="851" spans="1:4" x14ac:dyDescent="0.2">
      <c r="A851" s="5">
        <v>790</v>
      </c>
      <c r="B851" s="138">
        <f>'Expenditures 15-22'!E55</f>
        <v>587</v>
      </c>
      <c r="D851" s="2" t="str">
        <f t="shared" si="12"/>
        <v>Error?</v>
      </c>
    </row>
    <row r="852" spans="1:4" x14ac:dyDescent="0.2">
      <c r="A852" s="5">
        <v>791</v>
      </c>
      <c r="B852" s="138">
        <f>'Expenditures 15-22'!E56</f>
        <v>240</v>
      </c>
      <c r="D852" s="2" t="str">
        <f t="shared" si="12"/>
        <v>Error?</v>
      </c>
    </row>
    <row r="853" spans="1:4" x14ac:dyDescent="0.2">
      <c r="A853" s="5">
        <v>792</v>
      </c>
      <c r="B853" s="138">
        <f>'Expenditures 15-22'!E57</f>
        <v>827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52552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63771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65367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65367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527678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701646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39869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9240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6652</v>
      </c>
      <c r="D891" s="2" t="str">
        <f t="shared" si="12"/>
        <v>Error?</v>
      </c>
    </row>
    <row r="892" spans="1:4" x14ac:dyDescent="0.2">
      <c r="A892" s="5">
        <v>831</v>
      </c>
      <c r="B892" s="138">
        <f>'Expenditures 15-22'!F14</f>
        <v>35156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175090</v>
      </c>
      <c r="C894" s="2" t="s">
        <v>594</v>
      </c>
      <c r="D894" s="2" t="str">
        <f t="shared" si="12"/>
        <v>Error?</v>
      </c>
    </row>
    <row r="895" spans="1:4" x14ac:dyDescent="0.2">
      <c r="A895" s="5">
        <v>834</v>
      </c>
      <c r="B895" s="138">
        <f>'Expenditures 15-22'!F36</f>
        <v>160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2056</v>
      </c>
      <c r="D897" s="2" t="str">
        <f t="shared" si="13"/>
        <v>Error?</v>
      </c>
    </row>
    <row r="898" spans="1:4" x14ac:dyDescent="0.2">
      <c r="A898" s="5">
        <v>837</v>
      </c>
      <c r="B898" s="138">
        <f>'Expenditures 15-22'!F39</f>
        <v>1259</v>
      </c>
      <c r="D898" s="2" t="str">
        <f t="shared" si="13"/>
        <v>Error?</v>
      </c>
    </row>
    <row r="899" spans="1:4" x14ac:dyDescent="0.2">
      <c r="A899" s="5">
        <v>838</v>
      </c>
      <c r="B899" s="138">
        <f>'Expenditures 15-22'!F40</f>
        <v>834</v>
      </c>
      <c r="D899" s="2" t="str">
        <f t="shared" si="13"/>
        <v>Error?</v>
      </c>
    </row>
    <row r="900" spans="1:4" x14ac:dyDescent="0.2">
      <c r="A900" s="5">
        <v>839</v>
      </c>
      <c r="B900" s="138">
        <f>'Expenditures 15-22'!F41</f>
        <v>213</v>
      </c>
      <c r="D900" s="2" t="str">
        <f t="shared" si="13"/>
        <v>Error?</v>
      </c>
    </row>
    <row r="901" spans="1:4" x14ac:dyDescent="0.2">
      <c r="A901" s="5">
        <v>840</v>
      </c>
      <c r="B901" s="138">
        <f>'Expenditures 15-22'!F42</f>
        <v>4522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22349</v>
      </c>
      <c r="D903" s="2" t="str">
        <f t="shared" si="13"/>
        <v>Error?</v>
      </c>
    </row>
    <row r="904" spans="1:4" x14ac:dyDescent="0.2">
      <c r="A904" s="5">
        <v>843</v>
      </c>
      <c r="B904" s="138">
        <f>'Expenditures 15-22'!F46</f>
        <v>5304</v>
      </c>
      <c r="D904" s="2" t="str">
        <f t="shared" si="13"/>
        <v>Error?</v>
      </c>
    </row>
    <row r="905" spans="1:4" x14ac:dyDescent="0.2">
      <c r="A905" s="5">
        <v>844</v>
      </c>
      <c r="B905" s="138">
        <f>'Expenditures 15-22'!F47</f>
        <v>27653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1718</v>
      </c>
      <c r="D907" s="2" t="str">
        <f t="shared" si="13"/>
        <v>Error?</v>
      </c>
    </row>
    <row r="908" spans="1:4" x14ac:dyDescent="0.2">
      <c r="A908" s="5">
        <v>847</v>
      </c>
      <c r="B908" s="138">
        <f>'Expenditures 15-22'!F53</f>
        <v>1718</v>
      </c>
      <c r="C908" s="2" t="s">
        <v>594</v>
      </c>
      <c r="D908" s="2" t="str">
        <f t="shared" si="13"/>
        <v>Error?</v>
      </c>
    </row>
    <row r="909" spans="1:4" x14ac:dyDescent="0.2">
      <c r="A909" s="5">
        <v>848</v>
      </c>
      <c r="B909" s="138">
        <f>'Expenditures 15-22'!F55</f>
        <v>949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949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16349</v>
      </c>
      <c r="D913" s="2" t="str">
        <f t="shared" si="13"/>
        <v>Error?</v>
      </c>
    </row>
    <row r="914" spans="1:4" x14ac:dyDescent="0.2">
      <c r="A914" s="5">
        <v>853</v>
      </c>
      <c r="B914" s="138">
        <f>'Expenditures 15-22'!F61</f>
        <v>137980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233166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387495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422337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597427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110006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193873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193873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2533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196406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306412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4975</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16941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22046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27282</v>
      </c>
      <c r="D1022" s="2" t="str">
        <f t="shared" si="14"/>
        <v>Error?</v>
      </c>
    </row>
    <row r="1023" spans="1:4" x14ac:dyDescent="0.2">
      <c r="A1023" s="5">
        <v>962</v>
      </c>
      <c r="B1023" s="138">
        <f>'Expenditures 15-22'!H50</f>
        <v>2310</v>
      </c>
      <c r="D1023" s="2" t="str">
        <f t="shared" ref="D1023:D1086" si="15">IF(ISBLANK(B1023),"OK",IF(A1023-B1023=0,"OK","Error?"))</f>
        <v>Error?</v>
      </c>
    </row>
    <row r="1024" spans="1:4" x14ac:dyDescent="0.2">
      <c r="A1024" s="5">
        <v>963</v>
      </c>
      <c r="B1024" s="138">
        <f>'Expenditures 15-22'!H53</f>
        <v>29592</v>
      </c>
      <c r="C1024" s="2" t="s">
        <v>594</v>
      </c>
      <c r="D1024" s="2" t="str">
        <f t="shared" si="15"/>
        <v>Error?</v>
      </c>
    </row>
    <row r="1025" spans="1:4" x14ac:dyDescent="0.2">
      <c r="A1025" s="5">
        <v>964</v>
      </c>
      <c r="B1025" s="138">
        <f>'Expenditures 15-22'!H55</f>
        <v>1052</v>
      </c>
      <c r="D1025" s="2" t="str">
        <f t="shared" si="15"/>
        <v>Error?</v>
      </c>
    </row>
    <row r="1026" spans="1:4" x14ac:dyDescent="0.2">
      <c r="A1026" s="5">
        <v>965</v>
      </c>
      <c r="B1026" s="138">
        <f>'Expenditures 15-22'!H56</f>
        <v>926</v>
      </c>
      <c r="D1026" s="2" t="str">
        <f t="shared" si="15"/>
        <v>Error?</v>
      </c>
    </row>
    <row r="1027" spans="1:4" x14ac:dyDescent="0.2">
      <c r="A1027" s="5">
        <v>966</v>
      </c>
      <c r="B1027" s="138">
        <f>'Expenditures 15-22'!H57</f>
        <v>1978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6664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38234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1113373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1173653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2584671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153818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153156</v>
      </c>
      <c r="C1105" s="2" t="s">
        <v>594</v>
      </c>
      <c r="D1105" s="2" t="str">
        <f t="shared" si="16"/>
        <v>Error?</v>
      </c>
    </row>
    <row r="1106" spans="1:4" x14ac:dyDescent="0.2">
      <c r="A1106" s="5">
        <v>1045</v>
      </c>
      <c r="B1106" s="138">
        <f>'Expenditures 15-22'!K14</f>
        <v>186728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5271956</v>
      </c>
      <c r="C1108" s="2" t="s">
        <v>594</v>
      </c>
      <c r="D1108" s="2" t="str">
        <f t="shared" si="16"/>
        <v>Error?</v>
      </c>
    </row>
    <row r="1109" spans="1:4" x14ac:dyDescent="0.2">
      <c r="A1109" s="5">
        <v>1048</v>
      </c>
      <c r="B1109" s="138">
        <f>'Expenditures 15-22'!K36</f>
        <v>99268</v>
      </c>
      <c r="C1109" s="2" t="s">
        <v>594</v>
      </c>
      <c r="D1109" s="2" t="str">
        <f t="shared" si="16"/>
        <v>Error?</v>
      </c>
    </row>
    <row r="1110" spans="1:4" x14ac:dyDescent="0.2">
      <c r="A1110" s="5">
        <v>1049</v>
      </c>
      <c r="B1110" s="138">
        <f>'Expenditures 15-22'!K37</f>
        <v>110174</v>
      </c>
      <c r="C1110" s="2" t="s">
        <v>594</v>
      </c>
      <c r="D1110" s="2" t="str">
        <f t="shared" si="16"/>
        <v>Error?</v>
      </c>
    </row>
    <row r="1111" spans="1:4" x14ac:dyDescent="0.2">
      <c r="A1111" s="5">
        <v>1050</v>
      </c>
      <c r="B1111" s="138">
        <f>'Expenditures 15-22'!K38</f>
        <v>138244</v>
      </c>
      <c r="C1111" s="2" t="s">
        <v>594</v>
      </c>
      <c r="D1111" s="2" t="str">
        <f t="shared" si="16"/>
        <v>Error?</v>
      </c>
    </row>
    <row r="1112" spans="1:4" x14ac:dyDescent="0.2">
      <c r="A1112" s="5">
        <v>1051</v>
      </c>
      <c r="B1112" s="138">
        <f>'Expenditures 15-22'!K39</f>
        <v>60750</v>
      </c>
      <c r="C1112" s="2" t="s">
        <v>594</v>
      </c>
      <c r="D1112" s="2" t="str">
        <f t="shared" si="16"/>
        <v>Error?</v>
      </c>
    </row>
    <row r="1113" spans="1:4" x14ac:dyDescent="0.2">
      <c r="A1113" s="5">
        <v>1052</v>
      </c>
      <c r="B1113" s="138">
        <f>'Expenditures 15-22'!K40</f>
        <v>84344</v>
      </c>
      <c r="C1113" s="2" t="s">
        <v>594</v>
      </c>
      <c r="D1113" s="2" t="str">
        <f t="shared" si="16"/>
        <v>Error?</v>
      </c>
    </row>
    <row r="1114" spans="1:4" x14ac:dyDescent="0.2">
      <c r="A1114" s="5">
        <v>1053</v>
      </c>
      <c r="B1114" s="138">
        <f>'Expenditures 15-22'!K41</f>
        <v>33993</v>
      </c>
      <c r="C1114" s="2" t="s">
        <v>594</v>
      </c>
      <c r="D1114" s="2" t="str">
        <f t="shared" si="16"/>
        <v>Error?</v>
      </c>
    </row>
    <row r="1115" spans="1:4" x14ac:dyDescent="0.2">
      <c r="A1115" s="5">
        <v>1054</v>
      </c>
      <c r="B1115" s="138">
        <f>'Expenditures 15-22'!K42</f>
        <v>526773</v>
      </c>
      <c r="C1115" s="2" t="s">
        <v>594</v>
      </c>
      <c r="D1115" s="2" t="str">
        <f t="shared" si="16"/>
        <v>Error?</v>
      </c>
    </row>
    <row r="1116" spans="1:4" x14ac:dyDescent="0.2">
      <c r="A1116" s="5">
        <v>1055</v>
      </c>
      <c r="B1116" s="138">
        <f>'Expenditures 15-22'!K44</f>
        <v>75743</v>
      </c>
      <c r="C1116" s="2" t="s">
        <v>594</v>
      </c>
      <c r="D1116" s="2" t="str">
        <f t="shared" si="16"/>
        <v>Error?</v>
      </c>
    </row>
    <row r="1117" spans="1:4" x14ac:dyDescent="0.2">
      <c r="A1117" s="5">
        <v>1056</v>
      </c>
      <c r="B1117" s="138">
        <f>'Expenditures 15-22'!K45</f>
        <v>416158</v>
      </c>
      <c r="C1117" s="2" t="s">
        <v>594</v>
      </c>
      <c r="D1117" s="2" t="str">
        <f t="shared" si="16"/>
        <v>Error?</v>
      </c>
    </row>
    <row r="1118" spans="1:4" x14ac:dyDescent="0.2">
      <c r="A1118" s="5">
        <v>1057</v>
      </c>
      <c r="B1118" s="138">
        <f>'Expenditures 15-22'!K46</f>
        <v>5304</v>
      </c>
      <c r="C1118" s="2" t="s">
        <v>594</v>
      </c>
      <c r="D1118" s="2" t="str">
        <f t="shared" si="16"/>
        <v>Error?</v>
      </c>
    </row>
    <row r="1119" spans="1:4" x14ac:dyDescent="0.2">
      <c r="A1119" s="5">
        <v>1058</v>
      </c>
      <c r="B1119" s="138">
        <f>'Expenditures 15-22'!K47</f>
        <v>497205</v>
      </c>
      <c r="C1119" s="2" t="s">
        <v>594</v>
      </c>
      <c r="D1119" s="2" t="str">
        <f t="shared" si="16"/>
        <v>Error?</v>
      </c>
    </row>
    <row r="1120" spans="1:4" x14ac:dyDescent="0.2">
      <c r="A1120" s="5">
        <v>1059</v>
      </c>
      <c r="B1120" s="138">
        <f>'Expenditures 15-22'!K49</f>
        <v>261453</v>
      </c>
      <c r="C1120" s="2" t="s">
        <v>594</v>
      </c>
      <c r="D1120" s="2" t="str">
        <f t="shared" si="16"/>
        <v>Error?</v>
      </c>
    </row>
    <row r="1121" spans="1:4" x14ac:dyDescent="0.2">
      <c r="A1121" s="5">
        <v>1060</v>
      </c>
      <c r="B1121" s="138">
        <f>'Expenditures 15-22'!K50</f>
        <v>150773</v>
      </c>
      <c r="C1121" s="2" t="s">
        <v>594</v>
      </c>
      <c r="D1121" s="2" t="str">
        <f t="shared" si="16"/>
        <v>Error?</v>
      </c>
    </row>
    <row r="1122" spans="1:4" x14ac:dyDescent="0.2">
      <c r="A1122" s="5">
        <v>1061</v>
      </c>
      <c r="B1122" s="138">
        <f>'Expenditures 15-22'!K53</f>
        <v>412226</v>
      </c>
      <c r="C1122" s="2" t="s">
        <v>594</v>
      </c>
      <c r="D1122" s="2" t="str">
        <f t="shared" si="16"/>
        <v>Error?</v>
      </c>
    </row>
    <row r="1123" spans="1:4" x14ac:dyDescent="0.2">
      <c r="A1123" s="5">
        <v>1062</v>
      </c>
      <c r="B1123" s="138">
        <f>'Expenditures 15-22'!K55</f>
        <v>359547</v>
      </c>
      <c r="C1123" s="2" t="s">
        <v>594</v>
      </c>
      <c r="D1123" s="2" t="str">
        <f t="shared" si="16"/>
        <v>Error?</v>
      </c>
    </row>
    <row r="1124" spans="1:4" x14ac:dyDescent="0.2">
      <c r="A1124" s="5">
        <v>1063</v>
      </c>
      <c r="B1124" s="138">
        <f>'Expenditures 15-22'!K56</f>
        <v>155397</v>
      </c>
      <c r="C1124" s="2" t="s">
        <v>594</v>
      </c>
      <c r="D1124" s="2" t="str">
        <f t="shared" si="16"/>
        <v>Error?</v>
      </c>
    </row>
    <row r="1125" spans="1:4" x14ac:dyDescent="0.2">
      <c r="A1125" s="5">
        <v>1064</v>
      </c>
      <c r="B1125" s="138">
        <f>'Expenditures 15-22'!K57</f>
        <v>514944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722903</v>
      </c>
      <c r="C1127" s="2" t="s">
        <v>594</v>
      </c>
      <c r="D1127" s="2" t="str">
        <f t="shared" si="16"/>
        <v>Error?</v>
      </c>
    </row>
    <row r="1128" spans="1:4" x14ac:dyDescent="0.2">
      <c r="A1128" s="5">
        <v>1067</v>
      </c>
      <c r="B1128" s="138">
        <f>'Expenditures 15-22'!K61</f>
        <v>261744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409935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1394582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65367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65367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3411097</v>
      </c>
      <c r="C1143" s="2" t="s">
        <v>594</v>
      </c>
      <c r="D1143" s="2" t="str">
        <f t="shared" si="16"/>
        <v>Error?</v>
      </c>
    </row>
    <row r="1144" spans="1:4" x14ac:dyDescent="0.2">
      <c r="A1144" s="5">
        <v>1083</v>
      </c>
      <c r="B1144" s="138">
        <f>'Expenditures 15-22'!K75</f>
        <v>2394</v>
      </c>
      <c r="C1144" s="2" t="s">
        <v>594</v>
      </c>
      <c r="D1144" s="2" t="str">
        <f t="shared" si="16"/>
        <v>Error?</v>
      </c>
    </row>
    <row r="1145" spans="1:4" x14ac:dyDescent="0.2">
      <c r="A1145" s="5">
        <v>1084</v>
      </c>
      <c r="B1145" s="138">
        <f>'Expenditures 15-22'!K102</f>
        <v>1113868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9799315</v>
      </c>
      <c r="C1152" s="2" t="s">
        <v>594</v>
      </c>
      <c r="D1152" s="2" t="str">
        <f t="shared" si="17"/>
        <v>Error?</v>
      </c>
    </row>
    <row r="1153" spans="1:4" x14ac:dyDescent="0.2">
      <c r="A1153" s="5">
        <v>1092</v>
      </c>
      <c r="B1153" s="138">
        <f>'Expenditures 15-22'!K115</f>
        <v>1360743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214871</v>
      </c>
      <c r="D1221" s="2" t="str">
        <f t="shared" si="18"/>
        <v>Error?</v>
      </c>
    </row>
    <row r="1222" spans="1:4" x14ac:dyDescent="0.2">
      <c r="A1222" s="10">
        <v>1161</v>
      </c>
      <c r="D1222" s="2" t="str">
        <f t="shared" si="18"/>
        <v>OK</v>
      </c>
    </row>
    <row r="1223" spans="1:4" x14ac:dyDescent="0.2">
      <c r="A1223" s="5">
        <v>1162</v>
      </c>
      <c r="B1223" s="138">
        <f>'Expenditures 15-22'!C127</f>
        <v>214871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214871</v>
      </c>
      <c r="C1225" s="2" t="s">
        <v>594</v>
      </c>
      <c r="D1225" s="2" t="str">
        <f t="shared" si="18"/>
        <v>Error?</v>
      </c>
    </row>
    <row r="1226" spans="1:4" x14ac:dyDescent="0.2">
      <c r="A1226" s="5">
        <v>1165</v>
      </c>
      <c r="B1226" s="138">
        <f>'Expenditures 15-22'!C151</f>
        <v>214871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167772</v>
      </c>
      <c r="D1237" s="2" t="str">
        <f t="shared" si="18"/>
        <v>Error?</v>
      </c>
    </row>
    <row r="1238" spans="1:4" x14ac:dyDescent="0.2">
      <c r="A1238" s="10">
        <v>1177</v>
      </c>
      <c r="D1238" s="2" t="str">
        <f t="shared" si="18"/>
        <v>OK</v>
      </c>
    </row>
    <row r="1239" spans="1:4" x14ac:dyDescent="0.2">
      <c r="A1239" s="5">
        <v>1178</v>
      </c>
      <c r="B1239" s="138">
        <f>'Expenditures 15-22'!E127</f>
        <v>167772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167772</v>
      </c>
      <c r="C1241" s="2" t="s">
        <v>594</v>
      </c>
      <c r="D1241" s="2" t="str">
        <f t="shared" si="18"/>
        <v>Error?</v>
      </c>
    </row>
    <row r="1242" spans="1:4" x14ac:dyDescent="0.2">
      <c r="A1242" s="5">
        <v>1181</v>
      </c>
      <c r="B1242" s="138">
        <f>'Expenditures 15-22'!E151</f>
        <v>167772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78860</v>
      </c>
      <c r="D1245" s="2" t="str">
        <f t="shared" si="18"/>
        <v>Error?</v>
      </c>
    </row>
    <row r="1246" spans="1:4" x14ac:dyDescent="0.2">
      <c r="A1246" s="10">
        <v>1185</v>
      </c>
      <c r="D1246" s="2" t="str">
        <f t="shared" si="18"/>
        <v>OK</v>
      </c>
    </row>
    <row r="1247" spans="1:4" x14ac:dyDescent="0.2">
      <c r="A1247" s="5">
        <v>1186</v>
      </c>
      <c r="B1247" s="138">
        <f>'Expenditures 15-22'!F127</f>
        <v>78860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78860</v>
      </c>
      <c r="C1249" s="2" t="s">
        <v>594</v>
      </c>
      <c r="D1249" s="2" t="str">
        <f t="shared" si="18"/>
        <v>Error?</v>
      </c>
    </row>
    <row r="1250" spans="1:4" x14ac:dyDescent="0.2">
      <c r="A1250" s="5">
        <v>1189</v>
      </c>
      <c r="B1250" s="138">
        <f>'Expenditures 15-22'!F151</f>
        <v>78860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15754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15754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15754</v>
      </c>
      <c r="C1258" s="2" t="s">
        <v>594</v>
      </c>
      <c r="D1258" s="2" t="str">
        <f t="shared" si="18"/>
        <v>Error?</v>
      </c>
    </row>
    <row r="1259" spans="1:4" x14ac:dyDescent="0.2">
      <c r="A1259" s="5">
        <v>1198</v>
      </c>
      <c r="B1259" s="138">
        <f>'Expenditures 15-22'!G151</f>
        <v>15754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1817</v>
      </c>
      <c r="D1262" s="2" t="str">
        <f t="shared" si="18"/>
        <v>Error?</v>
      </c>
    </row>
    <row r="1263" spans="1:4" x14ac:dyDescent="0.2">
      <c r="A1263" s="10">
        <v>1202</v>
      </c>
      <c r="D1263" s="2" t="str">
        <f t="shared" si="18"/>
        <v>OK</v>
      </c>
    </row>
    <row r="1264" spans="1:4" x14ac:dyDescent="0.2">
      <c r="A1264" s="5">
        <v>1203</v>
      </c>
      <c r="B1264" s="138">
        <f>'Expenditures 15-22'!H127</f>
        <v>1817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1817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1817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479074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479074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479074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479074</v>
      </c>
      <c r="C1288" s="2" t="s">
        <v>594</v>
      </c>
      <c r="D1288" s="2" t="str">
        <f t="shared" si="19"/>
        <v>Error?</v>
      </c>
    </row>
    <row r="1289" spans="1:4" x14ac:dyDescent="0.2">
      <c r="A1289" s="5">
        <v>1228</v>
      </c>
      <c r="B1289" s="138">
        <f>'Expenditures 15-22'!K152</f>
        <v>55022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6045</v>
      </c>
      <c r="D1307" s="2" t="str">
        <f t="shared" si="19"/>
        <v>Error?</v>
      </c>
    </row>
    <row r="1308" spans="1:4" x14ac:dyDescent="0.2">
      <c r="A1308" s="5">
        <v>1247</v>
      </c>
      <c r="B1308" s="138">
        <f>'Expenditures 15-22'!E172</f>
        <v>6045</v>
      </c>
      <c r="C1308" s="2" t="s">
        <v>594</v>
      </c>
      <c r="D1308" s="2" t="str">
        <f t="shared" si="19"/>
        <v>Error?</v>
      </c>
    </row>
    <row r="1309" spans="1:4" x14ac:dyDescent="0.2">
      <c r="A1309" s="5">
        <v>1248</v>
      </c>
      <c r="B1309" s="138">
        <f>'Expenditures 15-22'!E174</f>
        <v>6045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497584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826796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1324380</v>
      </c>
      <c r="C1317" s="2" t="s">
        <v>594</v>
      </c>
      <c r="D1317" s="2" t="str">
        <f t="shared" si="19"/>
        <v>Error?</v>
      </c>
    </row>
    <row r="1318" spans="1:4" x14ac:dyDescent="0.2">
      <c r="A1318" s="5">
        <v>1257</v>
      </c>
      <c r="B1318" s="138">
        <f>'Expenditures 15-22'!H174</f>
        <v>1324380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497584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826796</v>
      </c>
      <c r="C1329" s="2" t="s">
        <v>594</v>
      </c>
      <c r="D1329" s="2" t="str">
        <f t="shared" si="19"/>
        <v>Error?</v>
      </c>
    </row>
    <row r="1330" spans="1:4" x14ac:dyDescent="0.2">
      <c r="A1330" s="5">
        <v>1269</v>
      </c>
      <c r="B1330" s="138">
        <f>'Expenditures 15-22'!K171</f>
        <v>6045</v>
      </c>
      <c r="C1330" s="2" t="s">
        <v>594</v>
      </c>
      <c r="D1330" s="2" t="str">
        <f t="shared" si="19"/>
        <v>Error?</v>
      </c>
    </row>
    <row r="1331" spans="1:4" x14ac:dyDescent="0.2">
      <c r="A1331" s="5">
        <v>1270</v>
      </c>
      <c r="B1331" s="138">
        <f>'Expenditures 15-22'!K172</f>
        <v>1330425</v>
      </c>
      <c r="C1331" s="2" t="s">
        <v>594</v>
      </c>
      <c r="D1331" s="2" t="str">
        <f t="shared" si="19"/>
        <v>Error?</v>
      </c>
    </row>
    <row r="1332" spans="1:4" x14ac:dyDescent="0.2">
      <c r="A1332" s="5">
        <v>1271</v>
      </c>
      <c r="B1332" s="138">
        <f>'Expenditures 15-22'!K174</f>
        <v>1330425</v>
      </c>
      <c r="C1332" s="2" t="s">
        <v>594</v>
      </c>
      <c r="D1332" s="2" t="str">
        <f t="shared" si="19"/>
        <v>Error?</v>
      </c>
    </row>
    <row r="1333" spans="1:4" x14ac:dyDescent="0.2">
      <c r="A1333" s="5">
        <v>1272</v>
      </c>
      <c r="B1333" s="138">
        <f>'Expenditures 15-22'!K175</f>
        <v>-75589</v>
      </c>
      <c r="C1333" s="2" t="s">
        <v>594</v>
      </c>
      <c r="D1333" s="2" t="str">
        <f t="shared" si="19"/>
        <v>Error?</v>
      </c>
    </row>
    <row r="1334" spans="1:4" x14ac:dyDescent="0.2">
      <c r="A1334" s="10">
        <v>1273</v>
      </c>
      <c r="D1334" s="2" t="str">
        <f t="shared" si="19"/>
        <v>OK</v>
      </c>
    </row>
    <row r="1335" spans="1:4" x14ac:dyDescent="0.2">
      <c r="A1335" s="5">
        <v>1274</v>
      </c>
      <c r="B1335" s="138">
        <f>'Expenditures 15-22'!C182</f>
        <v>14350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14350</v>
      </c>
      <c r="C1339" s="2" t="s">
        <v>594</v>
      </c>
      <c r="D1339" s="2" t="str">
        <f t="shared" si="19"/>
        <v>Error?</v>
      </c>
    </row>
    <row r="1340" spans="1:4" x14ac:dyDescent="0.2">
      <c r="A1340" s="5">
        <v>1279</v>
      </c>
      <c r="B1340" s="138">
        <f>'Expenditures 15-22'!C210</f>
        <v>14350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804150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804150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804150</v>
      </c>
      <c r="C1353" s="2" t="s">
        <v>594</v>
      </c>
      <c r="D1353" s="2" t="str">
        <f t="shared" si="20"/>
        <v>Error?</v>
      </c>
    </row>
    <row r="1354" spans="1:4" x14ac:dyDescent="0.2">
      <c r="A1354" s="5">
        <v>1293</v>
      </c>
      <c r="B1354" s="138">
        <f>'Expenditures 15-22'!F182</f>
        <v>54792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54792</v>
      </c>
      <c r="C1358" s="2" t="s">
        <v>594</v>
      </c>
      <c r="D1358" s="2" t="str">
        <f t="shared" si="20"/>
        <v>Error?</v>
      </c>
    </row>
    <row r="1359" spans="1:4" x14ac:dyDescent="0.2">
      <c r="A1359" s="5">
        <v>1298</v>
      </c>
      <c r="B1359" s="138">
        <f>'Expenditures 15-22'!F210</f>
        <v>54792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873292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873292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873292</v>
      </c>
      <c r="C1388" s="2" t="s">
        <v>594</v>
      </c>
      <c r="D1388" s="2" t="str">
        <f t="shared" si="20"/>
        <v>Error?</v>
      </c>
    </row>
    <row r="1389" spans="1:4" x14ac:dyDescent="0.2">
      <c r="A1389" s="5">
        <v>1328</v>
      </c>
      <c r="B1389" s="138">
        <f>'Expenditures 15-22'!K211</f>
        <v>-161587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2085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3614</v>
      </c>
      <c r="D1407" s="2" t="str">
        <f t="shared" ref="D1407:D1470" si="21">IF(ISBLANK(B1407),"OK",IF(A1407-B1407=0,"OK","Error?"))</f>
        <v>Error?</v>
      </c>
    </row>
    <row r="1408" spans="1:4" x14ac:dyDescent="0.2">
      <c r="A1408" s="5">
        <v>1347</v>
      </c>
      <c r="B1408" s="138">
        <f>'Expenditures 15-22'!D223</f>
        <v>3845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127893</v>
      </c>
      <c r="C1410" s="2" t="s">
        <v>594</v>
      </c>
      <c r="D1410" s="2" t="str">
        <f t="shared" si="21"/>
        <v>Error?</v>
      </c>
    </row>
    <row r="1411" spans="1:4" x14ac:dyDescent="0.2">
      <c r="A1411" s="5">
        <v>1350</v>
      </c>
      <c r="B1411" s="138">
        <f>'Expenditures 15-22'!D232</f>
        <v>27</v>
      </c>
      <c r="D1411" s="2" t="str">
        <f t="shared" si="21"/>
        <v>Error?</v>
      </c>
    </row>
    <row r="1412" spans="1:4" x14ac:dyDescent="0.2">
      <c r="A1412" s="5">
        <v>1351</v>
      </c>
      <c r="B1412" s="138">
        <f>'Expenditures 15-22'!D233</f>
        <v>1598</v>
      </c>
      <c r="D1412" s="2" t="str">
        <f t="shared" si="21"/>
        <v>Error?</v>
      </c>
    </row>
    <row r="1413" spans="1:4" x14ac:dyDescent="0.2">
      <c r="A1413" s="5">
        <v>1352</v>
      </c>
      <c r="B1413" s="138">
        <f>'Expenditures 15-22'!D234</f>
        <v>19889</v>
      </c>
      <c r="D1413" s="2" t="str">
        <f t="shared" si="21"/>
        <v>Error?</v>
      </c>
    </row>
    <row r="1414" spans="1:4" x14ac:dyDescent="0.2">
      <c r="A1414" s="5">
        <v>1353</v>
      </c>
      <c r="B1414" s="138">
        <f>'Expenditures 15-22'!D235</f>
        <v>796</v>
      </c>
      <c r="D1414" s="2" t="str">
        <f t="shared" si="21"/>
        <v>Error?</v>
      </c>
    </row>
    <row r="1415" spans="1:4" x14ac:dyDescent="0.2">
      <c r="A1415" s="5">
        <v>1354</v>
      </c>
      <c r="B1415" s="138">
        <f>'Expenditures 15-22'!D236</f>
        <v>5585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27895</v>
      </c>
      <c r="C1417" s="2" t="s">
        <v>594</v>
      </c>
      <c r="D1417" s="2" t="str">
        <f t="shared" si="21"/>
        <v>Error?</v>
      </c>
    </row>
    <row r="1418" spans="1:4" x14ac:dyDescent="0.2">
      <c r="A1418" s="5">
        <v>1357</v>
      </c>
      <c r="B1418" s="138">
        <f>'Expenditures 15-22'!D240</f>
        <v>1613</v>
      </c>
      <c r="D1418" s="2" t="str">
        <f t="shared" si="21"/>
        <v>Error?</v>
      </c>
    </row>
    <row r="1419" spans="1:4" x14ac:dyDescent="0.2">
      <c r="A1419" s="5">
        <v>1358</v>
      </c>
      <c r="B1419" s="138">
        <f>'Expenditures 15-22'!D241</f>
        <v>9238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10851</v>
      </c>
      <c r="C1421" s="2" t="s">
        <v>594</v>
      </c>
      <c r="D1421" s="2" t="str">
        <f t="shared" si="21"/>
        <v>Error?</v>
      </c>
    </row>
    <row r="1422" spans="1:4" x14ac:dyDescent="0.2">
      <c r="A1422" s="5">
        <v>1361</v>
      </c>
      <c r="B1422" s="138">
        <f>'Expenditures 15-22'!D245</f>
        <v>429</v>
      </c>
      <c r="D1422" s="2" t="str">
        <f t="shared" si="21"/>
        <v>Error?</v>
      </c>
    </row>
    <row r="1423" spans="1:4" x14ac:dyDescent="0.2">
      <c r="A1423" s="5">
        <v>1362</v>
      </c>
      <c r="B1423" s="138">
        <f>'Expenditures 15-22'!D246</f>
        <v>6878</v>
      </c>
      <c r="D1423" s="2" t="str">
        <f t="shared" si="21"/>
        <v>Error?</v>
      </c>
    </row>
    <row r="1424" spans="1:4" x14ac:dyDescent="0.2">
      <c r="A1424" s="5">
        <v>1363</v>
      </c>
      <c r="B1424" s="138">
        <f>'Expenditures 15-22'!D257</f>
        <v>7307</v>
      </c>
      <c r="C1424" s="2" t="s">
        <v>594</v>
      </c>
      <c r="D1424" s="2" t="str">
        <f t="shared" si="21"/>
        <v>Error?</v>
      </c>
    </row>
    <row r="1425" spans="1:4" x14ac:dyDescent="0.2">
      <c r="A1425" s="5">
        <v>1364</v>
      </c>
      <c r="B1425" s="138">
        <f>'Expenditures 15-22'!D259</f>
        <v>20683</v>
      </c>
      <c r="D1425" s="2" t="str">
        <f t="shared" si="21"/>
        <v>Error?</v>
      </c>
    </row>
    <row r="1426" spans="1:4" x14ac:dyDescent="0.2">
      <c r="A1426" s="5">
        <v>1365</v>
      </c>
      <c r="B1426" s="138">
        <f>'Expenditures 15-22'!D260</f>
        <v>2347</v>
      </c>
      <c r="D1426" s="2" t="str">
        <f t="shared" si="21"/>
        <v>Error?</v>
      </c>
    </row>
    <row r="1427" spans="1:4" x14ac:dyDescent="0.2">
      <c r="A1427" s="5">
        <v>1366</v>
      </c>
      <c r="B1427" s="138">
        <f>'Expenditures 15-22'!D261</f>
        <v>23030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14705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44117</v>
      </c>
      <c r="D1431" s="2" t="str">
        <f t="shared" si="21"/>
        <v>Error?</v>
      </c>
    </row>
    <row r="1432" spans="1:4" x14ac:dyDescent="0.2">
      <c r="A1432" s="5">
        <v>1371</v>
      </c>
      <c r="B1432" s="138">
        <f>'Expenditures 15-22'!D267</f>
        <v>668</v>
      </c>
      <c r="D1432" s="2" t="str">
        <f t="shared" si="21"/>
        <v>Error?</v>
      </c>
    </row>
    <row r="1433" spans="1:4" x14ac:dyDescent="0.2">
      <c r="A1433" s="5">
        <v>1372</v>
      </c>
      <c r="B1433" s="138">
        <f>'Expenditures 15-22'!D268</f>
        <v>25874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85364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154447</v>
      </c>
      <c r="C1446" s="2" t="s">
        <v>594</v>
      </c>
      <c r="D1446" s="2" t="str">
        <f t="shared" si="21"/>
        <v>Error?</v>
      </c>
    </row>
    <row r="1447" spans="1:4" x14ac:dyDescent="0.2">
      <c r="A1447" s="5">
        <v>1386</v>
      </c>
      <c r="B1447" s="138">
        <f>'Expenditures 15-22'!D280</f>
        <v>284</v>
      </c>
      <c r="D1447" s="2" t="str">
        <f t="shared" si="21"/>
        <v>Error?</v>
      </c>
    </row>
    <row r="1448" spans="1:4" x14ac:dyDescent="0.2">
      <c r="A1448" s="5">
        <v>1387</v>
      </c>
      <c r="B1448" s="138">
        <f>'Expenditures 15-22'!D295</f>
        <v>282624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2085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3614</v>
      </c>
      <c r="C1471" s="2" t="s">
        <v>594</v>
      </c>
      <c r="D1471" s="2" t="str">
        <f t="shared" ref="D1471:D1534" si="22">IF(ISBLANK(B1471),"OK",IF(A1471-B1471=0,"OK","Error?"))</f>
        <v>Error?</v>
      </c>
    </row>
    <row r="1472" spans="1:4" x14ac:dyDescent="0.2">
      <c r="A1472" s="5">
        <v>1411</v>
      </c>
      <c r="B1472" s="138">
        <f>'Expenditures 15-22'!K223</f>
        <v>3845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127893</v>
      </c>
      <c r="C1474" s="2" t="s">
        <v>594</v>
      </c>
      <c r="D1474" s="2" t="str">
        <f t="shared" si="22"/>
        <v>Error?</v>
      </c>
    </row>
    <row r="1475" spans="1:4" x14ac:dyDescent="0.2">
      <c r="A1475" s="5">
        <v>1414</v>
      </c>
      <c r="B1475" s="138">
        <f>'Expenditures 15-22'!K232</f>
        <v>27</v>
      </c>
      <c r="C1475" s="2" t="s">
        <v>594</v>
      </c>
      <c r="D1475" s="2" t="str">
        <f t="shared" si="22"/>
        <v>Error?</v>
      </c>
    </row>
    <row r="1476" spans="1:4" x14ac:dyDescent="0.2">
      <c r="A1476" s="5">
        <v>1415</v>
      </c>
      <c r="B1476" s="138">
        <f>'Expenditures 15-22'!K233</f>
        <v>1598</v>
      </c>
      <c r="C1476" s="2" t="s">
        <v>594</v>
      </c>
      <c r="D1476" s="2" t="str">
        <f t="shared" si="22"/>
        <v>Error?</v>
      </c>
    </row>
    <row r="1477" spans="1:4" x14ac:dyDescent="0.2">
      <c r="A1477" s="5">
        <v>1416</v>
      </c>
      <c r="B1477" s="138">
        <f>'Expenditures 15-22'!K234</f>
        <v>19889</v>
      </c>
      <c r="C1477" s="2" t="s">
        <v>594</v>
      </c>
      <c r="D1477" s="2" t="str">
        <f t="shared" si="22"/>
        <v>Error?</v>
      </c>
    </row>
    <row r="1478" spans="1:4" x14ac:dyDescent="0.2">
      <c r="A1478" s="5">
        <v>1417</v>
      </c>
      <c r="B1478" s="138">
        <f>'Expenditures 15-22'!K235</f>
        <v>796</v>
      </c>
      <c r="C1478" s="2" t="s">
        <v>594</v>
      </c>
      <c r="D1478" s="2" t="str">
        <f t="shared" si="22"/>
        <v>Error?</v>
      </c>
    </row>
    <row r="1479" spans="1:4" x14ac:dyDescent="0.2">
      <c r="A1479" s="5">
        <v>1418</v>
      </c>
      <c r="B1479" s="138">
        <f>'Expenditures 15-22'!K236</f>
        <v>5585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27895</v>
      </c>
      <c r="C1481" s="2" t="s">
        <v>594</v>
      </c>
      <c r="D1481" s="2" t="str">
        <f t="shared" si="22"/>
        <v>Error?</v>
      </c>
    </row>
    <row r="1482" spans="1:4" x14ac:dyDescent="0.2">
      <c r="A1482" s="5">
        <v>1421</v>
      </c>
      <c r="B1482" s="138">
        <f>'Expenditures 15-22'!K240</f>
        <v>1613</v>
      </c>
      <c r="C1482" s="2" t="s">
        <v>594</v>
      </c>
      <c r="D1482" s="2" t="str">
        <f t="shared" si="22"/>
        <v>Error?</v>
      </c>
    </row>
    <row r="1483" spans="1:4" x14ac:dyDescent="0.2">
      <c r="A1483" s="5">
        <v>1422</v>
      </c>
      <c r="B1483" s="138">
        <f>'Expenditures 15-22'!K241</f>
        <v>9238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10851</v>
      </c>
      <c r="C1485" s="2" t="s">
        <v>594</v>
      </c>
      <c r="D1485" s="2" t="str">
        <f t="shared" si="22"/>
        <v>Error?</v>
      </c>
    </row>
    <row r="1486" spans="1:4" x14ac:dyDescent="0.2">
      <c r="A1486" s="5">
        <v>1425</v>
      </c>
      <c r="B1486" s="138">
        <f>'Expenditures 15-22'!K245</f>
        <v>429</v>
      </c>
      <c r="C1486" s="2" t="s">
        <v>594</v>
      </c>
      <c r="D1486" s="2" t="str">
        <f t="shared" si="22"/>
        <v>Error?</v>
      </c>
    </row>
    <row r="1487" spans="1:4" x14ac:dyDescent="0.2">
      <c r="A1487" s="5">
        <v>1426</v>
      </c>
      <c r="B1487" s="138">
        <f>'Expenditures 15-22'!K246</f>
        <v>6878</v>
      </c>
      <c r="C1487" s="2" t="s">
        <v>594</v>
      </c>
      <c r="D1487" s="2" t="str">
        <f t="shared" si="22"/>
        <v>Error?</v>
      </c>
    </row>
    <row r="1488" spans="1:4" x14ac:dyDescent="0.2">
      <c r="A1488" s="5">
        <v>1427</v>
      </c>
      <c r="B1488" s="138">
        <f>'Expenditures 15-22'!K257</f>
        <v>7307</v>
      </c>
      <c r="C1488" s="2" t="s">
        <v>594</v>
      </c>
      <c r="D1488" s="2" t="str">
        <f t="shared" si="22"/>
        <v>Error?</v>
      </c>
    </row>
    <row r="1489" spans="1:4" x14ac:dyDescent="0.2">
      <c r="A1489" s="5">
        <v>1428</v>
      </c>
      <c r="B1489" s="138">
        <f>'Expenditures 15-22'!K259</f>
        <v>20683</v>
      </c>
      <c r="C1489" s="2" t="s">
        <v>594</v>
      </c>
      <c r="D1489" s="2" t="str">
        <f t="shared" si="22"/>
        <v>Error?</v>
      </c>
    </row>
    <row r="1490" spans="1:4" x14ac:dyDescent="0.2">
      <c r="A1490" s="5">
        <v>1429</v>
      </c>
      <c r="B1490" s="138">
        <f>'Expenditures 15-22'!K260</f>
        <v>2347</v>
      </c>
      <c r="C1490" s="2" t="s">
        <v>594</v>
      </c>
      <c r="D1490" s="2" t="str">
        <f t="shared" si="22"/>
        <v>Error?</v>
      </c>
    </row>
    <row r="1491" spans="1:4" x14ac:dyDescent="0.2">
      <c r="A1491" s="5">
        <v>1430</v>
      </c>
      <c r="B1491" s="138">
        <f>'Expenditures 15-22'!K261</f>
        <v>23030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14705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44117</v>
      </c>
      <c r="C1495" s="2" t="s">
        <v>594</v>
      </c>
      <c r="D1495" s="2" t="str">
        <f t="shared" si="22"/>
        <v>Error?</v>
      </c>
    </row>
    <row r="1496" spans="1:4" x14ac:dyDescent="0.2">
      <c r="A1496" s="5">
        <v>1435</v>
      </c>
      <c r="B1496" s="138">
        <f>'Expenditures 15-22'!K267</f>
        <v>668</v>
      </c>
      <c r="C1496" s="2" t="s">
        <v>594</v>
      </c>
      <c r="D1496" s="2" t="str">
        <f t="shared" si="22"/>
        <v>Error?</v>
      </c>
    </row>
    <row r="1497" spans="1:4" x14ac:dyDescent="0.2">
      <c r="A1497" s="5">
        <v>1436</v>
      </c>
      <c r="B1497" s="138">
        <f>'Expenditures 15-22'!K268</f>
        <v>25874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85364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154447</v>
      </c>
      <c r="C1510" s="2" t="s">
        <v>594</v>
      </c>
      <c r="D1510" s="2" t="str">
        <f t="shared" si="22"/>
        <v>Error?</v>
      </c>
    </row>
    <row r="1511" spans="1:4" x14ac:dyDescent="0.2">
      <c r="A1511" s="5">
        <v>1450</v>
      </c>
      <c r="B1511" s="138">
        <f>'Expenditures 15-22'!K280</f>
        <v>284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282624</v>
      </c>
      <c r="C1517" s="2" t="s">
        <v>594</v>
      </c>
      <c r="D1517" s="2" t="str">
        <f t="shared" si="22"/>
        <v>Error?</v>
      </c>
    </row>
    <row r="1518" spans="1:4" x14ac:dyDescent="0.2">
      <c r="A1518" s="5">
        <v>1457</v>
      </c>
      <c r="B1518" s="138">
        <f>'Expenditures 15-22'!K296</f>
        <v>5588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587532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1625301</v>
      </c>
      <c r="C1630" s="2" t="s">
        <v>594</v>
      </c>
      <c r="D1630" s="2" t="str">
        <f t="shared" si="24"/>
        <v>Error?</v>
      </c>
    </row>
    <row r="1631" spans="1:4" x14ac:dyDescent="0.2">
      <c r="A1631" s="5">
        <v>1570</v>
      </c>
      <c r="B1631" s="138">
        <f>'Acct Summary 7-8'!D79</f>
        <v>337314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392336</v>
      </c>
      <c r="C1644" s="2" t="s">
        <v>594</v>
      </c>
      <c r="D1644" s="2" t="str">
        <f t="shared" si="24"/>
        <v>Error?</v>
      </c>
    </row>
    <row r="1645" spans="1:4" x14ac:dyDescent="0.2">
      <c r="A1645" s="5">
        <v>1584</v>
      </c>
      <c r="B1645" s="138">
        <f>'Acct Summary 7-8'!E79</f>
        <v>32089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4474</v>
      </c>
      <c r="C1658" s="2" t="s">
        <v>594</v>
      </c>
      <c r="D1658" s="2" t="str">
        <f t="shared" si="24"/>
        <v>Error?</v>
      </c>
    </row>
    <row r="1659" spans="1:4" x14ac:dyDescent="0.2">
      <c r="A1659" s="5">
        <v>1598</v>
      </c>
      <c r="B1659" s="138">
        <f>'Acct Summary 7-8'!F79</f>
        <v>57502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170915</v>
      </c>
      <c r="C1672" s="2" t="s">
        <v>594</v>
      </c>
      <c r="D1672" s="2" t="str">
        <f t="shared" si="25"/>
        <v>Error?</v>
      </c>
    </row>
    <row r="1673" spans="1:4" x14ac:dyDescent="0.2">
      <c r="A1673" s="5">
        <v>1612</v>
      </c>
      <c r="B1673" s="138">
        <f>'Acct Summary 7-8'!G79</f>
        <v>1897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7485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3117835</v>
      </c>
      <c r="C1744" s="2" t="s">
        <v>594</v>
      </c>
      <c r="D1744" s="2" t="str">
        <f t="shared" si="26"/>
        <v>Error?</v>
      </c>
    </row>
    <row r="1745" spans="1:5" x14ac:dyDescent="0.2">
      <c r="A1745" s="5">
        <v>1684</v>
      </c>
      <c r="B1745" s="138">
        <f>'Tax Sched 23'!B5</f>
        <v>529331</v>
      </c>
      <c r="C1745" s="2" t="s">
        <v>594</v>
      </c>
      <c r="D1745" s="2" t="str">
        <f t="shared" si="26"/>
        <v>Error?</v>
      </c>
    </row>
    <row r="1746" spans="1:5" x14ac:dyDescent="0.2">
      <c r="A1746" s="5">
        <v>1685</v>
      </c>
      <c r="B1746" s="138">
        <f>'Tax Sched 23'!B6</f>
        <v>1252862</v>
      </c>
      <c r="C1746" s="2" t="s">
        <v>594</v>
      </c>
      <c r="D1746" s="2" t="str">
        <f t="shared" si="26"/>
        <v>Error?</v>
      </c>
    </row>
    <row r="1747" spans="1:5" x14ac:dyDescent="0.2">
      <c r="A1747" s="5">
        <v>1686</v>
      </c>
      <c r="B1747" s="138">
        <f>'Tax Sched 23'!B7</f>
        <v>299903</v>
      </c>
      <c r="C1747" s="2" t="s">
        <v>594</v>
      </c>
      <c r="D1747" s="2" t="str">
        <f t="shared" si="26"/>
        <v>Error?</v>
      </c>
    </row>
    <row r="1748" spans="1:5" x14ac:dyDescent="0.2">
      <c r="A1748" s="5">
        <v>1687</v>
      </c>
      <c r="B1748" s="138">
        <f>'Tax Sched 23'!B8</f>
        <v>103597</v>
      </c>
      <c r="C1748" s="2" t="s">
        <v>594</v>
      </c>
      <c r="D1748" s="2" t="str">
        <f t="shared" si="26"/>
        <v>Error?</v>
      </c>
    </row>
    <row r="1749" spans="1:5" x14ac:dyDescent="0.2">
      <c r="A1749" s="5">
        <v>1688</v>
      </c>
      <c r="B1749" s="138">
        <f>'Tax Sched 23'!B10</f>
        <v>49106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73046</v>
      </c>
      <c r="C1752" s="2" t="s">
        <v>594</v>
      </c>
      <c r="D1752" s="2" t="str">
        <f t="shared" si="26"/>
        <v>Error?</v>
      </c>
    </row>
    <row r="1753" spans="1:5" x14ac:dyDescent="0.2">
      <c r="A1753" s="5">
        <v>1692</v>
      </c>
      <c r="B1753" s="138">
        <f>'Tax Sched 23'!B12</f>
        <v>64771</v>
      </c>
      <c r="C1753" s="2" t="s">
        <v>594</v>
      </c>
      <c r="D1753" s="2" t="str">
        <f t="shared" si="26"/>
        <v>Error?</v>
      </c>
    </row>
    <row r="1754" spans="1:5" x14ac:dyDescent="0.2">
      <c r="A1754" s="5">
        <v>1693</v>
      </c>
      <c r="B1754" s="138">
        <f>'Tax Sched 23'!B14</f>
        <v>90385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5675694</v>
      </c>
      <c r="C1759" s="2" t="s">
        <v>594</v>
      </c>
      <c r="D1759" s="2" t="str">
        <f t="shared" si="26"/>
        <v>Error?</v>
      </c>
    </row>
    <row r="1760" spans="1:5" x14ac:dyDescent="0.2">
      <c r="A1760" s="5">
        <v>1699</v>
      </c>
      <c r="B1760" s="138">
        <f>'Tax Sched 23'!D4</f>
        <v>3117835</v>
      </c>
      <c r="C1760" s="2" t="s">
        <v>594</v>
      </c>
      <c r="D1760" s="2" t="str">
        <f t="shared" si="26"/>
        <v>Error?</v>
      </c>
    </row>
    <row r="1761" spans="1:5" x14ac:dyDescent="0.2">
      <c r="A1761" s="5">
        <v>1700</v>
      </c>
      <c r="B1761" s="138">
        <f>'Tax Sched 23'!D5</f>
        <v>529331</v>
      </c>
      <c r="C1761" s="2" t="s">
        <v>594</v>
      </c>
      <c r="D1761" s="2" t="str">
        <f t="shared" si="26"/>
        <v>Error?</v>
      </c>
    </row>
    <row r="1762" spans="1:5" s="8" customFormat="1" x14ac:dyDescent="0.2">
      <c r="A1762" s="5">
        <v>1701</v>
      </c>
      <c r="B1762" s="138">
        <f>'Tax Sched 23'!D6</f>
        <v>1252862</v>
      </c>
      <c r="C1762" s="2" t="s">
        <v>594</v>
      </c>
      <c r="D1762" s="2" t="str">
        <f t="shared" si="26"/>
        <v>Error?</v>
      </c>
      <c r="E1762" s="9"/>
    </row>
    <row r="1763" spans="1:5" x14ac:dyDescent="0.2">
      <c r="A1763" s="5">
        <v>1702</v>
      </c>
      <c r="B1763" s="138">
        <f>'Tax Sched 23'!D7</f>
        <v>299903</v>
      </c>
      <c r="C1763" s="2" t="s">
        <v>594</v>
      </c>
      <c r="D1763" s="2" t="str">
        <f t="shared" si="26"/>
        <v>Error?</v>
      </c>
    </row>
    <row r="1764" spans="1:5" x14ac:dyDescent="0.2">
      <c r="A1764" s="5">
        <v>1703</v>
      </c>
      <c r="B1764" s="138">
        <f>'Tax Sched 23'!D8</f>
        <v>103597</v>
      </c>
      <c r="C1764" s="2" t="s">
        <v>594</v>
      </c>
      <c r="D1764" s="2" t="str">
        <f t="shared" si="26"/>
        <v>Error?</v>
      </c>
    </row>
    <row r="1765" spans="1:5" x14ac:dyDescent="0.2">
      <c r="A1765" s="5">
        <v>1704</v>
      </c>
      <c r="B1765" s="138">
        <f>'Tax Sched 23'!D10</f>
        <v>49106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73046</v>
      </c>
      <c r="C1768" s="2" t="s">
        <v>594</v>
      </c>
      <c r="D1768" s="2" t="str">
        <f t="shared" si="26"/>
        <v>Error?</v>
      </c>
    </row>
    <row r="1769" spans="1:5" x14ac:dyDescent="0.2">
      <c r="A1769" s="5">
        <v>1708</v>
      </c>
      <c r="B1769" s="138">
        <f>'Tax Sched 23'!D12</f>
        <v>64771</v>
      </c>
      <c r="C1769" s="2" t="s">
        <v>594</v>
      </c>
      <c r="D1769" s="2" t="str">
        <f t="shared" si="26"/>
        <v>Error?</v>
      </c>
    </row>
    <row r="1770" spans="1:5" x14ac:dyDescent="0.2">
      <c r="A1770" s="5">
        <v>1709</v>
      </c>
      <c r="B1770" s="138">
        <f>'Tax Sched 23'!D14</f>
        <v>90385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5675694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3275812</v>
      </c>
      <c r="C1792" s="2" t="s">
        <v>594</v>
      </c>
      <c r="D1792" s="2" t="str">
        <f t="shared" si="27"/>
        <v>Error?</v>
      </c>
    </row>
    <row r="1793" spans="1:4" x14ac:dyDescent="0.2">
      <c r="A1793" s="5">
        <v>1732</v>
      </c>
      <c r="B1793" s="138">
        <f>'Tax Sched 23'!F5</f>
        <v>532453</v>
      </c>
      <c r="C1793" s="2" t="s">
        <v>594</v>
      </c>
      <c r="D1793" s="2" t="str">
        <f t="shared" si="27"/>
        <v>Error?</v>
      </c>
    </row>
    <row r="1794" spans="1:4" x14ac:dyDescent="0.2">
      <c r="A1794" s="5">
        <v>1733</v>
      </c>
      <c r="B1794" s="138">
        <f>'Tax Sched 23'!F6</f>
        <v>1274024</v>
      </c>
      <c r="C1794" s="2" t="s">
        <v>594</v>
      </c>
      <c r="D1794" s="2" t="str">
        <f t="shared" si="27"/>
        <v>Error?</v>
      </c>
    </row>
    <row r="1795" spans="1:4" x14ac:dyDescent="0.2">
      <c r="A1795" s="5">
        <v>1734</v>
      </c>
      <c r="B1795" s="138">
        <f>'Tax Sched 23'!F7</f>
        <v>337844</v>
      </c>
      <c r="C1795" s="2" t="s">
        <v>594</v>
      </c>
      <c r="D1795" s="2" t="str">
        <f t="shared" si="27"/>
        <v>Error?</v>
      </c>
    </row>
    <row r="1796" spans="1:4" x14ac:dyDescent="0.2">
      <c r="A1796" s="5">
        <v>1735</v>
      </c>
      <c r="B1796" s="138">
        <f>'Tax Sched 23'!F8</f>
        <v>114682</v>
      </c>
      <c r="C1796" s="2" t="s">
        <v>594</v>
      </c>
      <c r="D1796" s="2" t="str">
        <f t="shared" si="27"/>
        <v>Error?</v>
      </c>
    </row>
    <row r="1797" spans="1:4" x14ac:dyDescent="0.2">
      <c r="A1797" s="5">
        <v>1736</v>
      </c>
      <c r="B1797" s="138">
        <f>'Tax Sched 23'!F10</f>
        <v>49501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73607</v>
      </c>
      <c r="C1800" s="2" t="s">
        <v>594</v>
      </c>
      <c r="D1800" s="2" t="str">
        <f t="shared" si="27"/>
        <v>Error?</v>
      </c>
    </row>
    <row r="1801" spans="1:4" x14ac:dyDescent="0.2">
      <c r="A1801" s="5">
        <v>1740</v>
      </c>
      <c r="B1801" s="138">
        <f>'Tax Sched 23'!F12</f>
        <v>65299</v>
      </c>
      <c r="C1801" s="2" t="s">
        <v>594</v>
      </c>
      <c r="D1801" s="2" t="str">
        <f t="shared" si="27"/>
        <v>Error?</v>
      </c>
    </row>
    <row r="1802" spans="1:4" x14ac:dyDescent="0.2">
      <c r="A1802" s="5">
        <v>1741</v>
      </c>
      <c r="B1802" s="138">
        <f>'Tax Sched 23'!F14</f>
        <v>94554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5920873</v>
      </c>
      <c r="C1807" s="2" t="s">
        <v>594</v>
      </c>
      <c r="D1807" s="2" t="str">
        <f t="shared" si="27"/>
        <v>Error?</v>
      </c>
    </row>
    <row r="1808" spans="1:4" x14ac:dyDescent="0.2">
      <c r="A1808" s="5">
        <v>1747</v>
      </c>
      <c r="B1808" s="138">
        <f>'Tax Sched 23'!E4</f>
        <v>3275812</v>
      </c>
      <c r="D1808" s="2" t="str">
        <f t="shared" si="27"/>
        <v>Error?</v>
      </c>
    </row>
    <row r="1809" spans="1:4" x14ac:dyDescent="0.2">
      <c r="A1809" s="5">
        <v>1748</v>
      </c>
      <c r="B1809" s="138">
        <f>'Tax Sched 23'!E5</f>
        <v>532453</v>
      </c>
      <c r="D1809" s="2" t="str">
        <f t="shared" si="27"/>
        <v>Error?</v>
      </c>
    </row>
    <row r="1810" spans="1:4" x14ac:dyDescent="0.2">
      <c r="A1810" s="5">
        <v>1749</v>
      </c>
      <c r="B1810" s="138">
        <f>'Tax Sched 23'!E6</f>
        <v>1274024</v>
      </c>
      <c r="D1810" s="2" t="str">
        <f t="shared" si="27"/>
        <v>Error?</v>
      </c>
    </row>
    <row r="1811" spans="1:4" x14ac:dyDescent="0.2">
      <c r="A1811" s="5">
        <v>1750</v>
      </c>
      <c r="B1811" s="138">
        <f>'Tax Sched 23'!E7</f>
        <v>337844</v>
      </c>
      <c r="D1811" s="2" t="str">
        <f t="shared" si="27"/>
        <v>Error?</v>
      </c>
    </row>
    <row r="1812" spans="1:4" x14ac:dyDescent="0.2">
      <c r="A1812" s="5">
        <v>1751</v>
      </c>
      <c r="B1812" s="138">
        <f>'Tax Sched 23'!E8</f>
        <v>114682</v>
      </c>
      <c r="D1812" s="2" t="str">
        <f t="shared" si="27"/>
        <v>Error?</v>
      </c>
    </row>
    <row r="1813" spans="1:4" x14ac:dyDescent="0.2">
      <c r="A1813" s="5">
        <v>1752</v>
      </c>
      <c r="B1813" s="138">
        <f>'Tax Sched 23'!E10</f>
        <v>49501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73607</v>
      </c>
      <c r="D1816" s="2" t="str">
        <f t="shared" si="27"/>
        <v>Error?</v>
      </c>
    </row>
    <row r="1817" spans="1:4" x14ac:dyDescent="0.2">
      <c r="A1817" s="5">
        <v>1756</v>
      </c>
      <c r="B1817" s="138">
        <f>'Tax Sched 23'!E12</f>
        <v>65299</v>
      </c>
      <c r="D1817" s="2" t="str">
        <f t="shared" si="27"/>
        <v>Error?</v>
      </c>
    </row>
    <row r="1818" spans="1:4" x14ac:dyDescent="0.2">
      <c r="A1818" s="5">
        <v>1757</v>
      </c>
      <c r="B1818" s="138">
        <f>'Tax Sched 23'!E14</f>
        <v>94554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5920873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11625544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90385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90385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90385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582055</v>
      </c>
      <c r="D2008" s="2" t="str">
        <f t="shared" si="30"/>
        <v>Error?</v>
      </c>
    </row>
    <row r="2009" spans="1:4" x14ac:dyDescent="0.2">
      <c r="A2009" s="5">
        <v>1948</v>
      </c>
      <c r="B2009" s="138">
        <f>'Cap Outlay Deprec 26'!C8</f>
        <v>18269570</v>
      </c>
      <c r="D2009" s="2" t="str">
        <f t="shared" si="30"/>
        <v>Error?</v>
      </c>
    </row>
    <row r="2010" spans="1:4" x14ac:dyDescent="0.2">
      <c r="A2010" s="5">
        <v>1949</v>
      </c>
      <c r="B2010" s="138">
        <f>'Cap Outlay Deprec 26'!C10</f>
        <v>2676290</v>
      </c>
      <c r="D2010" s="2" t="str">
        <f t="shared" si="30"/>
        <v>Error?</v>
      </c>
    </row>
    <row r="2011" spans="1:4" x14ac:dyDescent="0.2">
      <c r="A2011" s="5">
        <v>1950</v>
      </c>
      <c r="B2011" s="138">
        <f>'Cap Outlay Deprec 26'!C12</f>
        <v>4693133</v>
      </c>
      <c r="D2011" s="2" t="str">
        <f t="shared" si="30"/>
        <v>Error?</v>
      </c>
    </row>
    <row r="2012" spans="1:4" x14ac:dyDescent="0.2">
      <c r="A2012" s="5">
        <v>1951</v>
      </c>
      <c r="B2012" s="138">
        <f>'Cap Outlay Deprec 26'!C13</f>
        <v>190786</v>
      </c>
      <c r="D2012" s="2" t="str">
        <f t="shared" si="30"/>
        <v>Error?</v>
      </c>
    </row>
    <row r="2013" spans="1:4" x14ac:dyDescent="0.2">
      <c r="A2013" s="5">
        <v>1952</v>
      </c>
      <c r="B2013" s="138">
        <f>'Cap Outlay Deprec 26'!C16</f>
        <v>26430207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317451</v>
      </c>
      <c r="D2017" s="2" t="str">
        <f t="shared" si="30"/>
        <v>Error?</v>
      </c>
    </row>
    <row r="2018" spans="1:4" x14ac:dyDescent="0.2">
      <c r="A2018" s="5">
        <v>1957</v>
      </c>
      <c r="B2018" s="138">
        <f>'Cap Outlay Deprec 26'!D13</f>
        <v>2182</v>
      </c>
      <c r="D2018" s="2" t="str">
        <f t="shared" si="30"/>
        <v>Error?</v>
      </c>
    </row>
    <row r="2019" spans="1:4" x14ac:dyDescent="0.2">
      <c r="A2019" s="5">
        <v>1958</v>
      </c>
      <c r="B2019" s="138">
        <f>'Cap Outlay Deprec 26'!D16</f>
        <v>322166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582055</v>
      </c>
      <c r="C2026" s="2" t="s">
        <v>594</v>
      </c>
      <c r="D2026" s="2" t="str">
        <f t="shared" si="30"/>
        <v>Error?</v>
      </c>
    </row>
    <row r="2027" spans="1:4" x14ac:dyDescent="0.2">
      <c r="A2027" s="5">
        <v>1966</v>
      </c>
      <c r="B2027" s="138">
        <f>'Cap Outlay Deprec 26'!F8</f>
        <v>18269570</v>
      </c>
      <c r="C2027" s="2" t="s">
        <v>594</v>
      </c>
      <c r="D2027" s="2" t="str">
        <f t="shared" si="30"/>
        <v>Error?</v>
      </c>
    </row>
    <row r="2028" spans="1:4" x14ac:dyDescent="0.2">
      <c r="A2028" s="5">
        <v>1967</v>
      </c>
      <c r="B2028" s="138">
        <f>'Cap Outlay Deprec 26'!F10</f>
        <v>2676290</v>
      </c>
      <c r="C2028" s="2" t="s">
        <v>594</v>
      </c>
      <c r="D2028" s="2" t="str">
        <f t="shared" si="30"/>
        <v>Error?</v>
      </c>
    </row>
    <row r="2029" spans="1:4" x14ac:dyDescent="0.2">
      <c r="A2029" s="5">
        <v>1968</v>
      </c>
      <c r="B2029" s="138">
        <f>'Cap Outlay Deprec 26'!F12</f>
        <v>5010584</v>
      </c>
      <c r="C2029" s="2" t="s">
        <v>594</v>
      </c>
      <c r="D2029" s="2" t="str">
        <f t="shared" si="30"/>
        <v>Error?</v>
      </c>
    </row>
    <row r="2030" spans="1:4" x14ac:dyDescent="0.2">
      <c r="A2030" s="5">
        <v>1969</v>
      </c>
      <c r="B2030" s="138">
        <f>'Cap Outlay Deprec 26'!F13</f>
        <v>192968</v>
      </c>
      <c r="C2030" s="2" t="s">
        <v>594</v>
      </c>
      <c r="D2030" s="2" t="str">
        <f t="shared" si="30"/>
        <v>Error?</v>
      </c>
    </row>
    <row r="2031" spans="1:4" x14ac:dyDescent="0.2">
      <c r="A2031" s="5">
        <v>1970</v>
      </c>
      <c r="B2031" s="138">
        <f>'Cap Outlay Deprec 26'!F16</f>
        <v>26752373</v>
      </c>
      <c r="C2031" s="2" t="s">
        <v>594</v>
      </c>
      <c r="D2031" s="2" t="str">
        <f t="shared" si="30"/>
        <v>Error?</v>
      </c>
    </row>
    <row r="2032" spans="1:4" x14ac:dyDescent="0.2">
      <c r="A2032" s="10">
        <v>1971</v>
      </c>
      <c r="D2032" s="2" t="str">
        <f t="shared" si="30"/>
        <v>OK</v>
      </c>
    </row>
    <row r="2033" spans="1:4" x14ac:dyDescent="0.2">
      <c r="A2033" s="5">
        <v>1972</v>
      </c>
      <c r="B2033" s="138">
        <f>'Cap Outlay Deprec 26'!H8</f>
        <v>6649961</v>
      </c>
      <c r="D2033" s="2" t="str">
        <f t="shared" si="30"/>
        <v>Error?</v>
      </c>
    </row>
    <row r="2034" spans="1:4" x14ac:dyDescent="0.2">
      <c r="A2034" s="5">
        <v>1973</v>
      </c>
      <c r="B2034" s="138">
        <f>'Cap Outlay Deprec 26'!H10</f>
        <v>936223</v>
      </c>
      <c r="D2034" s="2" t="str">
        <f t="shared" si="30"/>
        <v>Error?</v>
      </c>
    </row>
    <row r="2035" spans="1:4" x14ac:dyDescent="0.2">
      <c r="A2035" s="5">
        <v>1974</v>
      </c>
      <c r="B2035" s="138">
        <f>'Cap Outlay Deprec 26'!H12</f>
        <v>4023458</v>
      </c>
      <c r="D2035" s="2" t="str">
        <f t="shared" si="30"/>
        <v>Error?</v>
      </c>
    </row>
    <row r="2036" spans="1:4" x14ac:dyDescent="0.2">
      <c r="A2036" s="5">
        <v>1975</v>
      </c>
      <c r="B2036" s="138">
        <f>'Cap Outlay Deprec 26'!H13</f>
        <v>165490</v>
      </c>
      <c r="D2036" s="2" t="str">
        <f t="shared" si="30"/>
        <v>Error?</v>
      </c>
    </row>
    <row r="2037" spans="1:4" x14ac:dyDescent="0.2">
      <c r="A2037" s="5">
        <v>1976</v>
      </c>
      <c r="B2037" s="138">
        <f>'Cap Outlay Deprec 26'!H16</f>
        <v>11793505</v>
      </c>
      <c r="C2037" s="2" t="s">
        <v>594</v>
      </c>
      <c r="D2037" s="2" t="str">
        <f t="shared" si="30"/>
        <v>Error?</v>
      </c>
    </row>
    <row r="2038" spans="1:4" x14ac:dyDescent="0.2">
      <c r="A2038" s="10">
        <v>1977</v>
      </c>
      <c r="D2038" s="2" t="str">
        <f t="shared" si="30"/>
        <v>OK</v>
      </c>
    </row>
    <row r="2039" spans="1:4" x14ac:dyDescent="0.2">
      <c r="A2039" s="5">
        <v>1978</v>
      </c>
      <c r="B2039" s="138">
        <f>'Cap Outlay Deprec 26'!I8</f>
        <v>335170</v>
      </c>
      <c r="D2039" s="2" t="str">
        <f t="shared" si="30"/>
        <v>Error?</v>
      </c>
    </row>
    <row r="2040" spans="1:4" x14ac:dyDescent="0.2">
      <c r="A2040" s="5">
        <v>1979</v>
      </c>
      <c r="B2040" s="138">
        <f>'Cap Outlay Deprec 26'!I10</f>
        <v>197764</v>
      </c>
      <c r="D2040" s="2" t="str">
        <f t="shared" si="30"/>
        <v>Error?</v>
      </c>
    </row>
    <row r="2041" spans="1:4" x14ac:dyDescent="0.2">
      <c r="A2041" s="5">
        <v>1980</v>
      </c>
      <c r="B2041" s="138">
        <f>'Cap Outlay Deprec 26'!I12</f>
        <v>158335</v>
      </c>
      <c r="D2041" s="2" t="str">
        <f t="shared" si="30"/>
        <v>Error?</v>
      </c>
    </row>
    <row r="2042" spans="1:4" x14ac:dyDescent="0.2">
      <c r="A2042" s="5">
        <v>1981</v>
      </c>
      <c r="B2042" s="138">
        <f>'Cap Outlay Deprec 26'!I13</f>
        <v>8028</v>
      </c>
      <c r="D2042" s="2" t="str">
        <f t="shared" si="30"/>
        <v>Error?</v>
      </c>
    </row>
    <row r="2043" spans="1:4" x14ac:dyDescent="0.2">
      <c r="A2043" s="5">
        <v>1982</v>
      </c>
      <c r="B2043" s="138">
        <f>'Cap Outlay Deprec 26'!I16</f>
        <v>699946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6985131</v>
      </c>
      <c r="C2051" s="2" t="s">
        <v>594</v>
      </c>
      <c r="D2051" s="2" t="str">
        <f t="shared" si="31"/>
        <v>Error?</v>
      </c>
    </row>
    <row r="2052" spans="1:4" x14ac:dyDescent="0.2">
      <c r="A2052" s="5">
        <v>1991</v>
      </c>
      <c r="B2052" s="138">
        <f>'Cap Outlay Deprec 26'!K10</f>
        <v>1133987</v>
      </c>
      <c r="C2052" s="2" t="s">
        <v>594</v>
      </c>
      <c r="D2052" s="2" t="str">
        <f t="shared" si="31"/>
        <v>Error?</v>
      </c>
    </row>
    <row r="2053" spans="1:4" x14ac:dyDescent="0.2">
      <c r="A2053" s="5">
        <v>1992</v>
      </c>
      <c r="B2053" s="138">
        <f>'Cap Outlay Deprec 26'!K12</f>
        <v>4181793</v>
      </c>
      <c r="C2053" s="2" t="s">
        <v>594</v>
      </c>
      <c r="D2053" s="2" t="str">
        <f t="shared" si="31"/>
        <v>Error?</v>
      </c>
    </row>
    <row r="2054" spans="1:4" x14ac:dyDescent="0.2">
      <c r="A2054" s="5">
        <v>1993</v>
      </c>
      <c r="B2054" s="138">
        <f>'Cap Outlay Deprec 26'!K13</f>
        <v>173518</v>
      </c>
      <c r="C2054" s="2" t="s">
        <v>594</v>
      </c>
      <c r="D2054" s="2" t="str">
        <f t="shared" si="31"/>
        <v>Error?</v>
      </c>
    </row>
    <row r="2055" spans="1:4" x14ac:dyDescent="0.2">
      <c r="A2055" s="5">
        <v>1994</v>
      </c>
      <c r="B2055" s="138">
        <f>'Cap Outlay Deprec 26'!K16</f>
        <v>12493451</v>
      </c>
      <c r="C2055" s="2" t="s">
        <v>594</v>
      </c>
      <c r="D2055" s="2" t="str">
        <f t="shared" si="31"/>
        <v>Error?</v>
      </c>
    </row>
    <row r="2056" spans="1:4" x14ac:dyDescent="0.2">
      <c r="A2056" s="5">
        <v>1995</v>
      </c>
      <c r="B2056" s="138">
        <f>'Cap Outlay Deprec 26'!L5</f>
        <v>582055</v>
      </c>
      <c r="C2056" s="2" t="s">
        <v>594</v>
      </c>
      <c r="D2056" s="2" t="str">
        <f t="shared" si="31"/>
        <v>Error?</v>
      </c>
    </row>
    <row r="2057" spans="1:4" x14ac:dyDescent="0.2">
      <c r="A2057" s="5">
        <v>1996</v>
      </c>
      <c r="B2057" s="138">
        <f>'Cap Outlay Deprec 26'!L8</f>
        <v>11284439</v>
      </c>
      <c r="C2057" s="2" t="s">
        <v>594</v>
      </c>
      <c r="D2057" s="2" t="str">
        <f t="shared" si="31"/>
        <v>Error?</v>
      </c>
    </row>
    <row r="2058" spans="1:4" x14ac:dyDescent="0.2">
      <c r="A2058" s="5">
        <v>1997</v>
      </c>
      <c r="B2058" s="138">
        <f>'Cap Outlay Deprec 26'!L10</f>
        <v>1542303</v>
      </c>
      <c r="C2058" s="2" t="s">
        <v>594</v>
      </c>
      <c r="D2058" s="2" t="str">
        <f t="shared" si="31"/>
        <v>Error?</v>
      </c>
    </row>
    <row r="2059" spans="1:4" x14ac:dyDescent="0.2">
      <c r="A2059" s="5">
        <v>1998</v>
      </c>
      <c r="B2059" s="138">
        <f>'Cap Outlay Deprec 26'!L12</f>
        <v>828791</v>
      </c>
      <c r="C2059" s="2" t="s">
        <v>594</v>
      </c>
      <c r="D2059" s="2" t="str">
        <f t="shared" si="31"/>
        <v>Error?</v>
      </c>
    </row>
    <row r="2060" spans="1:4" x14ac:dyDescent="0.2">
      <c r="A2060" s="5">
        <v>1999</v>
      </c>
      <c r="B2060" s="138">
        <f>'Cap Outlay Deprec 26'!L13</f>
        <v>19450</v>
      </c>
      <c r="C2060" s="2" t="s">
        <v>594</v>
      </c>
      <c r="D2060" s="2" t="str">
        <f t="shared" si="31"/>
        <v>Error?</v>
      </c>
    </row>
    <row r="2061" spans="1:4" x14ac:dyDescent="0.2">
      <c r="A2061" s="5">
        <v>2000</v>
      </c>
      <c r="B2061" s="138">
        <f>'Cap Outlay Deprec 26'!L16</f>
        <v>14258922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203429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203924</v>
      </c>
      <c r="C2088" s="2" t="s">
        <v>594</v>
      </c>
      <c r="D2088" s="2" t="str">
        <f t="shared" si="31"/>
        <v>Error?</v>
      </c>
    </row>
    <row r="2089" spans="1:4" x14ac:dyDescent="0.2">
      <c r="A2089" s="5">
        <v>2028</v>
      </c>
      <c r="B2089" s="138">
        <f>'Expenditures 15-22'!K92</f>
        <v>909944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45991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3808033</v>
      </c>
      <c r="C2551" s="2" t="s">
        <v>594</v>
      </c>
      <c r="D2551" s="2" t="str">
        <f t="shared" si="38"/>
        <v>Error?</v>
      </c>
    </row>
    <row r="2552" spans="1:4" x14ac:dyDescent="0.2">
      <c r="A2552" s="10">
        <v>2491</v>
      </c>
      <c r="D2552" s="2" t="str">
        <f t="shared" si="38"/>
        <v>OK</v>
      </c>
    </row>
    <row r="2553" spans="1:4" x14ac:dyDescent="0.2">
      <c r="A2553" s="5">
        <v>2492</v>
      </c>
      <c r="B2553" s="138">
        <f>'Acct Summary 7-8'!C6</f>
        <v>5957165</v>
      </c>
      <c r="C2553" s="2" t="s">
        <v>594</v>
      </c>
      <c r="D2553" s="2" t="str">
        <f t="shared" si="38"/>
        <v>Error?</v>
      </c>
    </row>
    <row r="2554" spans="1:4" x14ac:dyDescent="0.2">
      <c r="A2554" s="5">
        <v>2493</v>
      </c>
      <c r="B2554" s="138">
        <f>'Acct Summary 7-8'!C7</f>
        <v>1394860</v>
      </c>
      <c r="C2554" s="2" t="s">
        <v>594</v>
      </c>
      <c r="D2554" s="2" t="str">
        <f t="shared" si="38"/>
        <v>Error?</v>
      </c>
    </row>
    <row r="2555" spans="1:4" x14ac:dyDescent="0.2">
      <c r="A2555" s="5">
        <v>2494</v>
      </c>
      <c r="B2555" s="138">
        <f>'Acct Summary 7-8'!C8</f>
        <v>11160058</v>
      </c>
      <c r="C2555" s="2" t="s">
        <v>594</v>
      </c>
      <c r="D2555" s="2" t="str">
        <f t="shared" si="38"/>
        <v>Error?</v>
      </c>
    </row>
    <row r="2556" spans="1:4" x14ac:dyDescent="0.2">
      <c r="A2556" s="5">
        <v>2495</v>
      </c>
      <c r="B2556" s="138">
        <f>'Acct Summary 7-8'!C12</f>
        <v>5271956</v>
      </c>
      <c r="C2556" s="2" t="s">
        <v>594</v>
      </c>
      <c r="D2556" s="2" t="str">
        <f t="shared" si="38"/>
        <v>Error?</v>
      </c>
    </row>
    <row r="2557" spans="1:4" x14ac:dyDescent="0.2">
      <c r="A2557" s="5">
        <v>2496</v>
      </c>
      <c r="B2557" s="138">
        <f>'Acct Summary 7-8'!C13</f>
        <v>3411097</v>
      </c>
      <c r="C2557" s="2" t="s">
        <v>594</v>
      </c>
      <c r="D2557" s="2" t="str">
        <f t="shared" si="38"/>
        <v>Error?</v>
      </c>
    </row>
    <row r="2558" spans="1:4" x14ac:dyDescent="0.2">
      <c r="A2558" s="5">
        <v>2497</v>
      </c>
      <c r="B2558" s="138">
        <f>'Acct Summary 7-8'!C14</f>
        <v>2394</v>
      </c>
      <c r="C2558" s="2" t="s">
        <v>594</v>
      </c>
      <c r="D2558" s="2" t="str">
        <f t="shared" si="38"/>
        <v>Error?</v>
      </c>
    </row>
    <row r="2559" spans="1:4" x14ac:dyDescent="0.2">
      <c r="A2559" s="5">
        <v>2498</v>
      </c>
      <c r="B2559" s="138">
        <f>'Acct Summary 7-8'!C15</f>
        <v>1113868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9799315</v>
      </c>
      <c r="C2561" s="2" t="s">
        <v>594</v>
      </c>
      <c r="D2561" s="2" t="str">
        <f t="shared" si="39"/>
        <v>Error?</v>
      </c>
    </row>
    <row r="2562" spans="1:4" x14ac:dyDescent="0.2">
      <c r="A2562" s="5">
        <v>2501</v>
      </c>
      <c r="B2562" s="138">
        <f>'Acct Summary 7-8'!C20</f>
        <v>1360743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534096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534096</v>
      </c>
      <c r="C2568" s="2" t="s">
        <v>594</v>
      </c>
      <c r="D2568" s="2" t="str">
        <f t="shared" si="39"/>
        <v>Error?</v>
      </c>
    </row>
    <row r="2569" spans="1:4" x14ac:dyDescent="0.2">
      <c r="A2569" s="5">
        <v>2508</v>
      </c>
      <c r="B2569" s="138">
        <f>'Acct Summary 7-8'!D13</f>
        <v>479074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479074</v>
      </c>
      <c r="C2573" s="2" t="s">
        <v>594</v>
      </c>
      <c r="D2573" s="2" t="str">
        <f t="shared" si="39"/>
        <v>Error?</v>
      </c>
    </row>
    <row r="2574" spans="1:4" x14ac:dyDescent="0.2">
      <c r="A2574" s="5">
        <v>2513</v>
      </c>
      <c r="B2574" s="138">
        <f>'Acct Summary 7-8'!D20</f>
        <v>55022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300520</v>
      </c>
      <c r="C2591" s="2" t="s">
        <v>594</v>
      </c>
      <c r="D2591" s="2" t="str">
        <f t="shared" si="39"/>
        <v>Error?</v>
      </c>
    </row>
    <row r="2592" spans="1:4" x14ac:dyDescent="0.2">
      <c r="A2592" s="10">
        <v>2531</v>
      </c>
      <c r="D2592" s="2" t="str">
        <f t="shared" si="39"/>
        <v>OK</v>
      </c>
    </row>
    <row r="2593" spans="1:4" x14ac:dyDescent="0.2">
      <c r="A2593" s="5">
        <v>2532</v>
      </c>
      <c r="B2593" s="138">
        <f>'Acct Summary 7-8'!F6</f>
        <v>402910</v>
      </c>
      <c r="C2593" s="2" t="s">
        <v>594</v>
      </c>
      <c r="D2593" s="2" t="str">
        <f t="shared" si="39"/>
        <v>Error?</v>
      </c>
    </row>
    <row r="2594" spans="1:4" x14ac:dyDescent="0.2">
      <c r="A2594" s="5">
        <v>2533</v>
      </c>
      <c r="B2594" s="138">
        <f>'Acct Summary 7-8'!F7</f>
        <v>8275</v>
      </c>
      <c r="C2594" s="2" t="s">
        <v>594</v>
      </c>
      <c r="D2594" s="2" t="str">
        <f t="shared" si="39"/>
        <v>Error?</v>
      </c>
    </row>
    <row r="2595" spans="1:4" x14ac:dyDescent="0.2">
      <c r="A2595" s="5">
        <v>2534</v>
      </c>
      <c r="B2595" s="138">
        <f>'Acct Summary 7-8'!F8</f>
        <v>711705</v>
      </c>
      <c r="C2595" s="2" t="s">
        <v>594</v>
      </c>
      <c r="D2595" s="2" t="str">
        <f t="shared" si="39"/>
        <v>Error?</v>
      </c>
    </row>
    <row r="2596" spans="1:4" x14ac:dyDescent="0.2">
      <c r="A2596" s="5">
        <v>2535</v>
      </c>
      <c r="B2596" s="138">
        <f>'Acct Summary 7-8'!F13</f>
        <v>873292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873292</v>
      </c>
      <c r="C2600" s="2" t="s">
        <v>594</v>
      </c>
      <c r="D2600" s="2" t="str">
        <f t="shared" si="39"/>
        <v>Error?</v>
      </c>
    </row>
    <row r="2601" spans="1:4" x14ac:dyDescent="0.2">
      <c r="A2601" s="5">
        <v>2540</v>
      </c>
      <c r="B2601" s="138">
        <f>'Acct Summary 7-8'!F20</f>
        <v>-161587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288212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288212</v>
      </c>
      <c r="C2606" s="2" t="s">
        <v>594</v>
      </c>
      <c r="D2606" s="2" t="str">
        <f t="shared" si="39"/>
        <v>Error?</v>
      </c>
    </row>
    <row r="2607" spans="1:4" x14ac:dyDescent="0.2">
      <c r="A2607" s="5">
        <v>2546</v>
      </c>
      <c r="B2607" s="138">
        <f>'Acct Summary 7-8'!G12</f>
        <v>127893</v>
      </c>
      <c r="C2607" s="2" t="s">
        <v>594</v>
      </c>
      <c r="D2607" s="2" t="str">
        <f t="shared" si="39"/>
        <v>Error?</v>
      </c>
    </row>
    <row r="2608" spans="1:4" x14ac:dyDescent="0.2">
      <c r="A2608" s="5">
        <v>2547</v>
      </c>
      <c r="B2608" s="138">
        <f>'Acct Summary 7-8'!G13</f>
        <v>154447</v>
      </c>
      <c r="C2608" s="2" t="s">
        <v>594</v>
      </c>
      <c r="D2608" s="2" t="str">
        <f t="shared" si="39"/>
        <v>Error?</v>
      </c>
    </row>
    <row r="2609" spans="1:4" x14ac:dyDescent="0.2">
      <c r="A2609" s="5">
        <v>2548</v>
      </c>
      <c r="B2609" s="138">
        <f>'Acct Summary 7-8'!G14</f>
        <v>284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282624</v>
      </c>
      <c r="C2612" s="2" t="s">
        <v>594</v>
      </c>
      <c r="D2612" s="2" t="str">
        <f t="shared" si="39"/>
        <v>Error?</v>
      </c>
    </row>
    <row r="2613" spans="1:4" x14ac:dyDescent="0.2">
      <c r="A2613" s="5">
        <v>2552</v>
      </c>
      <c r="B2613" s="138">
        <f>'Acct Summary 7-8'!G20</f>
        <v>5588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1254836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1254836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1330425</v>
      </c>
      <c r="C2634" s="2" t="s">
        <v>594</v>
      </c>
      <c r="D2634" s="2" t="str">
        <f t="shared" si="40"/>
        <v>Error?</v>
      </c>
    </row>
    <row r="2635" spans="1:4" x14ac:dyDescent="0.2">
      <c r="A2635" s="5">
        <v>2574</v>
      </c>
      <c r="B2635" s="138">
        <f>'Acct Summary 7-8'!E17</f>
        <v>1330425</v>
      </c>
      <c r="C2635" s="2" t="s">
        <v>594</v>
      </c>
      <c r="D2635" s="2" t="str">
        <f t="shared" si="40"/>
        <v>Error?</v>
      </c>
    </row>
    <row r="2636" spans="1:4" x14ac:dyDescent="0.2">
      <c r="A2636" s="5">
        <v>2575</v>
      </c>
      <c r="B2636" s="138">
        <f>'Acct Summary 7-8'!E20</f>
        <v>-75589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495</v>
      </c>
      <c r="C2789" s="2" t="s">
        <v>594</v>
      </c>
      <c r="D2789" s="2" t="str">
        <f t="shared" si="42"/>
        <v>Error?</v>
      </c>
    </row>
    <row r="2790" spans="1:4" x14ac:dyDescent="0.2">
      <c r="A2790" s="5">
        <v>2729</v>
      </c>
      <c r="B2790" s="138">
        <f>'Expenditures 15-22'!E102</f>
        <v>495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438030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438643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438643</v>
      </c>
      <c r="D2912" s="2" t="str">
        <f t="shared" si="44"/>
        <v>Error?</v>
      </c>
    </row>
    <row r="2913" spans="1:4" x14ac:dyDescent="0.2">
      <c r="A2913" s="5">
        <v>2852</v>
      </c>
      <c r="B2913" s="138">
        <f>'Assets-Liab 5-6'!I41</f>
        <v>438643</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495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172002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31427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172497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31427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199793</v>
      </c>
      <c r="D3055" s="2" t="str">
        <f t="shared" si="46"/>
        <v>Error?</v>
      </c>
    </row>
    <row r="3056" spans="1:4" x14ac:dyDescent="0.2">
      <c r="A3056" s="5">
        <v>2995</v>
      </c>
      <c r="B3056" s="138">
        <f>'Expenditures 15-22'!D10</f>
        <v>61572</v>
      </c>
      <c r="D3056" s="2" t="str">
        <f t="shared" si="46"/>
        <v>Error?</v>
      </c>
    </row>
    <row r="3057" spans="1:4" x14ac:dyDescent="0.2">
      <c r="A3057" s="5">
        <v>2996</v>
      </c>
      <c r="B3057" s="138">
        <f>'Expenditures 15-22'!E10</f>
        <v>82130</v>
      </c>
      <c r="D3057" s="2" t="str">
        <f t="shared" si="46"/>
        <v>Error?</v>
      </c>
    </row>
    <row r="3058" spans="1:4" x14ac:dyDescent="0.2">
      <c r="A3058" s="5">
        <v>2997</v>
      </c>
      <c r="B3058" s="138">
        <f>'Expenditures 15-22'!F10</f>
        <v>45980</v>
      </c>
      <c r="D3058" s="2" t="str">
        <f t="shared" si="46"/>
        <v>Error?</v>
      </c>
    </row>
    <row r="3059" spans="1:4" x14ac:dyDescent="0.2">
      <c r="A3059" s="5">
        <v>2998</v>
      </c>
      <c r="B3059" s="138">
        <f>'Expenditures 15-22'!G10</f>
        <v>10799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400274</v>
      </c>
      <c r="C3062" s="2" t="s">
        <v>594</v>
      </c>
      <c r="D3062" s="2" t="str">
        <f t="shared" si="46"/>
        <v>Error?</v>
      </c>
    </row>
    <row r="3063" spans="1:4" x14ac:dyDescent="0.2">
      <c r="A3063" s="10">
        <v>3002</v>
      </c>
      <c r="D3063" s="2" t="str">
        <f t="shared" si="46"/>
        <v>OK</v>
      </c>
    </row>
    <row r="3064" spans="1:4" x14ac:dyDescent="0.2">
      <c r="A3064" s="5">
        <v>3003</v>
      </c>
      <c r="B3064" s="138">
        <f>'Expenditures 15-22'!D219</f>
        <v>13883</v>
      </c>
      <c r="D3064" s="2" t="str">
        <f t="shared" si="46"/>
        <v>Error?</v>
      </c>
    </row>
    <row r="3065" spans="1:4" x14ac:dyDescent="0.2">
      <c r="A3065" s="5">
        <v>3004</v>
      </c>
      <c r="B3065" s="138">
        <f>'Expenditures 15-22'!K219</f>
        <v>13883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55461</v>
      </c>
      <c r="C3225" s="2" t="s">
        <v>594</v>
      </c>
      <c r="D3225" s="2" t="str">
        <f t="shared" si="49"/>
        <v>Error?</v>
      </c>
    </row>
    <row r="3226" spans="1:4" x14ac:dyDescent="0.2">
      <c r="A3226" s="5">
        <v>3165</v>
      </c>
      <c r="B3226" s="138">
        <f>'Acct Summary 7-8'!I8</f>
        <v>55461</v>
      </c>
      <c r="C3226" s="2" t="s">
        <v>594</v>
      </c>
      <c r="D3226" s="2" t="str">
        <f t="shared" si="49"/>
        <v>Error?</v>
      </c>
    </row>
    <row r="3227" spans="1:4" x14ac:dyDescent="0.2">
      <c r="A3227" s="5">
        <v>3166</v>
      </c>
      <c r="B3227" s="138">
        <f>'Acct Summary 7-8'!I20</f>
        <v>55461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322974</v>
      </c>
      <c r="C3231" s="2" t="s">
        <v>594</v>
      </c>
      <c r="D3231" s="2" t="str">
        <f t="shared" si="49"/>
        <v>Error?</v>
      </c>
    </row>
    <row r="3232" spans="1:4" x14ac:dyDescent="0.2">
      <c r="A3232" s="5">
        <v>3171</v>
      </c>
      <c r="B3232" s="138">
        <f>'Acct Summary 7-8'!C77</f>
        <v>-322974</v>
      </c>
      <c r="C3232" s="2" t="s">
        <v>594</v>
      </c>
      <c r="D3232" s="2" t="str">
        <f t="shared" si="49"/>
        <v>Error?</v>
      </c>
    </row>
    <row r="3233" spans="1:4" x14ac:dyDescent="0.2">
      <c r="A3233" s="5">
        <v>3172</v>
      </c>
      <c r="B3233" s="138">
        <f>'Acct Summary 7-8'!C78</f>
        <v>1037769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55022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275000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275000</v>
      </c>
      <c r="C3255" s="2" t="s">
        <v>594</v>
      </c>
      <c r="D3255" s="2" t="str">
        <f t="shared" si="49"/>
        <v>Error?</v>
      </c>
    </row>
    <row r="3256" spans="1:4" x14ac:dyDescent="0.2">
      <c r="A3256" s="5">
        <v>3195</v>
      </c>
      <c r="B3256" s="138">
        <f>'Acct Summary 7-8'!F78</f>
        <v>113413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5588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47974</v>
      </c>
      <c r="D3273" s="2" t="str">
        <f t="shared" si="50"/>
        <v>Error?</v>
      </c>
    </row>
    <row r="3274" spans="1:4" x14ac:dyDescent="0.2">
      <c r="A3274" s="5">
        <v>3213</v>
      </c>
      <c r="B3274" s="138">
        <f>'Acct Summary 7-8'!E44</f>
        <v>47974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47974</v>
      </c>
      <c r="C3277" s="2" t="s">
        <v>594</v>
      </c>
      <c r="D3277" s="2" t="str">
        <f t="shared" si="50"/>
        <v>Error?</v>
      </c>
    </row>
    <row r="3278" spans="1:4" x14ac:dyDescent="0.2">
      <c r="A3278" s="5">
        <v>3217</v>
      </c>
      <c r="B3278" s="138">
        <f>'Acct Summary 7-8'!E78</f>
        <v>-27615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55461</v>
      </c>
      <c r="C3320" s="2" t="s">
        <v>594</v>
      </c>
      <c r="D3320" s="2" t="str">
        <f t="shared" si="50"/>
        <v>Error?</v>
      </c>
    </row>
    <row r="3321" spans="1:4" x14ac:dyDescent="0.2">
      <c r="A3321" s="5">
        <v>3260</v>
      </c>
      <c r="B3321" s="138">
        <f>'Acct Summary 7-8'!I79</f>
        <v>383182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438643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1068480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336758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42972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23977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2182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1474369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43048</v>
      </c>
      <c r="D3387" s="2" t="str">
        <f t="shared" si="51"/>
        <v>Error?</v>
      </c>
    </row>
    <row r="3388" spans="1:4" x14ac:dyDescent="0.2">
      <c r="A3388" s="5">
        <v>3327</v>
      </c>
      <c r="B3388" s="138">
        <f>'Expenditures 15-22'!D217</f>
        <v>53696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43048</v>
      </c>
      <c r="C3390" s="2" t="s">
        <v>594</v>
      </c>
      <c r="D3390" s="2" t="str">
        <f t="shared" si="51"/>
        <v>Error?</v>
      </c>
    </row>
    <row r="3391" spans="1:4" x14ac:dyDescent="0.2">
      <c r="A3391" s="5">
        <v>3330</v>
      </c>
      <c r="B3391" s="138">
        <f>'Expenditures 15-22'!K217</f>
        <v>53696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745713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1974</v>
      </c>
      <c r="D3417" s="2" t="str">
        <f t="shared" si="52"/>
        <v>Error?</v>
      </c>
    </row>
    <row r="3418" spans="1:4" x14ac:dyDescent="0.2">
      <c r="A3418" s="10">
        <v>3357</v>
      </c>
      <c r="D3418" s="2" t="str">
        <f t="shared" si="52"/>
        <v>OK</v>
      </c>
    </row>
    <row r="3419" spans="1:4" x14ac:dyDescent="0.2">
      <c r="A3419" s="5">
        <v>3358</v>
      </c>
      <c r="B3419" s="138">
        <f>'Assets-Liab 5-6'!F4</f>
        <v>156302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94858</v>
      </c>
      <c r="C3446" s="2" t="s">
        <v>594</v>
      </c>
      <c r="D3446" s="2" t="str">
        <f t="shared" si="52"/>
        <v>Error?</v>
      </c>
    </row>
    <row r="3447" spans="1:4" x14ac:dyDescent="0.2">
      <c r="A3447" s="5">
        <v>3386</v>
      </c>
      <c r="B3447" s="138">
        <f>'Tax Sched 23'!D16</f>
        <v>94858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103097</v>
      </c>
      <c r="C3449" s="2" t="s">
        <v>594</v>
      </c>
      <c r="D3449" s="2" t="str">
        <f t="shared" si="52"/>
        <v>Error?</v>
      </c>
    </row>
    <row r="3450" spans="1:4" x14ac:dyDescent="0.2">
      <c r="A3450" s="5">
        <v>3389</v>
      </c>
      <c r="B3450" s="138">
        <f>'Tax Sched 23'!E16</f>
        <v>103097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83896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692986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776882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776882</v>
      </c>
      <c r="D3567" s="2" t="str">
        <f t="shared" si="54"/>
        <v>Error?</v>
      </c>
    </row>
    <row r="3568" spans="1:4" x14ac:dyDescent="0.2">
      <c r="A3568" s="5">
        <v>3507</v>
      </c>
      <c r="B3568" s="138">
        <f>'Assets-Liab 5-6'!K41</f>
        <v>776882</v>
      </c>
      <c r="C3568" s="2" t="s">
        <v>594</v>
      </c>
      <c r="D3568" s="2" t="str">
        <f t="shared" si="54"/>
        <v>Error?</v>
      </c>
    </row>
    <row r="3569" spans="1:4" x14ac:dyDescent="0.2">
      <c r="A3569" s="5">
        <v>3508</v>
      </c>
      <c r="B3569" s="138">
        <f>'Acct Summary 7-8'!K4</f>
        <v>66815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66815</v>
      </c>
      <c r="C3571" s="2" t="s">
        <v>594</v>
      </c>
      <c r="D3571" s="2" t="str">
        <f t="shared" si="54"/>
        <v>Error?</v>
      </c>
    </row>
    <row r="3572" spans="1:4" x14ac:dyDescent="0.2">
      <c r="A3572" s="5">
        <v>3511</v>
      </c>
      <c r="B3572" s="138">
        <f>'Acct Summary 7-8'!K13</f>
        <v>36250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36250</v>
      </c>
      <c r="C3575" s="2" t="s">
        <v>594</v>
      </c>
      <c r="D3575" s="2" t="str">
        <f t="shared" si="54"/>
        <v>Error?</v>
      </c>
    </row>
    <row r="3576" spans="1:4" x14ac:dyDescent="0.2">
      <c r="A3576" s="5">
        <v>3515</v>
      </c>
      <c r="B3576" s="138">
        <f>'Acct Summary 7-8'!K20</f>
        <v>30565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30565</v>
      </c>
      <c r="C3588" s="2" t="s">
        <v>594</v>
      </c>
      <c r="D3588" s="2" t="str">
        <f t="shared" si="55"/>
        <v>Error?</v>
      </c>
    </row>
    <row r="3589" spans="1:4" x14ac:dyDescent="0.2">
      <c r="A3589" s="5">
        <v>3528</v>
      </c>
      <c r="B3589" s="138">
        <f>'Acct Summary 7-8'!K79</f>
        <v>746317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776882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36250</v>
      </c>
      <c r="D3632" s="2" t="str">
        <f t="shared" si="55"/>
        <v>Error?</v>
      </c>
    </row>
    <row r="3633" spans="1:4" x14ac:dyDescent="0.2">
      <c r="A3633" s="5">
        <v>3572</v>
      </c>
      <c r="B3633" s="138">
        <f>'Expenditures 15-22'!E350</f>
        <v>36250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36250</v>
      </c>
      <c r="C3635" s="2" t="s">
        <v>594</v>
      </c>
      <c r="D3635" s="2" t="str">
        <f t="shared" si="55"/>
        <v>Error?</v>
      </c>
    </row>
    <row r="3636" spans="1:4" x14ac:dyDescent="0.2">
      <c r="A3636" s="5">
        <v>3575</v>
      </c>
      <c r="B3636" s="138">
        <f>'Expenditures 15-22'!E367</f>
        <v>36250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36250</v>
      </c>
      <c r="C3669" s="2" t="s">
        <v>594</v>
      </c>
      <c r="D3669" s="2" t="str">
        <f t="shared" si="56"/>
        <v>Error?</v>
      </c>
    </row>
    <row r="3670" spans="1:4" x14ac:dyDescent="0.2">
      <c r="A3670" s="5">
        <v>3609</v>
      </c>
      <c r="B3670" s="138">
        <f>'Expenditures 15-22'!K350</f>
        <v>36250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36250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36250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30565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244385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3582164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14742222</v>
      </c>
      <c r="C4122" s="2" t="s">
        <v>594</v>
      </c>
      <c r="D4122" s="2" t="str">
        <f t="shared" si="63"/>
        <v>Error?</v>
      </c>
    </row>
    <row r="4123" spans="1:4" x14ac:dyDescent="0.2">
      <c r="A4123" s="5">
        <v>4062</v>
      </c>
      <c r="B4123" s="138">
        <f>'Acct Summary 7-8'!D10</f>
        <v>534096</v>
      </c>
      <c r="C4123" s="2" t="s">
        <v>594</v>
      </c>
      <c r="D4123" s="2" t="str">
        <f t="shared" si="63"/>
        <v>Error?</v>
      </c>
    </row>
    <row r="4124" spans="1:4" x14ac:dyDescent="0.2">
      <c r="A4124" s="5">
        <v>4063</v>
      </c>
      <c r="B4124" s="138">
        <f>'Acct Summary 7-8'!E10</f>
        <v>1254836</v>
      </c>
      <c r="C4124" s="2" t="s">
        <v>594</v>
      </c>
      <c r="D4124" s="2" t="str">
        <f t="shared" si="63"/>
        <v>Error?</v>
      </c>
    </row>
    <row r="4125" spans="1:4" x14ac:dyDescent="0.2">
      <c r="A4125" s="5">
        <v>4064</v>
      </c>
      <c r="B4125" s="138">
        <f>'Acct Summary 7-8'!F10</f>
        <v>711705</v>
      </c>
      <c r="C4125" s="2" t="s">
        <v>594</v>
      </c>
      <c r="D4125" s="2" t="str">
        <f t="shared" si="63"/>
        <v>Error?</v>
      </c>
    </row>
    <row r="4126" spans="1:4" x14ac:dyDescent="0.2">
      <c r="A4126" s="5">
        <v>4065</v>
      </c>
      <c r="B4126" s="138">
        <f>'Acct Summary 7-8'!G10</f>
        <v>288212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55461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66815</v>
      </c>
      <c r="C4130" s="2" t="s">
        <v>594</v>
      </c>
      <c r="D4130" s="2" t="str">
        <f t="shared" si="63"/>
        <v>Error?</v>
      </c>
    </row>
    <row r="4131" spans="1:4" x14ac:dyDescent="0.2">
      <c r="A4131" s="5">
        <v>4070</v>
      </c>
      <c r="B4131" s="138">
        <f>'Acct Summary 7-8'!C18</f>
        <v>3582164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13381479</v>
      </c>
      <c r="C4136" s="2" t="s">
        <v>594</v>
      </c>
      <c r="D4136" s="2" t="str">
        <f t="shared" si="63"/>
        <v>Error?</v>
      </c>
    </row>
    <row r="4137" spans="1:4" x14ac:dyDescent="0.2">
      <c r="A4137" s="5">
        <v>4076</v>
      </c>
      <c r="B4137" s="138">
        <f>'Acct Summary 7-8'!D19</f>
        <v>479074</v>
      </c>
      <c r="C4137" s="2" t="s">
        <v>594</v>
      </c>
      <c r="D4137" s="2" t="str">
        <f t="shared" si="63"/>
        <v>Error?</v>
      </c>
    </row>
    <row r="4138" spans="1:4" x14ac:dyDescent="0.2">
      <c r="A4138" s="5">
        <v>4077</v>
      </c>
      <c r="B4138" s="138">
        <f>'Acct Summary 7-8'!E19</f>
        <v>1330425</v>
      </c>
      <c r="C4138" s="2" t="s">
        <v>594</v>
      </c>
      <c r="D4138" s="2" t="str">
        <f t="shared" si="63"/>
        <v>Error?</v>
      </c>
    </row>
    <row r="4139" spans="1:4" x14ac:dyDescent="0.2">
      <c r="A4139" s="5">
        <v>4078</v>
      </c>
      <c r="B4139" s="138">
        <f>'Acct Summary 7-8'!F19</f>
        <v>873292</v>
      </c>
      <c r="C4139" s="2" t="s">
        <v>594</v>
      </c>
      <c r="D4139" s="2" t="str">
        <f t="shared" si="63"/>
        <v>Error?</v>
      </c>
    </row>
    <row r="4140" spans="1:4" x14ac:dyDescent="0.2">
      <c r="A4140" s="5">
        <v>4079</v>
      </c>
      <c r="B4140" s="138">
        <f>'Acct Summary 7-8'!G19</f>
        <v>282624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36250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10798748</v>
      </c>
      <c r="C4171" s="2" t="s">
        <v>594</v>
      </c>
      <c r="D4171" s="2" t="str">
        <f t="shared" si="64"/>
        <v>Error?</v>
      </c>
    </row>
    <row r="4172" spans="1:4" x14ac:dyDescent="0.2">
      <c r="A4172" s="5">
        <v>4111</v>
      </c>
      <c r="B4172" s="138">
        <f>'Short-Term Long-Term Debt 24'!J49</f>
        <v>10794274</v>
      </c>
      <c r="C4172" s="2" t="s">
        <v>594</v>
      </c>
      <c r="D4172" s="2" t="str">
        <f t="shared" si="64"/>
        <v>Error?</v>
      </c>
    </row>
    <row r="4173" spans="1:4" x14ac:dyDescent="0.2">
      <c r="A4173" s="5">
        <v>4112</v>
      </c>
      <c r="B4173" s="138">
        <f>'Short-Term Long-Term Debt 24'!H49</f>
        <v>826796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2799.3</v>
      </c>
      <c r="C4265" s="2" t="s">
        <v>594</v>
      </c>
      <c r="D4265" s="2" t="str">
        <f t="shared" si="65"/>
        <v>Error?</v>
      </c>
      <c r="E4265" s="128"/>
    </row>
    <row r="4266" spans="1:5" x14ac:dyDescent="0.2">
      <c r="A4266" s="12">
        <v>4205</v>
      </c>
      <c r="B4266" s="138">
        <f>('FP Info 3'!F10)*100000</f>
        <v>455</v>
      </c>
      <c r="C4266" s="2" t="s">
        <v>594</v>
      </c>
      <c r="D4266" s="2" t="str">
        <f t="shared" si="65"/>
        <v>Error?</v>
      </c>
      <c r="E4266" s="128"/>
    </row>
    <row r="4267" spans="1:5" x14ac:dyDescent="0.2">
      <c r="A4267" s="12">
        <v>4206</v>
      </c>
      <c r="B4267" s="138">
        <f>('FP Info 3'!H10)*100000</f>
        <v>288.7</v>
      </c>
      <c r="C4267" s="2" t="s">
        <v>594</v>
      </c>
      <c r="D4267" s="2" t="str">
        <f t="shared" si="65"/>
        <v>Error?</v>
      </c>
      <c r="E4267" s="128"/>
    </row>
    <row r="4268" spans="1:5" x14ac:dyDescent="0.2">
      <c r="A4268" s="12">
        <v>4207</v>
      </c>
      <c r="B4268" s="138">
        <f>('FP Info 3'!J10)*100000</f>
        <v>3543.0000000000005</v>
      </c>
      <c r="C4268" s="2" t="s">
        <v>594</v>
      </c>
      <c r="D4268" s="2" t="str">
        <f t="shared" si="65"/>
        <v>Error?</v>
      </c>
    </row>
    <row r="4269" spans="1:5" x14ac:dyDescent="0.2">
      <c r="A4269" s="12">
        <v>4208</v>
      </c>
      <c r="B4269" s="138">
        <f>'FP Info 3'!J16</f>
        <v>2627195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27643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48895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10605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75382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42.3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89276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117022533</v>
      </c>
      <c r="D4995" s="2" t="str">
        <f t="shared" si="77"/>
        <v>Error?</v>
      </c>
    </row>
    <row r="4996" spans="1:4" x14ac:dyDescent="0.2">
      <c r="A4996" s="12">
        <v>4935</v>
      </c>
      <c r="B4996" s="138">
        <f>'FP Info 3'!H31</f>
        <v>16149109.554000001</v>
      </c>
      <c r="D4996" s="2" t="str">
        <f t="shared" si="77"/>
        <v>Error?</v>
      </c>
    </row>
    <row r="4997" spans="1:4" x14ac:dyDescent="0.2">
      <c r="A4997" s="12">
        <v>4936</v>
      </c>
      <c r="B4997" s="138">
        <f>'FP Info 3'!H37</f>
        <v>10798748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275000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275000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3117835</v>
      </c>
      <c r="D5061" s="2" t="str">
        <f t="shared" si="78"/>
        <v>Error?</v>
      </c>
    </row>
    <row r="5062" spans="1:4" x14ac:dyDescent="0.2">
      <c r="A5062" s="10">
        <v>5001</v>
      </c>
      <c r="D5062" s="2" t="str">
        <f t="shared" si="78"/>
        <v>OK</v>
      </c>
    </row>
    <row r="5063" spans="1:4" x14ac:dyDescent="0.2">
      <c r="A5063" s="5">
        <v>5002</v>
      </c>
      <c r="B5063" s="138">
        <f>'Revenues 9-14'!C7</f>
        <v>90385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3208220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98331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98331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24441</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24441</v>
      </c>
      <c r="C5087" s="2" t="s">
        <v>594</v>
      </c>
      <c r="D5087" s="2" t="str">
        <f t="shared" si="78"/>
        <v>Error?</v>
      </c>
    </row>
    <row r="5088" spans="1:4" x14ac:dyDescent="0.2">
      <c r="A5088" s="5">
        <v>5027</v>
      </c>
      <c r="B5088" s="138">
        <f>'Revenues 9-14'!C65</f>
        <v>13457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13457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71713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4036</v>
      </c>
      <c r="D5094" s="2" t="str">
        <f t="shared" si="78"/>
        <v>Error?</v>
      </c>
    </row>
    <row r="5095" spans="1:4" x14ac:dyDescent="0.2">
      <c r="A5095" s="5">
        <v>5034</v>
      </c>
      <c r="B5095" s="138">
        <f>'Revenues 9-14'!C74</f>
        <v>5779</v>
      </c>
      <c r="D5095" s="2" t="str">
        <f t="shared" si="78"/>
        <v>Error?</v>
      </c>
    </row>
    <row r="5096" spans="1:4" x14ac:dyDescent="0.2">
      <c r="A5096" s="5">
        <v>5035</v>
      </c>
      <c r="B5096" s="138">
        <f>'Revenues 9-14'!C75</f>
        <v>147310</v>
      </c>
      <c r="C5096" s="2" t="s">
        <v>594</v>
      </c>
      <c r="D5096" s="2" t="str">
        <f t="shared" si="78"/>
        <v>Error?</v>
      </c>
    </row>
    <row r="5097" spans="1:4" x14ac:dyDescent="0.2">
      <c r="A5097" s="5">
        <v>5036</v>
      </c>
      <c r="B5097" s="138">
        <f>'Revenues 9-14'!C77</f>
        <v>16029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102931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118960</v>
      </c>
      <c r="C5102" s="2" t="s">
        <v>594</v>
      </c>
      <c r="D5102" s="2" t="str">
        <f t="shared" si="78"/>
        <v>Error?</v>
      </c>
    </row>
    <row r="5103" spans="1:4" x14ac:dyDescent="0.2">
      <c r="A5103" s="5">
        <v>5042</v>
      </c>
      <c r="B5103" s="138">
        <f>'Revenues 9-14'!C84</f>
        <v>17809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17809</v>
      </c>
      <c r="C5112" s="2" t="s">
        <v>594</v>
      </c>
      <c r="D5112" s="2" t="str">
        <f t="shared" si="78"/>
        <v>Error?</v>
      </c>
    </row>
    <row r="5113" spans="1:4" x14ac:dyDescent="0.2">
      <c r="A5113" s="5">
        <v>5052</v>
      </c>
      <c r="B5113" s="138">
        <f>'Revenues 9-14'!C95</f>
        <v>50</v>
      </c>
      <c r="D5113" s="2" t="str">
        <f t="shared" si="78"/>
        <v>Error?</v>
      </c>
    </row>
    <row r="5114" spans="1:4" x14ac:dyDescent="0.2">
      <c r="A5114" s="5">
        <v>5053</v>
      </c>
      <c r="B5114" s="138">
        <f>'Revenues 9-14'!C96</f>
        <v>47814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7103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570</v>
      </c>
      <c r="D5118" s="2" t="str">
        <f t="shared" si="78"/>
        <v>Error?</v>
      </c>
    </row>
    <row r="5119" spans="1:4" x14ac:dyDescent="0.2">
      <c r="A5119" s="5">
        <v>5058</v>
      </c>
      <c r="B5119" s="138">
        <f>'Revenues 9-14'!C107</f>
        <v>18452</v>
      </c>
      <c r="D5119" s="2" t="str">
        <f t="shared" ref="D5119:D5182" si="79">IF(ISBLANK(B5119),"OK",IF(A5119-B5119=0,"OK","Error?"))</f>
        <v>Error?</v>
      </c>
    </row>
    <row r="5120" spans="1:4" x14ac:dyDescent="0.2">
      <c r="A5120" s="5">
        <v>5059</v>
      </c>
      <c r="B5120" s="138">
        <f>'Revenues 9-14'!C108</f>
        <v>179505</v>
      </c>
      <c r="C5120" s="2" t="s">
        <v>594</v>
      </c>
      <c r="D5120" s="2" t="str">
        <f t="shared" si="79"/>
        <v>Error?</v>
      </c>
    </row>
    <row r="5121" spans="1:4" x14ac:dyDescent="0.2">
      <c r="A5121" s="5">
        <v>5060</v>
      </c>
      <c r="B5121" s="138">
        <f>'Revenues 9-14'!C109</f>
        <v>3808033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4706057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4706057</v>
      </c>
      <c r="C5132" s="2" t="s">
        <v>594</v>
      </c>
      <c r="D5132" s="2" t="str">
        <f t="shared" si="79"/>
        <v>Error?</v>
      </c>
    </row>
    <row r="5133" spans="1:4" x14ac:dyDescent="0.2">
      <c r="A5133" s="5">
        <v>5072</v>
      </c>
      <c r="B5133" s="138">
        <f>'Revenues 9-14'!C124</f>
        <v>345439</v>
      </c>
      <c r="D5133" s="2" t="str">
        <f t="shared" si="79"/>
        <v>Error?</v>
      </c>
    </row>
    <row r="5134" spans="1:4" x14ac:dyDescent="0.2">
      <c r="A5134" s="5">
        <v>5073</v>
      </c>
      <c r="B5134" s="138">
        <f>'Revenues 9-14'!C125</f>
        <v>78775</v>
      </c>
      <c r="D5134" s="2" t="str">
        <f t="shared" si="79"/>
        <v>Error?</v>
      </c>
    </row>
    <row r="5135" spans="1:4" x14ac:dyDescent="0.2">
      <c r="A5135" s="5">
        <v>5074</v>
      </c>
      <c r="B5135" s="138">
        <f>'Revenues 9-14'!C126</f>
        <v>118332</v>
      </c>
      <c r="D5135" s="2" t="str">
        <f t="shared" si="79"/>
        <v>Error?</v>
      </c>
    </row>
    <row r="5136" spans="1:4" x14ac:dyDescent="0.2">
      <c r="A5136" s="10">
        <v>5075</v>
      </c>
      <c r="D5136" s="2" t="str">
        <f t="shared" si="79"/>
        <v>OK</v>
      </c>
    </row>
    <row r="5137" spans="1:4" x14ac:dyDescent="0.2">
      <c r="A5137" s="5">
        <v>5076</v>
      </c>
      <c r="B5137" s="138">
        <f>'Revenues 9-14'!C127</f>
        <v>259153</v>
      </c>
      <c r="D5137" s="2" t="str">
        <f t="shared" si="79"/>
        <v>Error?</v>
      </c>
    </row>
    <row r="5138" spans="1:4" x14ac:dyDescent="0.2">
      <c r="A5138" s="10">
        <v>5077</v>
      </c>
      <c r="D5138" s="2" t="str">
        <f t="shared" si="79"/>
        <v>OK</v>
      </c>
    </row>
    <row r="5139" spans="1:4" x14ac:dyDescent="0.2">
      <c r="A5139" s="5">
        <v>5078</v>
      </c>
      <c r="B5139" s="138">
        <f>'Revenues 9-14'!C128</f>
        <v>14195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7052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822946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841</v>
      </c>
      <c r="C5161" s="2" t="s">
        <v>594</v>
      </c>
      <c r="D5161" s="2" t="str">
        <f t="shared" si="79"/>
        <v>Error?</v>
      </c>
    </row>
    <row r="5162" spans="1:4" x14ac:dyDescent="0.2">
      <c r="A5162" s="10">
        <v>5101</v>
      </c>
      <c r="D5162" s="2" t="str">
        <f t="shared" si="79"/>
        <v>OK</v>
      </c>
    </row>
    <row r="5163" spans="1:4" x14ac:dyDescent="0.2">
      <c r="A5163" s="5">
        <v>5102</v>
      </c>
      <c r="B5163" s="138">
        <f>'Revenues 9-14'!C142</f>
        <v>37380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37380</v>
      </c>
      <c r="C5165" s="2" t="s">
        <v>594</v>
      </c>
      <c r="D5165" s="2" t="str">
        <f t="shared" si="79"/>
        <v>Error?</v>
      </c>
    </row>
    <row r="5166" spans="1:4" x14ac:dyDescent="0.2">
      <c r="A5166" s="10">
        <v>5105</v>
      </c>
      <c r="D5166" s="2" t="str">
        <f t="shared" si="79"/>
        <v>OK</v>
      </c>
    </row>
    <row r="5167" spans="1:4" x14ac:dyDescent="0.2">
      <c r="A5167" s="5">
        <v>5106</v>
      </c>
      <c r="B5167" s="138">
        <f>'Revenues 9-14'!C145</f>
        <v>4906</v>
      </c>
      <c r="D5167" s="2" t="str">
        <f t="shared" si="79"/>
        <v>Error?</v>
      </c>
    </row>
    <row r="5168" spans="1:4" x14ac:dyDescent="0.2">
      <c r="A5168" s="5">
        <v>5107</v>
      </c>
      <c r="B5168" s="138">
        <f>'Revenues 9-14'!C147</f>
        <v>12590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372445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1251108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5957165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264996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59472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324468</v>
      </c>
      <c r="C5246" s="2" t="s">
        <v>594</v>
      </c>
      <c r="D5246" s="2" t="str">
        <f t="shared" si="80"/>
        <v>Error?</v>
      </c>
    </row>
    <row r="5247" spans="1:4" x14ac:dyDescent="0.2">
      <c r="A5247" s="5">
        <v>5186</v>
      </c>
      <c r="B5247" s="138">
        <f>'Revenues 9-14'!C203</f>
        <v>447856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447856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2948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283263</v>
      </c>
      <c r="D5278" s="2" t="str">
        <f t="shared" si="81"/>
        <v>Error?</v>
      </c>
    </row>
    <row r="5279" spans="1:4" x14ac:dyDescent="0.2">
      <c r="A5279" s="5">
        <v>5218</v>
      </c>
      <c r="B5279" s="138">
        <f>'Revenues 9-14'!C221</f>
        <v>173800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460011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1394860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1394860</v>
      </c>
      <c r="C5326" s="2" t="s">
        <v>594</v>
      </c>
      <c r="D5326" s="2" t="str">
        <f t="shared" si="82"/>
        <v>Error?</v>
      </c>
    </row>
    <row r="5327" spans="1:4" x14ac:dyDescent="0.2">
      <c r="A5327" s="5">
        <v>5266</v>
      </c>
      <c r="B5327" s="138">
        <f>'Revenues 9-14'!C275</f>
        <v>11160058</v>
      </c>
      <c r="C5327" s="2" t="s">
        <v>594</v>
      </c>
      <c r="D5327" s="2" t="str">
        <f t="shared" si="82"/>
        <v>Error?</v>
      </c>
    </row>
    <row r="5328" spans="1:4" x14ac:dyDescent="0.2">
      <c r="A5328" s="5">
        <v>5267</v>
      </c>
      <c r="B5328" s="138">
        <f>'Revenues 9-14'!D5</f>
        <v>529331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529331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4765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4765</v>
      </c>
      <c r="C5355" s="2" t="s">
        <v>594</v>
      </c>
      <c r="D5355" s="2" t="str">
        <f t="shared" si="82"/>
        <v>Error?</v>
      </c>
    </row>
    <row r="5356" spans="1:4" x14ac:dyDescent="0.2">
      <c r="A5356" s="5">
        <v>5295</v>
      </c>
      <c r="B5356" s="138">
        <f>'Revenues 9-14'!D109</f>
        <v>534096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534096</v>
      </c>
      <c r="C5508" s="2" t="s">
        <v>594</v>
      </c>
      <c r="D5508" s="2" t="str">
        <f t="shared" si="85"/>
        <v>Error?</v>
      </c>
    </row>
    <row r="5509" spans="1:4" x14ac:dyDescent="0.2">
      <c r="A5509" s="5">
        <v>5448</v>
      </c>
      <c r="B5509" s="138">
        <f>'Revenues 9-14'!E5</f>
        <v>1252862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1252862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1974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1254836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1254836</v>
      </c>
      <c r="C5552" s="2" t="s">
        <v>594</v>
      </c>
      <c r="D5552" s="2" t="str">
        <f t="shared" si="85"/>
        <v>Error?</v>
      </c>
    </row>
    <row r="5553" spans="1:4" x14ac:dyDescent="0.2">
      <c r="A5553" s="5">
        <v>5492</v>
      </c>
      <c r="B5553" s="138">
        <f>'Revenues 9-14'!F5</f>
        <v>299903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299903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617</v>
      </c>
      <c r="D5586" s="2" t="str">
        <f t="shared" si="86"/>
        <v>Error?</v>
      </c>
    </row>
    <row r="5587" spans="1:4" x14ac:dyDescent="0.2">
      <c r="A5587" s="5">
        <v>5526</v>
      </c>
      <c r="B5587" s="138">
        <f>'Revenues 9-14'!F108</f>
        <v>617</v>
      </c>
      <c r="C5587" s="2" t="s">
        <v>594</v>
      </c>
      <c r="D5587" s="2" t="str">
        <f t="shared" si="86"/>
        <v>Error?</v>
      </c>
    </row>
    <row r="5588" spans="1:4" x14ac:dyDescent="0.2">
      <c r="A5588" s="5">
        <v>5527</v>
      </c>
      <c r="B5588" s="138">
        <f>'Revenues 9-14'!F109</f>
        <v>300520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303037</v>
      </c>
      <c r="D5615" s="2" t="str">
        <f t="shared" si="86"/>
        <v>Error?</v>
      </c>
    </row>
    <row r="5616" spans="1:4" x14ac:dyDescent="0.2">
      <c r="A5616" s="10">
        <v>5555</v>
      </c>
      <c r="D5616" s="2" t="str">
        <f t="shared" si="86"/>
        <v>OK</v>
      </c>
    </row>
    <row r="5617" spans="1:4" x14ac:dyDescent="0.2">
      <c r="A5617" s="5">
        <v>5556</v>
      </c>
      <c r="B5617" s="138">
        <f>'Revenues 9-14'!F152</f>
        <v>60318</v>
      </c>
      <c r="D5617" s="2" t="str">
        <f t="shared" si="86"/>
        <v>Error?</v>
      </c>
    </row>
    <row r="5618" spans="1:4" x14ac:dyDescent="0.2">
      <c r="A5618" s="5">
        <v>5557</v>
      </c>
      <c r="B5618" s="138">
        <f>'Revenues 9-14'!F154</f>
        <v>363355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39555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402910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402910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8275</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8275</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8275</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8275</v>
      </c>
      <c r="C5719" s="2" t="s">
        <v>594</v>
      </c>
      <c r="D5719" s="2" t="str">
        <f t="shared" si="88"/>
        <v>Error?</v>
      </c>
    </row>
    <row r="5720" spans="1:4" x14ac:dyDescent="0.2">
      <c r="A5720" s="5">
        <v>5659</v>
      </c>
      <c r="B5720" s="138">
        <f>'Revenues 9-14'!F275</f>
        <v>711705</v>
      </c>
      <c r="C5720" s="2" t="s">
        <v>594</v>
      </c>
      <c r="D5720" s="2" t="str">
        <f t="shared" si="88"/>
        <v>Error?</v>
      </c>
    </row>
    <row r="5721" spans="1:4" x14ac:dyDescent="0.2">
      <c r="A5721" s="5">
        <v>5660</v>
      </c>
      <c r="B5721" s="138">
        <f>'Revenues 9-14'!G5</f>
        <v>103597</v>
      </c>
      <c r="D5721" s="2" t="str">
        <f t="shared" si="88"/>
        <v>Error?</v>
      </c>
    </row>
    <row r="5722" spans="1:4" x14ac:dyDescent="0.2">
      <c r="A5722" s="5">
        <v>5661</v>
      </c>
      <c r="B5722" s="138">
        <f>'Revenues 9-14'!G7</f>
        <v>0</v>
      </c>
      <c r="D5722" s="2" t="str">
        <f t="shared" si="88"/>
        <v>Error?</v>
      </c>
    </row>
    <row r="5723" spans="1:4" x14ac:dyDescent="0.2">
      <c r="A5723" s="5">
        <v>5662</v>
      </c>
      <c r="B5723" s="138">
        <f>'Revenues 9-14'!G8</f>
        <v>94858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198455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89757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89757</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288212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49106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49106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6355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6355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55461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64771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64771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2044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2044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66815</v>
      </c>
      <c r="C6023" s="2" t="s">
        <v>594</v>
      </c>
      <c r="D6023" s="2" t="str">
        <f t="shared" si="93"/>
        <v>Error?</v>
      </c>
    </row>
    <row r="6024" spans="1:5" x14ac:dyDescent="0.2">
      <c r="A6024" s="5">
        <v>5963</v>
      </c>
      <c r="B6024" s="138">
        <f>'Revenues 9-14'!G109</f>
        <v>288212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55461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66815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65782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39336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926.05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73046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73046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73046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73046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73046</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47974</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1037769</v>
      </c>
      <c r="D6267" s="2" t="str">
        <f t="shared" si="96"/>
        <v>Error?</v>
      </c>
      <c r="E6267" s="2" t="s">
        <v>199</v>
      </c>
    </row>
    <row r="6268" spans="1:5" x14ac:dyDescent="0.2">
      <c r="A6268">
        <v>6207</v>
      </c>
      <c r="B6268" s="138">
        <f>'Acct Summary 7-8'!D82</f>
        <v>55022</v>
      </c>
      <c r="D6268" s="2" t="str">
        <f t="shared" si="96"/>
        <v>Error?</v>
      </c>
      <c r="E6268" s="2" t="s">
        <v>199</v>
      </c>
    </row>
    <row r="6269" spans="1:5" x14ac:dyDescent="0.2">
      <c r="A6269">
        <v>6208</v>
      </c>
      <c r="B6269" s="138">
        <f>'Acct Summary 7-8'!E82</f>
        <v>-27615</v>
      </c>
      <c r="D6269" s="2" t="str">
        <f t="shared" si="96"/>
        <v>Error?</v>
      </c>
      <c r="E6269" s="2" t="s">
        <v>199</v>
      </c>
    </row>
    <row r="6270" spans="1:5" x14ac:dyDescent="0.2">
      <c r="A6270">
        <v>6209</v>
      </c>
      <c r="B6270" s="138">
        <f>'Acct Summary 7-8'!F82</f>
        <v>113413</v>
      </c>
      <c r="D6270" s="2" t="str">
        <f t="shared" si="96"/>
        <v>Error?</v>
      </c>
      <c r="E6270" s="2" t="s">
        <v>199</v>
      </c>
    </row>
    <row r="6271" spans="1:5" x14ac:dyDescent="0.2">
      <c r="A6271">
        <v>6210</v>
      </c>
      <c r="B6271" s="138">
        <f>'Acct Summary 7-8'!G82</f>
        <v>5588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55461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30565</v>
      </c>
      <c r="D6275" s="2" t="str">
        <f t="shared" si="97"/>
        <v>Error?</v>
      </c>
      <c r="E6275" s="2" t="s">
        <v>199</v>
      </c>
    </row>
    <row r="6276" spans="1:5" x14ac:dyDescent="0.2">
      <c r="A6276">
        <v>6215</v>
      </c>
      <c r="B6276" s="138">
        <f>'Acct Summary 7-8'!C83</f>
        <v>0.63850880544588351</v>
      </c>
      <c r="D6276" s="2" t="str">
        <f t="shared" si="97"/>
        <v>Error?</v>
      </c>
      <c r="E6276" s="2" t="s">
        <v>199</v>
      </c>
    </row>
    <row r="6277" spans="1:5" x14ac:dyDescent="0.2">
      <c r="A6277">
        <v>6216</v>
      </c>
      <c r="B6277" s="138">
        <f>'Acct Summary 7-8'!D83</f>
        <v>0.14024203743729866</v>
      </c>
      <c r="D6277" s="2" t="str">
        <f t="shared" si="97"/>
        <v>Error?</v>
      </c>
      <c r="E6277" s="2" t="s">
        <v>199</v>
      </c>
    </row>
    <row r="6278" spans="1:5" x14ac:dyDescent="0.2">
      <c r="A6278">
        <v>6217</v>
      </c>
      <c r="B6278" s="138">
        <f>'Acct Summary 7-8'!E83</f>
        <v>-6.1723290120697358</v>
      </c>
      <c r="D6278" s="2" t="str">
        <f t="shared" si="97"/>
        <v>Error?</v>
      </c>
      <c r="E6278" s="2" t="s">
        <v>199</v>
      </c>
    </row>
    <row r="6279" spans="1:5" x14ac:dyDescent="0.2">
      <c r="A6279">
        <v>6218</v>
      </c>
      <c r="B6279" s="138">
        <f>'Acct Summary 7-8'!F83</f>
        <v>0.66356375976362514</v>
      </c>
      <c r="D6279" s="2" t="str">
        <f t="shared" si="97"/>
        <v>Error?</v>
      </c>
      <c r="E6279" s="2" t="s">
        <v>199</v>
      </c>
    </row>
    <row r="6280" spans="1:5" x14ac:dyDescent="0.2">
      <c r="A6280">
        <v>6219</v>
      </c>
      <c r="B6280" s="138">
        <f>'Acct Summary 7-8'!G83</f>
        <v>0.74655978623914498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0.12643767254920288</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3.9343169232907961E-2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73046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73046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16240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73046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841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165521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310971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7969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885644</v>
      </c>
      <c r="D6983" s="2" t="str">
        <f t="shared" si="108"/>
        <v>Error?</v>
      </c>
    </row>
    <row r="6984" spans="1:4" x14ac:dyDescent="0.2">
      <c r="A6984">
        <v>6923</v>
      </c>
      <c r="B6984" s="138">
        <f>'Expenditures 15-22'!K86</f>
        <v>885644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24300</v>
      </c>
      <c r="D6991" s="2" t="str">
        <f t="shared" si="108"/>
        <v>Error?</v>
      </c>
    </row>
    <row r="6992" spans="1:4" x14ac:dyDescent="0.2">
      <c r="A6992">
        <v>6931</v>
      </c>
      <c r="B6992" s="138">
        <f>'Expenditures 15-22'!K90</f>
        <v>24300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909944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73046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73046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7606</v>
      </c>
      <c r="D7073" s="2" t="str">
        <f t="shared" si="109"/>
        <v>Error?</v>
      </c>
    </row>
    <row r="7074" spans="1:4" x14ac:dyDescent="0.2">
      <c r="A7074">
        <v>7013</v>
      </c>
      <c r="B7074" s="138">
        <f>'Expenditures 15-22'!K216</f>
        <v>7606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116</v>
      </c>
      <c r="D7079" s="2" t="str">
        <f t="shared" si="109"/>
        <v>Error?</v>
      </c>
    </row>
    <row r="7080" spans="1:4" x14ac:dyDescent="0.2">
      <c r="A7080">
        <v>7019</v>
      </c>
      <c r="B7080" s="138">
        <f>'Expenditures 15-22'!K226</f>
        <v>116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5211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7654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7654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24181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24181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73046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73046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73046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73046</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32653</v>
      </c>
      <c r="D7246" s="2" t="str">
        <f t="shared" si="112"/>
        <v>Error?</v>
      </c>
    </row>
    <row r="7247" spans="1:4" x14ac:dyDescent="0.2">
      <c r="A7247">
        <f t="shared" si="113"/>
        <v>7186</v>
      </c>
      <c r="B7247" s="138">
        <f>'Expenditures 15-22'!E7</f>
        <v>1926</v>
      </c>
      <c r="D7247" s="2" t="str">
        <f t="shared" si="112"/>
        <v>Error?</v>
      </c>
    </row>
    <row r="7248" spans="1:4" x14ac:dyDescent="0.2">
      <c r="A7248">
        <f t="shared" si="113"/>
        <v>7187</v>
      </c>
      <c r="B7248" s="138">
        <f>'Expenditures 15-22'!F7</f>
        <v>14216</v>
      </c>
      <c r="D7248" s="2" t="str">
        <f t="shared" si="112"/>
        <v>Error?</v>
      </c>
    </row>
    <row r="7249" spans="1:4" x14ac:dyDescent="0.2">
      <c r="A7249">
        <f t="shared" si="113"/>
        <v>7188</v>
      </c>
      <c r="B7249" s="138">
        <f>'Expenditures 15-22'!G7</f>
        <v>96525</v>
      </c>
      <c r="D7249" s="2" t="str">
        <f t="shared" si="112"/>
        <v>Error?</v>
      </c>
    </row>
    <row r="7250" spans="1:4" x14ac:dyDescent="0.2">
      <c r="A7250">
        <f t="shared" si="113"/>
        <v>7189</v>
      </c>
      <c r="B7250" s="138">
        <f>'Expenditures 15-22'!H7</f>
        <v>130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7969</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18373</v>
      </c>
      <c r="D7615" s="2" t="str">
        <f t="shared" ref="D7615:D7678" si="124">IF(ISBLANK(B7615),"OK",IF(A7615-B7615=0,"OK","Error?"))</f>
        <v>Error?</v>
      </c>
      <c r="E7615" s="2" t="s">
        <v>19</v>
      </c>
    </row>
    <row r="7616" spans="1:5" x14ac:dyDescent="0.2">
      <c r="A7616">
        <f t="shared" si="123"/>
        <v>7555</v>
      </c>
      <c r="B7616" s="138">
        <f>'Cap Outlay Deprec 26'!D14</f>
        <v>2533</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20906</v>
      </c>
      <c r="D7618" s="2" t="str">
        <f t="shared" si="124"/>
        <v>Error?</v>
      </c>
      <c r="E7618" s="2" t="s">
        <v>19</v>
      </c>
    </row>
    <row r="7619" spans="1:5" x14ac:dyDescent="0.2">
      <c r="A7619">
        <f t="shared" si="123"/>
        <v>7558</v>
      </c>
      <c r="B7619" s="138">
        <f>'Cap Outlay Deprec 26'!H14</f>
        <v>18373</v>
      </c>
      <c r="D7619" s="2" t="str">
        <f t="shared" si="124"/>
        <v>Error?</v>
      </c>
      <c r="E7619" s="2" t="s">
        <v>19</v>
      </c>
    </row>
    <row r="7620" spans="1:5" x14ac:dyDescent="0.2">
      <c r="A7620">
        <f t="shared" si="123"/>
        <v>7559</v>
      </c>
      <c r="B7620" s="138">
        <f>'Cap Outlay Deprec 26'!I14</f>
        <v>649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19022</v>
      </c>
      <c r="D7622" s="2" t="str">
        <f t="shared" si="124"/>
        <v>Error?</v>
      </c>
      <c r="E7622" s="2" t="s">
        <v>19</v>
      </c>
    </row>
    <row r="7623" spans="1:5" x14ac:dyDescent="0.2">
      <c r="A7623">
        <f t="shared" si="123"/>
        <v>7562</v>
      </c>
      <c r="B7623" s="138">
        <f>'Cap Outlay Deprec 26'!L14</f>
        <v>1884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699946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36000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36000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27587</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16240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12590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28830</v>
      </c>
      <c r="D7719" s="2" t="str">
        <f t="shared" si="126"/>
        <v>Error?</v>
      </c>
      <c r="E7719" s="2" t="s">
        <v>881</v>
      </c>
    </row>
    <row r="7720" spans="1:6" x14ac:dyDescent="0.2">
      <c r="A7720">
        <v>7659</v>
      </c>
      <c r="B7720" s="138">
        <f>'Rest Tax Levies-Tort Im 25'!H14</f>
        <v>90385</v>
      </c>
      <c r="D7720" s="2" t="str">
        <f t="shared" si="126"/>
        <v>Error?</v>
      </c>
      <c r="E7720" s="2" t="s">
        <v>881</v>
      </c>
    </row>
    <row r="7721" spans="1:6" x14ac:dyDescent="0.2">
      <c r="A7721">
        <v>7660</v>
      </c>
      <c r="B7721" s="138">
        <f>'Rest Tax Levies-Tort Im 25'!K14</f>
        <v>7969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2457</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45991</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45991</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83645</v>
      </c>
      <c r="D7797" s="2" t="str">
        <f t="shared" si="127"/>
        <v>Error?</v>
      </c>
      <c r="E7797" s="4" t="s">
        <v>2018</v>
      </c>
    </row>
    <row r="7798" spans="1:5" x14ac:dyDescent="0.2">
      <c r="A7798">
        <v>7737</v>
      </c>
      <c r="B7798" s="138">
        <f>'Contracts Paid in CY 29'!F141</f>
        <v>82582</v>
      </c>
      <c r="D7798" s="2" t="str">
        <f t="shared" si="127"/>
        <v>Error?</v>
      </c>
      <c r="E7798" s="4" t="s">
        <v>2018</v>
      </c>
    </row>
    <row r="7799" spans="1:5" x14ac:dyDescent="0.2">
      <c r="A7799">
        <v>7738</v>
      </c>
      <c r="B7799" s="138">
        <f>'Contracts Paid in CY 29'!G141</f>
        <v>1063</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8" zoomScale="110" zoomScaleNormal="110" workbookViewId="0">
      <selection activeCell="A13" sqref="A12:H1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3" t="str">
        <f>COVER!A17</f>
        <v>Momence CUSD 1</v>
      </c>
      <c r="B7" s="2414"/>
      <c r="C7" s="2414"/>
      <c r="D7" s="2451"/>
      <c r="E7" s="2452">
        <f>COVER!A13</f>
        <v>32046001026</v>
      </c>
      <c r="F7" s="2453"/>
      <c r="G7" s="2420" t="str">
        <f>COVER!T23</f>
        <v>066-005281</v>
      </c>
      <c r="H7" s="2421"/>
      <c r="I7" s="2421"/>
      <c r="J7" s="2421"/>
      <c r="K7" s="2421"/>
      <c r="L7" s="242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3"/>
      <c r="B9" s="2424"/>
      <c r="C9" s="2424"/>
      <c r="D9" s="2424"/>
      <c r="E9" s="2424"/>
      <c r="F9" s="2425"/>
      <c r="G9" s="2426" t="str">
        <f>COVER!T13</f>
        <v>Smith, Koelling, Dykstra &amp; Ohm, P.C.</v>
      </c>
      <c r="H9" s="2427"/>
      <c r="I9" s="2427"/>
      <c r="J9" s="2427"/>
      <c r="K9" s="2427"/>
      <c r="L9" s="2428"/>
    </row>
    <row r="10" spans="1:29" ht="13.5" customHeight="1" x14ac:dyDescent="0.2">
      <c r="A10" s="2410" t="str">
        <f>COVER!A38</f>
        <v>Shannon Anderson</v>
      </c>
      <c r="B10" s="2411"/>
      <c r="C10" s="2411"/>
      <c r="D10" s="2411"/>
      <c r="E10" s="2411"/>
      <c r="F10" s="2412"/>
      <c r="G10" s="2426" t="str">
        <f>COVER!T17</f>
        <v>1605 North Convent</v>
      </c>
      <c r="H10" s="2439"/>
      <c r="I10" s="2439"/>
      <c r="J10" s="2439"/>
      <c r="K10" s="2439"/>
      <c r="L10" s="2440"/>
    </row>
    <row r="11" spans="1:29" ht="13.5" customHeight="1" x14ac:dyDescent="0.2">
      <c r="A11" s="1185" t="s">
        <v>1599</v>
      </c>
      <c r="B11" s="1186"/>
      <c r="C11" s="1187"/>
      <c r="D11" s="1192"/>
      <c r="E11" s="1187"/>
      <c r="F11" s="1191"/>
      <c r="G11" s="2426" t="str">
        <f>COVER!T19</f>
        <v>Bourbonnais</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marciek@skdocpa.com</v>
      </c>
      <c r="J13" s="2448"/>
      <c r="K13" s="2448"/>
      <c r="L13" s="2449"/>
    </row>
    <row r="14" spans="1:29" ht="13.5" customHeight="1" x14ac:dyDescent="0.2">
      <c r="A14" s="2426" t="str">
        <f>COVER!A19</f>
        <v>400 North Pine Street</v>
      </c>
      <c r="B14" s="2439"/>
      <c r="C14" s="2439"/>
      <c r="D14" s="2439"/>
      <c r="E14" s="2439"/>
      <c r="F14" s="2440"/>
      <c r="G14" s="1196" t="s">
        <v>1247</v>
      </c>
      <c r="H14" s="1194"/>
      <c r="I14" s="1194"/>
      <c r="J14" s="1194"/>
      <c r="K14" s="1194"/>
      <c r="L14" s="1195"/>
    </row>
    <row r="15" spans="1:29" ht="13.5" customHeight="1" x14ac:dyDescent="0.2">
      <c r="A15" s="2426" t="str">
        <f>COVER!A21</f>
        <v>Momence</v>
      </c>
      <c r="B15" s="2439"/>
      <c r="C15" s="2439"/>
      <c r="D15" s="2439"/>
      <c r="E15" s="2439"/>
      <c r="F15" s="2440"/>
      <c r="G15" s="2436" t="str">
        <f>COVER!T15</f>
        <v>Marcie Meents Kolberg</v>
      </c>
      <c r="H15" s="2437"/>
      <c r="I15" s="2437"/>
      <c r="J15" s="2437"/>
      <c r="K15" s="2437"/>
      <c r="L15" s="2438"/>
    </row>
    <row r="16" spans="1:29" ht="12.2" customHeight="1" x14ac:dyDescent="0.2">
      <c r="A16" s="2416">
        <f>COVER!A25</f>
        <v>60954</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6" t="s">
        <v>1246</v>
      </c>
      <c r="H17" s="1194"/>
      <c r="I17" s="1194"/>
      <c r="J17" s="1194"/>
      <c r="K17" s="1198" t="s">
        <v>1245</v>
      </c>
      <c r="L17" s="1191"/>
      <c r="M17" s="1184"/>
    </row>
    <row r="18" spans="1:13" ht="12.2" customHeight="1" x14ac:dyDescent="0.2">
      <c r="A18" s="2410"/>
      <c r="B18" s="2411"/>
      <c r="C18" s="2411"/>
      <c r="D18" s="2411"/>
      <c r="E18" s="2411"/>
      <c r="F18" s="2412"/>
      <c r="G18" s="2413" t="str">
        <f>COVER!T21</f>
        <v>815-937-1997</v>
      </c>
      <c r="H18" s="2414"/>
      <c r="I18" s="2414"/>
      <c r="J18" s="2414"/>
      <c r="K18" s="2413" t="str">
        <f>COVER!X21</f>
        <v>815-935-0360</v>
      </c>
      <c r="L18" s="241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2088</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2088</v>
      </c>
      <c r="C26" s="1203" t="s">
        <v>1801</v>
      </c>
    </row>
    <row r="27" spans="1:13" s="1199" customFormat="1" ht="9" customHeight="1" x14ac:dyDescent="0.2">
      <c r="B27" s="1204"/>
      <c r="C27" s="1203"/>
    </row>
    <row r="28" spans="1:13" s="1199" customFormat="1" ht="12.2" customHeight="1" x14ac:dyDescent="0.2">
      <c r="A28" s="1206"/>
      <c r="B28" s="1202" t="s">
        <v>2088</v>
      </c>
      <c r="C28" s="1203" t="s">
        <v>1802</v>
      </c>
    </row>
    <row r="29" spans="1:13" s="1199" customFormat="1" ht="9" customHeight="1" x14ac:dyDescent="0.2">
      <c r="A29" s="1206"/>
      <c r="B29" s="1204"/>
      <c r="C29" s="1203"/>
    </row>
    <row r="30" spans="1:13" s="1199" customFormat="1" ht="12.2" customHeight="1" x14ac:dyDescent="0.2">
      <c r="B30" s="1202" t="s">
        <v>2088</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2088</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2088</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2088</v>
      </c>
      <c r="C38" s="1203" t="s">
        <v>1647</v>
      </c>
    </row>
    <row r="39" spans="1:8" ht="9" customHeight="1" x14ac:dyDescent="0.2">
      <c r="B39" s="1204"/>
      <c r="C39" s="1207"/>
    </row>
    <row r="40" spans="1:8" s="1199" customFormat="1" ht="13.5" customHeight="1" x14ac:dyDescent="0.2">
      <c r="B40" s="1202" t="s">
        <v>2088</v>
      </c>
      <c r="C40" s="1203" t="s">
        <v>1648</v>
      </c>
    </row>
    <row r="41" spans="1:8" ht="9" customHeight="1" x14ac:dyDescent="0.2">
      <c r="A41" s="1208"/>
      <c r="B41" s="1204"/>
      <c r="C41" s="1207"/>
    </row>
    <row r="42" spans="1:8" s="1199" customFormat="1" ht="13.5" customHeight="1" x14ac:dyDescent="0.2">
      <c r="B42" s="1202" t="s">
        <v>2088</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1" zoomScale="125" zoomScaleNormal="125" workbookViewId="0">
      <selection activeCell="A13" sqref="A12:H1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4" t="str">
        <f>'Single Audit Cover'!A7</f>
        <v>Momence CUSD 1</v>
      </c>
      <c r="B1" s="2450"/>
      <c r="C1" s="2450"/>
      <c r="D1" s="2450"/>
    </row>
    <row r="2" spans="1:11" s="1215" customFormat="1" ht="12.75" x14ac:dyDescent="0.2">
      <c r="A2" s="2455">
        <f>'Single Audit Cover'!E7</f>
        <v>32046001026</v>
      </c>
      <c r="B2" s="2456"/>
      <c r="C2" s="2456"/>
      <c r="D2" s="2456"/>
    </row>
    <row r="3" spans="1:11" s="1215" customFormat="1" ht="12.75" x14ac:dyDescent="0.2">
      <c r="A3" s="2454" t="s">
        <v>1593</v>
      </c>
      <c r="B3" s="2450"/>
      <c r="C3" s="2450"/>
      <c r="D3" s="245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2088</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2088</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2088</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2088</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2088</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2088</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2088</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2088</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2088</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2153</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2153</v>
      </c>
      <c r="C42" s="1232">
        <v>11</v>
      </c>
      <c r="D42" s="1243" t="s">
        <v>1655</v>
      </c>
      <c r="E42" s="312"/>
    </row>
    <row r="43" spans="1:5" ht="3" customHeight="1" x14ac:dyDescent="0.2">
      <c r="A43" s="1222"/>
      <c r="B43" s="1239"/>
      <c r="C43" s="1240"/>
      <c r="D43" s="1221"/>
    </row>
    <row r="44" spans="1:5" x14ac:dyDescent="0.2">
      <c r="A44" s="1222"/>
      <c r="B44" s="1225" t="s">
        <v>2088</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2088</v>
      </c>
      <c r="C48" s="1226">
        <f>C44+1</f>
        <v>13</v>
      </c>
      <c r="D48" s="1237" t="s">
        <v>1656</v>
      </c>
    </row>
    <row r="49" spans="1:4" ht="3" customHeight="1" x14ac:dyDescent="0.2">
      <c r="A49" s="1222"/>
      <c r="B49" s="1229"/>
      <c r="C49" s="1226"/>
      <c r="D49" s="1237"/>
    </row>
    <row r="50" spans="1:4" x14ac:dyDescent="0.2">
      <c r="A50" s="1222"/>
      <c r="B50" s="1225" t="s">
        <v>2088</v>
      </c>
      <c r="C50" s="1226">
        <f>C48+1</f>
        <v>14</v>
      </c>
      <c r="D50" s="1237" t="s">
        <v>1274</v>
      </c>
    </row>
    <row r="51" spans="1:4" ht="3" customHeight="1" x14ac:dyDescent="0.2">
      <c r="A51" s="1222"/>
      <c r="B51" s="1229"/>
      <c r="C51" s="1226"/>
      <c r="D51" s="1237"/>
    </row>
    <row r="52" spans="1:4" x14ac:dyDescent="0.2">
      <c r="A52" s="1222"/>
      <c r="B52" s="1225" t="s">
        <v>2088</v>
      </c>
      <c r="C52" s="1226">
        <f>C50+1</f>
        <v>15</v>
      </c>
      <c r="D52" s="1237" t="s">
        <v>1273</v>
      </c>
    </row>
    <row r="53" spans="1:4" ht="3" customHeight="1" x14ac:dyDescent="0.2">
      <c r="A53" s="1222"/>
      <c r="B53" s="1229"/>
      <c r="C53" s="1226"/>
      <c r="D53" s="1237"/>
    </row>
    <row r="54" spans="1:4" x14ac:dyDescent="0.2">
      <c r="A54" s="1222"/>
      <c r="B54" s="1225" t="s">
        <v>2153</v>
      </c>
      <c r="C54" s="1226">
        <f>C52+1</f>
        <v>16</v>
      </c>
      <c r="D54" s="1237" t="s">
        <v>1272</v>
      </c>
    </row>
    <row r="55" spans="1:4" ht="3" customHeight="1" x14ac:dyDescent="0.2">
      <c r="A55" s="1222"/>
      <c r="B55" s="1229"/>
      <c r="C55" s="1226"/>
      <c r="D55" s="1237"/>
    </row>
    <row r="56" spans="1:4" x14ac:dyDescent="0.2">
      <c r="A56" s="1222"/>
      <c r="B56" s="1225" t="s">
        <v>2088</v>
      </c>
      <c r="C56" s="1226">
        <f>C54+1</f>
        <v>17</v>
      </c>
      <c r="D56" s="1221" t="s">
        <v>1811</v>
      </c>
    </row>
    <row r="57" spans="1:4" ht="10.5" customHeight="1" x14ac:dyDescent="0.2">
      <c r="A57" s="1222"/>
      <c r="D57" s="1237" t="s">
        <v>1812</v>
      </c>
    </row>
    <row r="58" spans="1:4" x14ac:dyDescent="0.2">
      <c r="A58" s="1222"/>
      <c r="C58" s="1244" t="s">
        <v>2088</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2153</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2153</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2153</v>
      </c>
      <c r="D69" s="1237" t="s">
        <v>1816</v>
      </c>
    </row>
    <row r="70" spans="1:4" x14ac:dyDescent="0.2">
      <c r="A70" s="1222"/>
      <c r="D70" s="1246" t="s">
        <v>1268</v>
      </c>
    </row>
    <row r="71" spans="1:4" ht="3" customHeight="1" x14ac:dyDescent="0.2">
      <c r="A71" s="1222"/>
      <c r="D71" s="1221"/>
    </row>
    <row r="72" spans="1:4" x14ac:dyDescent="0.2">
      <c r="A72" s="1222"/>
      <c r="B72" s="1225" t="s">
        <v>2088</v>
      </c>
      <c r="C72" s="1226">
        <f>C56+1</f>
        <v>18</v>
      </c>
      <c r="D72" s="1247" t="s">
        <v>1817</v>
      </c>
    </row>
    <row r="73" spans="1:4" ht="3" customHeight="1" x14ac:dyDescent="0.2">
      <c r="A73" s="1222"/>
      <c r="B73" s="1229"/>
      <c r="C73" s="1226"/>
      <c r="D73" s="1247"/>
    </row>
    <row r="74" spans="1:4" x14ac:dyDescent="0.2">
      <c r="A74" s="1222"/>
      <c r="B74" s="1225" t="s">
        <v>2088</v>
      </c>
      <c r="C74" s="1226">
        <f>C72+1</f>
        <v>19</v>
      </c>
      <c r="D74" s="1237" t="s">
        <v>1267</v>
      </c>
    </row>
    <row r="75" spans="1:4" ht="3" customHeight="1" x14ac:dyDescent="0.2">
      <c r="A75" s="1222"/>
      <c r="B75" s="1229"/>
      <c r="C75" s="1226"/>
      <c r="D75" s="1237"/>
    </row>
    <row r="76" spans="1:4" x14ac:dyDescent="0.2">
      <c r="A76" s="1222"/>
      <c r="B76" s="1225" t="s">
        <v>2088</v>
      </c>
      <c r="C76" s="1226">
        <f>C74+1</f>
        <v>20</v>
      </c>
      <c r="D76" s="1248" t="s">
        <v>1818</v>
      </c>
    </row>
    <row r="77" spans="1:4" ht="3" customHeight="1" x14ac:dyDescent="0.2">
      <c r="A77" s="1222"/>
      <c r="B77" s="1229"/>
      <c r="C77" s="1226"/>
      <c r="D77" s="1248"/>
    </row>
    <row r="78" spans="1:4" x14ac:dyDescent="0.2">
      <c r="A78" s="1222"/>
      <c r="B78" s="1225" t="s">
        <v>2088</v>
      </c>
      <c r="C78" s="1226">
        <f>C76+1</f>
        <v>21</v>
      </c>
      <c r="D78" s="1221" t="s">
        <v>1819</v>
      </c>
    </row>
    <row r="79" spans="1:4" ht="3" customHeight="1" x14ac:dyDescent="0.2">
      <c r="A79" s="1222"/>
      <c r="B79" s="1229"/>
      <c r="C79" s="1226"/>
      <c r="D79" s="1221"/>
    </row>
    <row r="80" spans="1:4" x14ac:dyDescent="0.2">
      <c r="A80" s="1222"/>
      <c r="B80" s="1225" t="s">
        <v>2088</v>
      </c>
      <c r="C80" s="1226">
        <f>C78+1</f>
        <v>22</v>
      </c>
      <c r="D80" s="1249" t="s">
        <v>1820</v>
      </c>
    </row>
    <row r="81" spans="1:4" ht="3" customHeight="1" x14ac:dyDescent="0.2">
      <c r="A81" s="1222"/>
      <c r="B81" s="1229"/>
      <c r="C81" s="1226"/>
      <c r="D81" s="1249"/>
    </row>
    <row r="82" spans="1:4" x14ac:dyDescent="0.2">
      <c r="A82" s="1222"/>
      <c r="B82" s="1225" t="s">
        <v>2088</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2088</v>
      </c>
      <c r="C85" s="1226">
        <f>C82+1</f>
        <v>24</v>
      </c>
      <c r="D85" s="1237" t="s">
        <v>1265</v>
      </c>
    </row>
    <row r="86" spans="1:4" ht="3" customHeight="1" x14ac:dyDescent="0.2">
      <c r="A86" s="1222"/>
      <c r="B86" s="1229" t="s">
        <v>2088</v>
      </c>
      <c r="C86" s="1226"/>
      <c r="D86" s="1237"/>
    </row>
    <row r="87" spans="1:4" x14ac:dyDescent="0.2">
      <c r="A87" s="1222"/>
      <c r="B87" s="1225" t="s">
        <v>2088</v>
      </c>
      <c r="C87" s="1226">
        <f>C85+1</f>
        <v>25</v>
      </c>
      <c r="D87" s="1237" t="s">
        <v>1264</v>
      </c>
    </row>
    <row r="88" spans="1:4" ht="3" customHeight="1" x14ac:dyDescent="0.2">
      <c r="A88" s="1222"/>
      <c r="B88" s="1229"/>
      <c r="C88" s="1226"/>
      <c r="D88" s="1237"/>
    </row>
    <row r="89" spans="1:4" x14ac:dyDescent="0.2">
      <c r="A89" s="1222"/>
      <c r="B89" s="1225" t="s">
        <v>2088</v>
      </c>
      <c r="C89" s="1226">
        <f>C87+1</f>
        <v>26</v>
      </c>
      <c r="D89" s="1237" t="s">
        <v>1263</v>
      </c>
    </row>
    <row r="90" spans="1:4" ht="3" customHeight="1" x14ac:dyDescent="0.2">
      <c r="A90" s="1222"/>
      <c r="B90" s="1229"/>
      <c r="C90" s="1226"/>
      <c r="D90" s="1237"/>
    </row>
    <row r="91" spans="1:4" x14ac:dyDescent="0.2">
      <c r="A91" s="1222"/>
      <c r="B91" s="1225" t="s">
        <v>2153</v>
      </c>
      <c r="C91" s="1226">
        <f>C89+1</f>
        <v>27</v>
      </c>
      <c r="D91" s="1237" t="s">
        <v>1822</v>
      </c>
    </row>
    <row r="92" spans="1:4" x14ac:dyDescent="0.2">
      <c r="A92" s="1222"/>
      <c r="B92" s="1250"/>
      <c r="C92" s="1244" t="s">
        <v>2153</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2088</v>
      </c>
      <c r="C96" s="1226">
        <f>C91+1</f>
        <v>28</v>
      </c>
      <c r="D96" s="1237" t="s">
        <v>1823</v>
      </c>
    </row>
    <row r="97" spans="1:4" ht="3" customHeight="1" x14ac:dyDescent="0.2">
      <c r="A97" s="1222"/>
      <c r="B97" s="1229"/>
      <c r="C97" s="1226"/>
      <c r="D97" s="1237"/>
    </row>
    <row r="98" spans="1:4" x14ac:dyDescent="0.2">
      <c r="A98" s="1222"/>
      <c r="B98" s="1225" t="s">
        <v>2088</v>
      </c>
      <c r="C98" s="1226">
        <f>C96+1</f>
        <v>29</v>
      </c>
      <c r="D98" s="1251" t="s">
        <v>1824</v>
      </c>
    </row>
    <row r="99" spans="1:4" ht="3" customHeight="1" x14ac:dyDescent="0.2">
      <c r="A99" s="1222"/>
      <c r="B99" s="1229"/>
      <c r="C99" s="1226"/>
      <c r="D99" s="1251"/>
    </row>
    <row r="100" spans="1:4" x14ac:dyDescent="0.2">
      <c r="A100" s="1222"/>
      <c r="B100" s="1225" t="s">
        <v>2088</v>
      </c>
      <c r="C100" s="1226">
        <f>C98+1</f>
        <v>30</v>
      </c>
      <c r="D100" s="1237" t="s">
        <v>1825</v>
      </c>
    </row>
    <row r="101" spans="1:4" ht="3" customHeight="1" x14ac:dyDescent="0.2">
      <c r="A101" s="1222"/>
      <c r="B101" s="1229"/>
      <c r="C101" s="1226"/>
      <c r="D101" s="1252"/>
    </row>
    <row r="102" spans="1:4" x14ac:dyDescent="0.2">
      <c r="A102" s="1222"/>
      <c r="B102" s="1225" t="s">
        <v>2088</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2088</v>
      </c>
      <c r="C106" s="1226">
        <f>C102+1</f>
        <v>32</v>
      </c>
      <c r="D106" s="1221" t="s">
        <v>1661</v>
      </c>
    </row>
    <row r="107" spans="1:4" ht="3" customHeight="1" x14ac:dyDescent="0.2">
      <c r="A107" s="1222"/>
      <c r="B107" s="1229"/>
      <c r="C107" s="1226"/>
      <c r="D107" s="1221"/>
    </row>
    <row r="108" spans="1:4" x14ac:dyDescent="0.2">
      <c r="A108" s="1222"/>
      <c r="B108" s="1225" t="s">
        <v>2088</v>
      </c>
      <c r="C108" s="1226">
        <v>33</v>
      </c>
      <c r="D108" s="1221" t="s">
        <v>1826</v>
      </c>
    </row>
    <row r="109" spans="1:4" ht="3" customHeight="1" x14ac:dyDescent="0.2">
      <c r="A109" s="1222"/>
      <c r="B109" s="1229"/>
      <c r="C109" s="1226"/>
      <c r="D109" s="1221"/>
    </row>
    <row r="110" spans="1:4" x14ac:dyDescent="0.2">
      <c r="A110" s="1222"/>
      <c r="B110" s="1225" t="s">
        <v>2153</v>
      </c>
      <c r="C110" s="1226">
        <f>C108+1</f>
        <v>34</v>
      </c>
      <c r="D110" s="1221" t="s">
        <v>1260</v>
      </c>
    </row>
    <row r="111" spans="1:4" ht="3" customHeight="1" x14ac:dyDescent="0.2">
      <c r="A111" s="1222"/>
      <c r="B111" s="1229"/>
      <c r="C111" s="1226"/>
      <c r="D111" s="1221"/>
    </row>
    <row r="112" spans="1:4" x14ac:dyDescent="0.2">
      <c r="A112" s="1222"/>
      <c r="B112" s="1225" t="s">
        <v>2153</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2153</v>
      </c>
      <c r="C115" s="1226">
        <f>C112+1</f>
        <v>36</v>
      </c>
      <c r="D115" s="1237" t="s">
        <v>1257</v>
      </c>
    </row>
    <row r="116" spans="1:4" ht="3" customHeight="1" x14ac:dyDescent="0.2">
      <c r="A116" s="1222"/>
      <c r="B116" s="1229"/>
      <c r="C116" s="1226"/>
      <c r="D116" s="1237"/>
    </row>
    <row r="117" spans="1:4" x14ac:dyDescent="0.2">
      <c r="A117" s="1222"/>
      <c r="B117" s="1225" t="s">
        <v>2153</v>
      </c>
      <c r="C117" s="1226">
        <f>C115+1</f>
        <v>37</v>
      </c>
      <c r="D117" s="1237" t="s">
        <v>1827</v>
      </c>
    </row>
    <row r="118" spans="1:4" ht="3" customHeight="1" x14ac:dyDescent="0.2">
      <c r="A118" s="1222"/>
      <c r="B118" s="1229"/>
      <c r="C118" s="1226"/>
      <c r="D118" s="1237"/>
    </row>
    <row r="119" spans="1:4" x14ac:dyDescent="0.2">
      <c r="A119" s="1222"/>
      <c r="B119" s="1225" t="s">
        <v>2153</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2088</v>
      </c>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8" t="str">
        <f>'Single Audit Cover'!A7</f>
        <v>Momence CUSD 1</v>
      </c>
      <c r="B1" s="2458"/>
      <c r="C1" s="2458"/>
      <c r="D1" s="2458"/>
      <c r="E1" s="2458"/>
    </row>
    <row r="2" spans="1:5" x14ac:dyDescent="0.2">
      <c r="A2" s="2459">
        <f>'Single Audit Cover'!E7</f>
        <v>32046001026</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60" t="s">
        <v>1305</v>
      </c>
    </row>
    <row r="10" spans="1:5" x14ac:dyDescent="0.2">
      <c r="A10" s="1261" t="s">
        <v>1304</v>
      </c>
      <c r="B10" s="1262" t="s">
        <v>1303</v>
      </c>
      <c r="C10" s="1262"/>
      <c r="D10" s="1263">
        <f>SUM('Acct Summary 7-8'!C7:K7)</f>
        <v>1403135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39336</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-48895</v>
      </c>
    </row>
    <row r="19" spans="1:4" ht="13.5" thickBot="1" x14ac:dyDescent="0.25">
      <c r="A19" s="1265" t="s">
        <v>1297</v>
      </c>
      <c r="D19" s="1266">
        <f>SUM(D10:D17)</f>
        <v>1393576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0"/>
      <c r="B24" s="2460"/>
      <c r="D24" s="1268"/>
    </row>
    <row r="25" spans="1:4" x14ac:dyDescent="0.2">
      <c r="A25" s="2457"/>
      <c r="B25" s="2457"/>
      <c r="D25" s="1268"/>
    </row>
    <row r="26" spans="1:4" x14ac:dyDescent="0.2">
      <c r="A26" s="2457"/>
      <c r="B26" s="2457"/>
      <c r="D26" s="1268"/>
    </row>
    <row r="27" spans="1:4" x14ac:dyDescent="0.2">
      <c r="A27" s="2457"/>
      <c r="B27" s="2457"/>
      <c r="D27" s="1268"/>
    </row>
    <row r="28" spans="1:4" x14ac:dyDescent="0.2">
      <c r="A28" s="2457"/>
      <c r="B28" s="2457"/>
      <c r="D28" s="1268"/>
    </row>
    <row r="29" spans="1:4" x14ac:dyDescent="0.2">
      <c r="A29" s="2457"/>
      <c r="B29" s="2457"/>
      <c r="D29" s="1268"/>
    </row>
    <row r="30" spans="1:4" x14ac:dyDescent="0.2">
      <c r="A30" s="2457"/>
      <c r="B30" s="2457"/>
      <c r="D30" s="1268"/>
    </row>
    <row r="32" spans="1:4" x14ac:dyDescent="0.2">
      <c r="A32" s="1260" t="s">
        <v>1295</v>
      </c>
      <c r="D32" s="1263">
        <f>SUM(D19:D30)</f>
        <v>1393576</v>
      </c>
    </row>
    <row r="33" spans="1:4" x14ac:dyDescent="0.2">
      <c r="D33" s="1269"/>
    </row>
    <row r="34" spans="1:4" x14ac:dyDescent="0.2">
      <c r="A34" s="317" t="s">
        <v>1294</v>
      </c>
    </row>
    <row r="35" spans="1:4" x14ac:dyDescent="0.2">
      <c r="A35" s="317" t="s">
        <v>1293</v>
      </c>
      <c r="B35" s="1258" t="s">
        <v>1292</v>
      </c>
      <c r="D35" s="1270">
        <v>1394727</v>
      </c>
    </row>
    <row r="37" spans="1:4" x14ac:dyDescent="0.2">
      <c r="A37" s="1260" t="s">
        <v>1291</v>
      </c>
    </row>
    <row r="39" spans="1:4" ht="13.35" customHeight="1" x14ac:dyDescent="0.2">
      <c r="A39" s="1267" t="s">
        <v>1290</v>
      </c>
    </row>
    <row r="40" spans="1:4" x14ac:dyDescent="0.2">
      <c r="A40" s="2457" t="s">
        <v>2168</v>
      </c>
      <c r="B40" s="2457"/>
      <c r="D40" s="1268">
        <v>-1151</v>
      </c>
    </row>
    <row r="41" spans="1:4" x14ac:dyDescent="0.2">
      <c r="A41" s="2457"/>
      <c r="B41" s="2457"/>
      <c r="D41" s="1271"/>
    </row>
    <row r="42" spans="1:4" x14ac:dyDescent="0.2">
      <c r="A42" s="2457"/>
      <c r="B42" s="2457"/>
      <c r="D42" s="1271"/>
    </row>
    <row r="43" spans="1:4" x14ac:dyDescent="0.2">
      <c r="A43" s="2457"/>
      <c r="B43" s="2457"/>
      <c r="D43" s="1271"/>
    </row>
    <row r="44" spans="1:4" x14ac:dyDescent="0.2">
      <c r="A44" s="2457"/>
      <c r="B44" s="2457"/>
      <c r="D44" s="1271"/>
    </row>
    <row r="45" spans="1:4" x14ac:dyDescent="0.2">
      <c r="A45" s="2457"/>
      <c r="B45" s="2457"/>
      <c r="D45" s="1271"/>
    </row>
    <row r="47" spans="1:4" x14ac:dyDescent="0.2">
      <c r="B47" s="1272" t="s">
        <v>1289</v>
      </c>
      <c r="C47" s="1272"/>
      <c r="D47" s="1273">
        <f>SUM(D35:D45)</f>
        <v>1393576</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3" sqref="A12:H1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Momence CUSD 1</v>
      </c>
      <c r="B1" s="2463"/>
      <c r="C1" s="2463"/>
      <c r="D1" s="2463"/>
      <c r="E1" s="2463"/>
      <c r="F1" s="2463"/>
    </row>
    <row r="2" spans="1:7" ht="13.5" customHeight="1" x14ac:dyDescent="0.2">
      <c r="A2" s="2464">
        <f>'Single Audit Cover'!E7</f>
        <v>32046001026</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2164</v>
      </c>
      <c r="B7" s="2462"/>
      <c r="C7" s="2462"/>
      <c r="D7" s="2462"/>
      <c r="E7" s="2462"/>
      <c r="F7" s="246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2088</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2" t="s">
        <v>2165</v>
      </c>
      <c r="B13" s="2462"/>
      <c r="C13" s="2462"/>
      <c r="D13" s="2462"/>
      <c r="E13" s="2462"/>
      <c r="F13" s="2462"/>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t="s">
        <v>2166</v>
      </c>
      <c r="C17" s="1285"/>
      <c r="D17" s="2467"/>
      <c r="E17" s="2467"/>
      <c r="F17" s="2467"/>
    </row>
    <row r="18" spans="1:6" ht="20.65" customHeight="1" x14ac:dyDescent="0.2">
      <c r="A18" s="1283"/>
      <c r="B18" s="1284"/>
      <c r="C18" s="1285"/>
      <c r="D18" s="2467"/>
      <c r="E18" s="2467"/>
      <c r="F18" s="2467"/>
    </row>
    <row r="19" spans="1:6" ht="20.65" customHeight="1" x14ac:dyDescent="0.2">
      <c r="A19" s="1283"/>
      <c r="B19" s="1284"/>
      <c r="C19" s="1285"/>
      <c r="D19" s="2467"/>
      <c r="E19" s="2467"/>
      <c r="F19" s="2467"/>
    </row>
    <row r="20" spans="1:6" ht="20.65" customHeight="1" x14ac:dyDescent="0.2">
      <c r="A20" s="1283"/>
      <c r="B20" s="1284"/>
      <c r="C20" s="1285"/>
      <c r="D20" s="2467"/>
      <c r="E20" s="2467"/>
      <c r="F20" s="2467"/>
    </row>
    <row r="21" spans="1:6" ht="20.65" customHeight="1" x14ac:dyDescent="0.2">
      <c r="A21" s="1283"/>
      <c r="B21" s="1284"/>
      <c r="C21" s="1285"/>
      <c r="D21" s="2467"/>
      <c r="E21" s="2467"/>
      <c r="F21" s="2467"/>
    </row>
    <row r="22" spans="1:6" ht="20.65" customHeight="1" x14ac:dyDescent="0.2">
      <c r="A22" s="1283"/>
      <c r="B22" s="1284"/>
      <c r="C22" s="1285"/>
      <c r="D22" s="2467"/>
      <c r="E22" s="2467"/>
      <c r="F22" s="2467"/>
    </row>
    <row r="23" spans="1:6" ht="20.65" customHeight="1" x14ac:dyDescent="0.2">
      <c r="A23" s="1283"/>
      <c r="B23" s="1284"/>
      <c r="C23" s="1285"/>
      <c r="D23" s="2467"/>
      <c r="E23" s="2467"/>
      <c r="F23" s="2467"/>
    </row>
    <row r="24" spans="1:6" ht="20.65" customHeight="1" x14ac:dyDescent="0.2">
      <c r="A24" s="1283"/>
      <c r="B24" s="1284"/>
      <c r="C24" s="1285"/>
      <c r="D24" s="2467"/>
      <c r="E24" s="2467"/>
      <c r="F24" s="2467"/>
    </row>
    <row r="25" spans="1:6" ht="20.65" customHeight="1" x14ac:dyDescent="0.2">
      <c r="A25" s="1283"/>
      <c r="B25" s="1284"/>
      <c r="C25" s="1285"/>
      <c r="D25" s="2467"/>
      <c r="E25" s="2467"/>
      <c r="F25" s="2467"/>
    </row>
    <row r="26" spans="1:6" ht="20.65" customHeight="1" x14ac:dyDescent="0.2">
      <c r="A26" s="1283"/>
      <c r="B26" s="1284"/>
      <c r="C26" s="1285"/>
      <c r="D26" s="2467"/>
      <c r="E26" s="2467"/>
      <c r="F26" s="2467"/>
    </row>
    <row r="27" spans="1:6" ht="20.65" customHeight="1" x14ac:dyDescent="0.2">
      <c r="A27" s="1283"/>
      <c r="B27" s="1284"/>
      <c r="C27" s="1285"/>
      <c r="D27" s="2467"/>
      <c r="E27" s="2467"/>
      <c r="F27" s="2467"/>
    </row>
    <row r="28" spans="1:6" ht="20.65" customHeight="1" x14ac:dyDescent="0.2">
      <c r="A28" s="1283"/>
      <c r="B28" s="1284"/>
      <c r="C28" s="1285"/>
      <c r="D28" s="2467"/>
      <c r="E28" s="2467"/>
      <c r="F28" s="2467"/>
    </row>
    <row r="29" spans="1:6" ht="20.65" customHeight="1" x14ac:dyDescent="0.2">
      <c r="A29" s="1283"/>
      <c r="B29" s="1284"/>
      <c r="C29" s="1285"/>
      <c r="D29" s="2467"/>
      <c r="E29" s="2467"/>
      <c r="F29" s="246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1" t="s">
        <v>1833</v>
      </c>
      <c r="B32" s="2471"/>
      <c r="C32" s="2471"/>
      <c r="D32" s="2471"/>
      <c r="E32" s="2471"/>
      <c r="F32" s="2471"/>
    </row>
    <row r="33" spans="1:6" ht="13.5" customHeight="1" x14ac:dyDescent="0.2">
      <c r="A33" s="328" t="s">
        <v>1509</v>
      </c>
      <c r="B33" s="328"/>
      <c r="C33" s="1288">
        <v>39336</v>
      </c>
      <c r="D33" s="1928"/>
      <c r="E33" s="1286"/>
    </row>
    <row r="34" spans="1:6" ht="13.5" customHeight="1" x14ac:dyDescent="0.2">
      <c r="A34" s="328" t="s">
        <v>1947</v>
      </c>
      <c r="B34" s="328"/>
      <c r="C34" s="1289">
        <v>0</v>
      </c>
      <c r="D34" s="1928" t="s">
        <v>1671</v>
      </c>
      <c r="E34" s="2472">
        <f>+C33+C34</f>
        <v>39336</v>
      </c>
      <c r="F34" s="247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2167</v>
      </c>
      <c r="D38" s="1928"/>
      <c r="E38" s="1286"/>
    </row>
    <row r="39" spans="1:6" ht="14.25" customHeight="1" x14ac:dyDescent="0.2">
      <c r="A39" s="328"/>
      <c r="B39" s="328" t="s">
        <v>1511</v>
      </c>
      <c r="C39" s="1292" t="s">
        <v>2167</v>
      </c>
      <c r="D39" s="1928"/>
      <c r="E39" s="1286"/>
    </row>
    <row r="40" spans="1:6" ht="14.25" customHeight="1" x14ac:dyDescent="0.2">
      <c r="A40" s="328"/>
      <c r="B40" s="328" t="s">
        <v>1512</v>
      </c>
      <c r="C40" s="1292" t="s">
        <v>2167</v>
      </c>
      <c r="D40" s="1928"/>
      <c r="E40" s="1286"/>
    </row>
    <row r="41" spans="1:6" ht="14.25" customHeight="1" x14ac:dyDescent="0.2">
      <c r="A41" s="328"/>
      <c r="B41" s="328" t="s">
        <v>1513</v>
      </c>
      <c r="C41" s="1292" t="s">
        <v>2167</v>
      </c>
      <c r="D41" s="1928"/>
      <c r="E41" s="1286"/>
    </row>
    <row r="42" spans="1:6" ht="14.25" customHeight="1" x14ac:dyDescent="0.2">
      <c r="A42" s="328" t="s">
        <v>1514</v>
      </c>
      <c r="B42" s="328"/>
      <c r="C42" s="1926" t="s">
        <v>2167</v>
      </c>
      <c r="D42" s="1928"/>
      <c r="E42" s="1286"/>
    </row>
    <row r="43" spans="1:6" ht="14.25" customHeight="1" x14ac:dyDescent="0.2">
      <c r="A43" s="328" t="s">
        <v>1515</v>
      </c>
      <c r="B43" s="328"/>
      <c r="C43" s="1293" t="s">
        <v>2167</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4" t="s">
        <v>1672</v>
      </c>
      <c r="C49" s="2474"/>
      <c r="D49" s="2474"/>
      <c r="E49" s="1399"/>
    </row>
    <row r="50" spans="1:5" s="1300" customFormat="1" ht="3.75" customHeight="1" x14ac:dyDescent="0.2">
      <c r="A50" s="1299"/>
      <c r="B50" s="1870"/>
      <c r="C50" s="1870"/>
      <c r="D50" s="1870"/>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6" zoomScaleNormal="100" workbookViewId="0">
      <selection activeCell="A13" sqref="A12: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Momence CUSD 1</v>
      </c>
      <c r="C1" s="2475"/>
      <c r="D1" s="2475"/>
      <c r="E1" s="2475"/>
      <c r="F1" s="2475"/>
      <c r="G1" s="2475"/>
      <c r="H1" s="2475"/>
      <c r="I1" s="2475"/>
      <c r="J1" s="2475"/>
      <c r="K1" s="2475"/>
      <c r="L1" s="2475"/>
      <c r="M1" s="2475"/>
    </row>
    <row r="2" spans="2:14" ht="15" x14ac:dyDescent="0.2">
      <c r="B2" s="2464">
        <f>'Single Audit Cover'!E7</f>
        <v>32046001026</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2108</v>
      </c>
      <c r="C11" s="1338"/>
      <c r="D11" s="1339"/>
      <c r="E11" s="1340"/>
      <c r="F11" s="1340"/>
      <c r="G11" s="1340"/>
      <c r="H11" s="1340"/>
      <c r="I11" s="1340"/>
      <c r="J11" s="1340"/>
      <c r="K11" s="1340"/>
      <c r="L11" s="1340">
        <f>+G11+I11+K11</f>
        <v>0</v>
      </c>
      <c r="M11" s="1340"/>
    </row>
    <row r="12" spans="2:14" ht="20.100000000000001" customHeight="1" x14ac:dyDescent="0.2">
      <c r="B12" s="1955" t="s">
        <v>2109</v>
      </c>
      <c r="C12" s="1341"/>
      <c r="D12" s="1342"/>
      <c r="E12" s="1343"/>
      <c r="F12" s="1343"/>
      <c r="G12" s="1343"/>
      <c r="H12" s="1343"/>
      <c r="I12" s="1343"/>
      <c r="J12" s="1343"/>
      <c r="K12" s="1343"/>
      <c r="L12" s="1340">
        <f t="shared" ref="L12:L27" si="0">+G12+I12+K12</f>
        <v>0</v>
      </c>
      <c r="M12" s="1343"/>
    </row>
    <row r="13" spans="2:14" ht="20.100000000000001" customHeight="1" x14ac:dyDescent="0.2">
      <c r="B13" s="1337" t="s">
        <v>2114</v>
      </c>
      <c r="C13" s="1341">
        <v>84.01</v>
      </c>
      <c r="D13" s="1342" t="s">
        <v>2111</v>
      </c>
      <c r="E13" s="1343">
        <v>265686</v>
      </c>
      <c r="F13" s="1343">
        <v>225252</v>
      </c>
      <c r="G13" s="1343">
        <v>379753</v>
      </c>
      <c r="H13" s="1343">
        <v>0</v>
      </c>
      <c r="I13" s="1343">
        <v>111185</v>
      </c>
      <c r="J13" s="1343">
        <v>0</v>
      </c>
      <c r="K13" s="1343">
        <v>0</v>
      </c>
      <c r="L13" s="1340">
        <f t="shared" si="0"/>
        <v>490938</v>
      </c>
      <c r="M13" s="1343">
        <v>529207</v>
      </c>
    </row>
    <row r="14" spans="2:14" ht="20.100000000000001" customHeight="1" x14ac:dyDescent="0.2">
      <c r="B14" s="1337" t="s">
        <v>2114</v>
      </c>
      <c r="C14" s="1341">
        <v>84.01</v>
      </c>
      <c r="D14" s="1342" t="s">
        <v>2112</v>
      </c>
      <c r="E14" s="1343">
        <v>0</v>
      </c>
      <c r="F14" s="1343">
        <v>230879</v>
      </c>
      <c r="G14" s="1343">
        <v>0</v>
      </c>
      <c r="H14" s="1343">
        <v>0</v>
      </c>
      <c r="I14" s="1343">
        <v>322991</v>
      </c>
      <c r="J14" s="1343">
        <v>0</v>
      </c>
      <c r="K14" s="1343">
        <v>101500</v>
      </c>
      <c r="L14" s="1340">
        <f t="shared" si="0"/>
        <v>424491</v>
      </c>
      <c r="M14" s="1343">
        <v>482315</v>
      </c>
    </row>
    <row r="15" spans="2:14" ht="20.100000000000001" customHeight="1" x14ac:dyDescent="0.2">
      <c r="B15" s="1957" t="s">
        <v>2113</v>
      </c>
      <c r="C15" s="1341"/>
      <c r="D15" s="1342"/>
      <c r="E15" s="1958">
        <f>SUBTOTAL(9,E13:E14)</f>
        <v>265686</v>
      </c>
      <c r="F15" s="1958">
        <f t="shared" ref="F15:K15" si="1">SUBTOTAL(9,F13:F14)</f>
        <v>456131</v>
      </c>
      <c r="G15" s="1958">
        <f t="shared" si="1"/>
        <v>379753</v>
      </c>
      <c r="H15" s="1958">
        <f t="shared" si="1"/>
        <v>0</v>
      </c>
      <c r="I15" s="1958">
        <f t="shared" si="1"/>
        <v>434176</v>
      </c>
      <c r="J15" s="1958">
        <f t="shared" si="1"/>
        <v>0</v>
      </c>
      <c r="K15" s="1958">
        <f t="shared" si="1"/>
        <v>101500</v>
      </c>
      <c r="L15" s="1340">
        <f t="shared" si="0"/>
        <v>915429</v>
      </c>
      <c r="M15" s="1343"/>
    </row>
    <row r="16" spans="2:14" ht="20.100000000000001" customHeight="1" x14ac:dyDescent="0.2">
      <c r="B16" s="1337" t="s">
        <v>2115</v>
      </c>
      <c r="C16" s="1341">
        <v>84.367000000000004</v>
      </c>
      <c r="D16" s="1342" t="s">
        <v>2116</v>
      </c>
      <c r="E16" s="1343">
        <v>63440</v>
      </c>
      <c r="F16" s="1343">
        <v>19278</v>
      </c>
      <c r="G16" s="1343">
        <v>82718</v>
      </c>
      <c r="H16" s="1343">
        <v>0</v>
      </c>
      <c r="I16" s="1343">
        <v>0</v>
      </c>
      <c r="J16" s="1343">
        <v>0</v>
      </c>
      <c r="K16" s="1343">
        <v>0</v>
      </c>
      <c r="L16" s="1340">
        <f t="shared" si="0"/>
        <v>82718</v>
      </c>
      <c r="M16" s="1343">
        <v>82718</v>
      </c>
    </row>
    <row r="17" spans="2:14" ht="20.100000000000001" customHeight="1" x14ac:dyDescent="0.2">
      <c r="B17" s="1337" t="s">
        <v>2115</v>
      </c>
      <c r="C17" s="1341">
        <v>84.367000000000004</v>
      </c>
      <c r="D17" s="1342" t="s">
        <v>2117</v>
      </c>
      <c r="E17" s="1343">
        <v>0</v>
      </c>
      <c r="F17" s="1343">
        <v>56104</v>
      </c>
      <c r="G17" s="1343">
        <v>0</v>
      </c>
      <c r="H17" s="1343">
        <v>0</v>
      </c>
      <c r="I17" s="1343">
        <v>66013</v>
      </c>
      <c r="J17" s="1343">
        <v>0</v>
      </c>
      <c r="K17" s="1343">
        <v>1592</v>
      </c>
      <c r="L17" s="1340">
        <f t="shared" si="0"/>
        <v>67605</v>
      </c>
      <c r="M17" s="1343">
        <v>73198</v>
      </c>
    </row>
    <row r="18" spans="2:14" ht="20.100000000000001" customHeight="1" x14ac:dyDescent="0.2">
      <c r="B18" s="1957" t="s">
        <v>2118</v>
      </c>
      <c r="C18" s="1341"/>
      <c r="D18" s="1342"/>
      <c r="E18" s="1958">
        <f>SUBTOTAL(9,E16:E17)</f>
        <v>63440</v>
      </c>
      <c r="F18" s="1958">
        <f t="shared" ref="F18" si="2">SUBTOTAL(9,F16:F17)</f>
        <v>75382</v>
      </c>
      <c r="G18" s="1958">
        <f t="shared" ref="G18" si="3">SUBTOTAL(9,G16:G17)</f>
        <v>82718</v>
      </c>
      <c r="H18" s="1958">
        <f t="shared" ref="H18" si="4">SUBTOTAL(9,H16:H17)</f>
        <v>0</v>
      </c>
      <c r="I18" s="1958">
        <f t="shared" ref="I18" si="5">SUBTOTAL(9,I16:I17)</f>
        <v>66013</v>
      </c>
      <c r="J18" s="1958">
        <f t="shared" ref="J18:K18" si="6">SUBTOTAL(9,J16:J17)</f>
        <v>0</v>
      </c>
      <c r="K18" s="1958">
        <f t="shared" si="6"/>
        <v>1592</v>
      </c>
      <c r="L18" s="1340">
        <f t="shared" si="0"/>
        <v>150323</v>
      </c>
      <c r="M18" s="1343"/>
    </row>
    <row r="19" spans="2:14" ht="20.100000000000001" customHeight="1" x14ac:dyDescent="0.2">
      <c r="B19" s="1337" t="s">
        <v>2119</v>
      </c>
      <c r="C19" s="1341">
        <v>84.364999999999995</v>
      </c>
      <c r="D19" s="1342" t="s">
        <v>2121</v>
      </c>
      <c r="E19" s="1962">
        <v>14948</v>
      </c>
      <c r="F19" s="1962">
        <v>5141</v>
      </c>
      <c r="G19" s="1962">
        <v>19539</v>
      </c>
      <c r="H19" s="1962">
        <v>0</v>
      </c>
      <c r="I19" s="1962">
        <v>550</v>
      </c>
      <c r="J19" s="1962">
        <v>0</v>
      </c>
      <c r="K19" s="1343">
        <v>0</v>
      </c>
      <c r="L19" s="1340">
        <f t="shared" si="0"/>
        <v>20089</v>
      </c>
      <c r="M19" s="1343">
        <v>21134</v>
      </c>
    </row>
    <row r="20" spans="2:14" ht="20.100000000000001" customHeight="1" x14ac:dyDescent="0.2">
      <c r="B20" s="1337" t="s">
        <v>2119</v>
      </c>
      <c r="C20" s="1341">
        <v>84.364999999999995</v>
      </c>
      <c r="D20" s="1342" t="s">
        <v>2122</v>
      </c>
      <c r="E20" s="1343">
        <v>0</v>
      </c>
      <c r="F20" s="1343">
        <v>5464</v>
      </c>
      <c r="G20" s="1343">
        <v>0</v>
      </c>
      <c r="H20" s="1343">
        <v>0</v>
      </c>
      <c r="I20" s="1343">
        <v>12567</v>
      </c>
      <c r="J20" s="1343">
        <v>0</v>
      </c>
      <c r="K20" s="1343">
        <v>1134</v>
      </c>
      <c r="L20" s="1340">
        <f t="shared" si="0"/>
        <v>13701</v>
      </c>
      <c r="M20" s="1343">
        <v>18641</v>
      </c>
    </row>
    <row r="21" spans="2:14" ht="20.100000000000001" customHeight="1" x14ac:dyDescent="0.2">
      <c r="B21" s="1957" t="s">
        <v>2120</v>
      </c>
      <c r="C21" s="1341"/>
      <c r="D21" s="1342"/>
      <c r="E21" s="1958">
        <f>SUBTOTAL(9,E19:E20)</f>
        <v>14948</v>
      </c>
      <c r="F21" s="1958">
        <f t="shared" ref="F21" si="7">SUBTOTAL(9,F19:F20)</f>
        <v>10605</v>
      </c>
      <c r="G21" s="1958">
        <f t="shared" ref="G21" si="8">SUBTOTAL(9,G19:G20)</f>
        <v>19539</v>
      </c>
      <c r="H21" s="1958">
        <f t="shared" ref="H21" si="9">SUBTOTAL(9,H19:H20)</f>
        <v>0</v>
      </c>
      <c r="I21" s="1958">
        <f t="shared" ref="I21" si="10">SUBTOTAL(9,I19:I20)</f>
        <v>13117</v>
      </c>
      <c r="J21" s="1958">
        <f t="shared" ref="J21:K21" si="11">SUBTOTAL(9,J19:J20)</f>
        <v>0</v>
      </c>
      <c r="K21" s="1958">
        <f t="shared" si="11"/>
        <v>1134</v>
      </c>
      <c r="L21" s="1340">
        <f t="shared" si="0"/>
        <v>33790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956" t="s">
        <v>2123</v>
      </c>
      <c r="C23" s="1341"/>
      <c r="D23" s="1342"/>
      <c r="E23" s="1343"/>
      <c r="F23" s="1343"/>
      <c r="G23" s="1343"/>
      <c r="H23" s="1343"/>
      <c r="I23" s="1343"/>
      <c r="J23" s="1343"/>
      <c r="K23" s="1343"/>
      <c r="L23" s="1340">
        <f t="shared" si="0"/>
        <v>0</v>
      </c>
      <c r="M23" s="1343"/>
    </row>
    <row r="24" spans="2:14" ht="20.100000000000001" customHeight="1" x14ac:dyDescent="0.2">
      <c r="B24" s="1337" t="s">
        <v>2124</v>
      </c>
      <c r="C24" s="1341">
        <v>84.027000000000001</v>
      </c>
      <c r="D24" s="1342" t="s">
        <v>2125</v>
      </c>
      <c r="E24" s="1962">
        <v>101109</v>
      </c>
      <c r="F24" s="1962">
        <v>70650</v>
      </c>
      <c r="G24" s="1962">
        <v>126595</v>
      </c>
      <c r="H24" s="1962">
        <v>0</v>
      </c>
      <c r="I24" s="1962">
        <v>0</v>
      </c>
      <c r="J24" s="1962">
        <v>0</v>
      </c>
      <c r="K24" s="1343">
        <v>0</v>
      </c>
      <c r="L24" s="1340">
        <f t="shared" si="0"/>
        <v>126595</v>
      </c>
      <c r="M24" s="1343" t="s">
        <v>2153</v>
      </c>
    </row>
    <row r="25" spans="2:14" ht="20.100000000000001" customHeight="1" x14ac:dyDescent="0.2">
      <c r="B25" s="1337" t="s">
        <v>2124</v>
      </c>
      <c r="C25" s="1341">
        <v>84.027000000000001</v>
      </c>
      <c r="D25" s="1342" t="s">
        <v>2126</v>
      </c>
      <c r="E25" s="1343">
        <v>0</v>
      </c>
      <c r="F25" s="1343">
        <v>103150</v>
      </c>
      <c r="G25" s="1343">
        <v>0</v>
      </c>
      <c r="H25" s="1343">
        <v>0</v>
      </c>
      <c r="I25" s="1343">
        <v>129151</v>
      </c>
      <c r="J25" s="1343">
        <v>0</v>
      </c>
      <c r="K25" s="1343">
        <v>0</v>
      </c>
      <c r="L25" s="1340">
        <f t="shared" si="0"/>
        <v>129151</v>
      </c>
      <c r="M25" s="1343" t="s">
        <v>2153</v>
      </c>
    </row>
    <row r="26" spans="2:14" ht="20.100000000000001" customHeight="1" x14ac:dyDescent="0.2">
      <c r="B26" s="1337" t="s">
        <v>2127</v>
      </c>
      <c r="C26" s="1341">
        <v>84.027000000000001</v>
      </c>
      <c r="D26" s="1342" t="s">
        <v>2129</v>
      </c>
      <c r="E26" s="1343">
        <v>0</v>
      </c>
      <c r="F26" s="1343">
        <v>174724</v>
      </c>
      <c r="G26" s="1343">
        <v>0</v>
      </c>
      <c r="H26" s="1343">
        <v>0</v>
      </c>
      <c r="I26" s="1343">
        <v>242249</v>
      </c>
      <c r="J26" s="1343">
        <v>0</v>
      </c>
      <c r="K26" s="1343">
        <v>38979</v>
      </c>
      <c r="L26" s="1340">
        <f t="shared" si="0"/>
        <v>281228</v>
      </c>
      <c r="M26" s="1343">
        <v>285877</v>
      </c>
    </row>
    <row r="27" spans="2:14" ht="20.100000000000001" customHeight="1" x14ac:dyDescent="0.2">
      <c r="B27" s="1337" t="s">
        <v>2130</v>
      </c>
      <c r="C27" s="1341">
        <v>84.173000000000002</v>
      </c>
      <c r="D27" s="1342" t="s">
        <v>2131</v>
      </c>
      <c r="E27" s="1343">
        <v>0</v>
      </c>
      <c r="F27" s="1343">
        <v>0</v>
      </c>
      <c r="G27" s="1343">
        <v>0</v>
      </c>
      <c r="H27" s="1343">
        <v>0</v>
      </c>
      <c r="I27" s="1343">
        <v>4967</v>
      </c>
      <c r="J27" s="1343">
        <v>0</v>
      </c>
      <c r="K27" s="1343">
        <v>512</v>
      </c>
      <c r="L27" s="1340">
        <f t="shared" si="0"/>
        <v>5479</v>
      </c>
      <c r="M27" s="1343">
        <v>5483</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13" sqref="A12:H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2083</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2083</v>
      </c>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t="s">
        <v>2212</v>
      </c>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2075</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A13" sqref="A12: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Momence CUSD 1</v>
      </c>
      <c r="C1" s="2475"/>
      <c r="D1" s="2475"/>
      <c r="E1" s="2475"/>
      <c r="F1" s="2475"/>
      <c r="G1" s="2475"/>
      <c r="H1" s="2475"/>
      <c r="I1" s="2475"/>
      <c r="J1" s="2475"/>
      <c r="K1" s="2475"/>
      <c r="L1" s="2475"/>
      <c r="M1" s="2475"/>
    </row>
    <row r="2" spans="2:14" ht="15" x14ac:dyDescent="0.2">
      <c r="B2" s="2464">
        <f>'Single Audit Cover'!E7</f>
        <v>32046001026</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5" t="s">
        <v>2132</v>
      </c>
      <c r="C11" s="1338"/>
      <c r="D11" s="1339"/>
      <c r="E11" s="1959">
        <f>SUBTOTAL(9,' SEFA'!E11:E27)</f>
        <v>445183</v>
      </c>
      <c r="F11" s="1959">
        <f>SUBTOTAL(9,' SEFA'!F11:F27)</f>
        <v>890642</v>
      </c>
      <c r="G11" s="1959">
        <f>SUBTOTAL(9,' SEFA'!G11:G27)</f>
        <v>608605</v>
      </c>
      <c r="H11" s="1959">
        <f>SUBTOTAL(9,' SEFA'!H11:H27)</f>
        <v>0</v>
      </c>
      <c r="I11" s="1959">
        <f>SUBTOTAL(9,' SEFA'!I11:I27)</f>
        <v>889673</v>
      </c>
      <c r="J11" s="1959">
        <f>SUBTOTAL(9,' SEFA'!J11:J27)</f>
        <v>0</v>
      </c>
      <c r="K11" s="1959">
        <f>SUBTOTAL(9,' SEFA'!K11:K27)</f>
        <v>143717</v>
      </c>
      <c r="L11" s="1340">
        <f>+G11+I11+K11</f>
        <v>1641995</v>
      </c>
      <c r="M11" s="1340"/>
    </row>
    <row r="12" spans="2:14" ht="20.100000000000001" customHeight="1" x14ac:dyDescent="0.2">
      <c r="B12" s="1337"/>
      <c r="C12" s="1341"/>
      <c r="D12" s="1342"/>
      <c r="E12" s="1343"/>
      <c r="F12" s="1343"/>
      <c r="G12" s="1343"/>
      <c r="H12" s="1343"/>
      <c r="I12" s="1343"/>
      <c r="J12" s="1343"/>
      <c r="K12" s="1343"/>
      <c r="L12" s="1340">
        <f t="shared" ref="L12:L23" si="0">+G12+I12+K12</f>
        <v>0</v>
      </c>
      <c r="M12" s="1343"/>
    </row>
    <row r="13" spans="2:14" ht="20.100000000000001" customHeight="1" x14ac:dyDescent="0.2">
      <c r="B13" s="1955" t="s">
        <v>2133</v>
      </c>
      <c r="C13" s="1341"/>
      <c r="D13" s="1342"/>
      <c r="E13" s="1343"/>
      <c r="F13" s="1343"/>
      <c r="G13" s="1343"/>
      <c r="H13" s="1343"/>
      <c r="I13" s="1343"/>
      <c r="J13" s="1343"/>
      <c r="K13" s="1343"/>
      <c r="L13" s="1340">
        <f t="shared" si="0"/>
        <v>0</v>
      </c>
      <c r="M13" s="1343"/>
    </row>
    <row r="14" spans="2:14" ht="20.100000000000001" customHeight="1" x14ac:dyDescent="0.2">
      <c r="B14" s="1337" t="s">
        <v>2127</v>
      </c>
      <c r="C14" s="1341">
        <v>84.027000000000001</v>
      </c>
      <c r="D14" s="1342" t="s">
        <v>2128</v>
      </c>
      <c r="E14" s="1343">
        <v>128263</v>
      </c>
      <c r="F14" s="1343">
        <v>108539</v>
      </c>
      <c r="G14" s="1343">
        <v>236802</v>
      </c>
      <c r="H14" s="1343">
        <v>0</v>
      </c>
      <c r="I14" s="1343">
        <v>0</v>
      </c>
      <c r="J14" s="1343">
        <v>0</v>
      </c>
      <c r="K14" s="1343">
        <v>0</v>
      </c>
      <c r="L14" s="1340">
        <f t="shared" si="0"/>
        <v>236802</v>
      </c>
      <c r="M14" s="1343" t="s">
        <v>2153</v>
      </c>
    </row>
    <row r="15" spans="2:14" ht="20.100000000000001" customHeight="1" x14ac:dyDescent="0.2">
      <c r="B15" s="1337" t="s">
        <v>2130</v>
      </c>
      <c r="C15" s="1341">
        <v>84.173000000000002</v>
      </c>
      <c r="D15" s="1342" t="s">
        <v>2134</v>
      </c>
      <c r="E15" s="1343">
        <v>3102</v>
      </c>
      <c r="F15" s="1343">
        <v>2948</v>
      </c>
      <c r="G15" s="1343">
        <v>6050</v>
      </c>
      <c r="H15" s="1343">
        <v>0</v>
      </c>
      <c r="I15" s="1343">
        <v>0</v>
      </c>
      <c r="J15" s="1343">
        <v>0</v>
      </c>
      <c r="K15" s="1343">
        <v>0</v>
      </c>
      <c r="L15" s="1340">
        <f t="shared" si="0"/>
        <v>6050</v>
      </c>
      <c r="M15" s="1343" t="s">
        <v>2153</v>
      </c>
    </row>
    <row r="16" spans="2:14" ht="20.100000000000001" customHeight="1" x14ac:dyDescent="0.2">
      <c r="B16" s="1955" t="s">
        <v>2135</v>
      </c>
      <c r="C16" s="1341"/>
      <c r="D16" s="1342"/>
      <c r="E16" s="1960">
        <f>SUBTOTAL(9,E14:E15)</f>
        <v>131365</v>
      </c>
      <c r="F16" s="1960">
        <f t="shared" ref="F16:K16" si="1">SUBTOTAL(9,F14:F15)</f>
        <v>111487</v>
      </c>
      <c r="G16" s="1960">
        <f t="shared" si="1"/>
        <v>242852</v>
      </c>
      <c r="H16" s="1960">
        <f t="shared" si="1"/>
        <v>0</v>
      </c>
      <c r="I16" s="1960">
        <f t="shared" si="1"/>
        <v>0</v>
      </c>
      <c r="J16" s="1960">
        <f t="shared" si="1"/>
        <v>0</v>
      </c>
      <c r="K16" s="1960">
        <f t="shared" si="1"/>
        <v>0</v>
      </c>
      <c r="L16" s="1340">
        <f t="shared" si="0"/>
        <v>242852</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957" t="s">
        <v>2136</v>
      </c>
      <c r="C18" s="1341"/>
      <c r="D18" s="1342"/>
      <c r="E18" s="1958">
        <f>SUBTOTAL(9,' SEFA'!E24:E26)+SUBTOTAL(9,E14)</f>
        <v>229372</v>
      </c>
      <c r="F18" s="1958">
        <f>SUBTOTAL(9,' SEFA'!F24:F26)+SUBTOTAL(9,F14)</f>
        <v>457063</v>
      </c>
      <c r="G18" s="1958">
        <f>SUBTOTAL(9,' SEFA'!G24:G26)+SUBTOTAL(9,G14)</f>
        <v>363397</v>
      </c>
      <c r="H18" s="1958">
        <f>SUBTOTAL(9,' SEFA'!H24:H26)+SUBTOTAL(9,H14)</f>
        <v>0</v>
      </c>
      <c r="I18" s="1958">
        <f>SUBTOTAL(9,' SEFA'!I24:I26)+SUBTOTAL(9,I14)</f>
        <v>371400</v>
      </c>
      <c r="J18" s="1958">
        <f>SUBTOTAL(9,' SEFA'!J24:J26)+SUBTOTAL(9,J14)</f>
        <v>0</v>
      </c>
      <c r="K18" s="1958">
        <f>SUBTOTAL(9,' SEFA'!K24:K26)+SUBTOTAL(9,K14)</f>
        <v>38979</v>
      </c>
      <c r="L18" s="1340">
        <f t="shared" si="0"/>
        <v>773776</v>
      </c>
      <c r="M18" s="1343"/>
    </row>
    <row r="19" spans="2:14" ht="20.100000000000001" customHeight="1" x14ac:dyDescent="0.2">
      <c r="B19" s="1957" t="s">
        <v>2137</v>
      </c>
      <c r="C19" s="1341"/>
      <c r="D19" s="1342"/>
      <c r="E19" s="1958">
        <f>SUBTOTAL(9,' SEFA'!E27)+SUBTOTAL(9,E15)</f>
        <v>3102</v>
      </c>
      <c r="F19" s="1958">
        <f>SUBTOTAL(9,' SEFA'!F27)+SUBTOTAL(9,F15)</f>
        <v>2948</v>
      </c>
      <c r="G19" s="1958">
        <f>SUBTOTAL(9,' SEFA'!G27)+SUBTOTAL(9,G15)</f>
        <v>6050</v>
      </c>
      <c r="H19" s="1958">
        <f>SUBTOTAL(9,' SEFA'!H27)+SUBTOTAL(9,H15)</f>
        <v>0</v>
      </c>
      <c r="I19" s="1958">
        <f>SUBTOTAL(9,' SEFA'!I27)+SUBTOTAL(9,I15)</f>
        <v>4967</v>
      </c>
      <c r="J19" s="1958">
        <f>SUBTOTAL(9,' SEFA'!J27)+SUBTOTAL(9,J15)</f>
        <v>0</v>
      </c>
      <c r="K19" s="1958">
        <f>SUBTOTAL(9,' SEFA'!K27)+SUBTOTAL(9,K15)</f>
        <v>512</v>
      </c>
      <c r="L19" s="1340">
        <f t="shared" si="0"/>
        <v>11529</v>
      </c>
      <c r="M19" s="1343"/>
    </row>
    <row r="20" spans="2:14" ht="20.100000000000001" customHeight="1" x14ac:dyDescent="0.2">
      <c r="B20" s="1956" t="s">
        <v>2138</v>
      </c>
      <c r="C20" s="1341"/>
      <c r="D20" s="1342"/>
      <c r="E20" s="1958">
        <f>SUBTOTAL(9,E11:E19)+SUBTOTAL(9,' SEFA'!E24:E27)</f>
        <v>232474</v>
      </c>
      <c r="F20" s="1958">
        <f>SUBTOTAL(9,F11:F19)+SUBTOTAL(9,' SEFA'!F24:F27)</f>
        <v>460011</v>
      </c>
      <c r="G20" s="1958">
        <f>SUBTOTAL(9,G11:G19)+SUBTOTAL(9,' SEFA'!G24:G27)</f>
        <v>369447</v>
      </c>
      <c r="H20" s="1958">
        <f>SUBTOTAL(9,H11:H19)+SUBTOTAL(9,' SEFA'!H24:H27)</f>
        <v>0</v>
      </c>
      <c r="I20" s="1958">
        <f>SUBTOTAL(9,I11:I19)+SUBTOTAL(9,' SEFA'!I24:I27)</f>
        <v>376367</v>
      </c>
      <c r="J20" s="1958">
        <f>SUBTOTAL(9,J11:J19)+SUBTOTAL(9,' SEFA'!J24:J27)</f>
        <v>0</v>
      </c>
      <c r="K20" s="1958">
        <f>SUBTOTAL(9,K11:K19)+SUBTOTAL(9,' SEFA'!K24:K27)</f>
        <v>39491</v>
      </c>
      <c r="L20" s="1340">
        <f t="shared" si="0"/>
        <v>785305</v>
      </c>
      <c r="M20" s="1343"/>
    </row>
    <row r="21" spans="2:14" ht="20.100000000000001" customHeight="1" x14ac:dyDescent="0.2">
      <c r="B21" s="1954" t="s">
        <v>2207</v>
      </c>
      <c r="C21" s="1341"/>
      <c r="D21" s="1342"/>
      <c r="E21" s="1961">
        <f>SUBTOTAL(9,E11:E20)+SUBTOTAL(9,' SEFA'!E11:E28)</f>
        <v>576548</v>
      </c>
      <c r="F21" s="1961">
        <f>SUBTOTAL(9,F11:F20)+SUBTOTAL(9,' SEFA'!F11:F28)</f>
        <v>1002129</v>
      </c>
      <c r="G21" s="1961">
        <f>SUBTOTAL(9,G11:G20)+SUBTOTAL(9,' SEFA'!G11:G28)</f>
        <v>851457</v>
      </c>
      <c r="H21" s="1961">
        <f>SUBTOTAL(9,H11:H20)+SUBTOTAL(9,' SEFA'!H11:H28)</f>
        <v>0</v>
      </c>
      <c r="I21" s="1961">
        <f>SUBTOTAL(9,I11:I20)+SUBTOTAL(9,' SEFA'!I11:I28)</f>
        <v>889673</v>
      </c>
      <c r="J21" s="1961">
        <f>SUBTOTAL(9,J11:J20)+SUBTOTAL(9,' SEFA'!J11:J28)</f>
        <v>0</v>
      </c>
      <c r="K21" s="1961">
        <f>SUBTOTAL(9,K11:K20)+SUBTOTAL(9,' SEFA'!K11:K28)</f>
        <v>143717</v>
      </c>
      <c r="L21" s="1340">
        <f t="shared" si="0"/>
        <v>1884847</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954" t="s">
        <v>2139</v>
      </c>
      <c r="C23" s="1341"/>
      <c r="D23" s="1342"/>
      <c r="E23" s="1343"/>
      <c r="F23" s="1343"/>
      <c r="G23" s="1343"/>
      <c r="H23" s="1343"/>
      <c r="I23" s="1343"/>
      <c r="J23" s="1343"/>
      <c r="K23" s="1343"/>
      <c r="L23" s="1340">
        <f t="shared" si="0"/>
        <v>0</v>
      </c>
      <c r="M23" s="1343"/>
    </row>
    <row r="24" spans="2:14" ht="20.100000000000001" customHeight="1" x14ac:dyDescent="0.2">
      <c r="B24" s="1955" t="s">
        <v>2209</v>
      </c>
      <c r="C24" s="1341"/>
      <c r="D24" s="1342"/>
      <c r="E24" s="1343"/>
      <c r="F24" s="1343"/>
      <c r="G24" s="1343"/>
      <c r="H24" s="1343"/>
      <c r="I24" s="1343"/>
      <c r="J24" s="1343"/>
      <c r="K24" s="1343"/>
      <c r="L24" s="1340"/>
      <c r="M24" s="1343"/>
    </row>
    <row r="25" spans="2:14" ht="20.100000000000001" customHeight="1" x14ac:dyDescent="0.2">
      <c r="B25" s="1337" t="s">
        <v>2140</v>
      </c>
      <c r="C25" s="1341">
        <v>93.778000000000006</v>
      </c>
      <c r="D25" s="1342" t="s">
        <v>1663</v>
      </c>
      <c r="E25" s="1343">
        <v>32231</v>
      </c>
      <c r="F25" s="1343">
        <v>7620</v>
      </c>
      <c r="G25" s="1343">
        <v>39851</v>
      </c>
      <c r="H25" s="1343">
        <v>0</v>
      </c>
      <c r="I25" s="1343">
        <v>0</v>
      </c>
      <c r="J25" s="1343">
        <v>0</v>
      </c>
      <c r="K25" s="1343">
        <v>0</v>
      </c>
      <c r="L25" s="1340">
        <f t="shared" ref="L25:L27" si="2">+G25+I25+K25</f>
        <v>39851</v>
      </c>
      <c r="M25" s="1343" t="s">
        <v>2153</v>
      </c>
    </row>
    <row r="26" spans="2:14" ht="20.100000000000001" customHeight="1" x14ac:dyDescent="0.2">
      <c r="B26" s="1337" t="s">
        <v>2140</v>
      </c>
      <c r="C26" s="1341">
        <v>93.778000000000006</v>
      </c>
      <c r="D26" s="1342" t="s">
        <v>1948</v>
      </c>
      <c r="E26" s="1343">
        <v>0</v>
      </c>
      <c r="F26" s="1343">
        <v>21174</v>
      </c>
      <c r="G26" s="1343">
        <v>0</v>
      </c>
      <c r="H26" s="1343">
        <v>0</v>
      </c>
      <c r="I26" s="1343">
        <v>21174</v>
      </c>
      <c r="J26" s="1343">
        <v>0</v>
      </c>
      <c r="K26" s="1343">
        <v>0</v>
      </c>
      <c r="L26" s="1340">
        <f t="shared" si="2"/>
        <v>21174</v>
      </c>
      <c r="M26" s="1343" t="s">
        <v>2153</v>
      </c>
    </row>
    <row r="27" spans="2:14" ht="20.100000000000001" customHeight="1" x14ac:dyDescent="0.2">
      <c r="B27" s="1954" t="s">
        <v>2151</v>
      </c>
      <c r="C27" s="1341"/>
      <c r="D27" s="1342"/>
      <c r="E27" s="1961">
        <f>SUBTOTAL(9,E25:E26)</f>
        <v>32231</v>
      </c>
      <c r="F27" s="1961">
        <f t="shared" ref="F27:K27" si="3">SUBTOTAL(9,F25:F26)</f>
        <v>28794</v>
      </c>
      <c r="G27" s="1961">
        <f t="shared" si="3"/>
        <v>39851</v>
      </c>
      <c r="H27" s="1961">
        <f t="shared" si="3"/>
        <v>0</v>
      </c>
      <c r="I27" s="1961">
        <f t="shared" si="3"/>
        <v>21174</v>
      </c>
      <c r="J27" s="1961">
        <f t="shared" si="3"/>
        <v>0</v>
      </c>
      <c r="K27" s="1961">
        <f t="shared" si="3"/>
        <v>0</v>
      </c>
      <c r="L27" s="1340">
        <f t="shared" si="2"/>
        <v>61025</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A13" sqref="A12: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Momence CUSD 1</v>
      </c>
      <c r="C1" s="2475"/>
      <c r="D1" s="2475"/>
      <c r="E1" s="2475"/>
      <c r="F1" s="2475"/>
      <c r="G1" s="2475"/>
      <c r="H1" s="2475"/>
      <c r="I1" s="2475"/>
      <c r="J1" s="2475"/>
      <c r="K1" s="2475"/>
      <c r="L1" s="2475"/>
      <c r="M1" s="2475"/>
    </row>
    <row r="2" spans="2:14" ht="15" x14ac:dyDescent="0.2">
      <c r="B2" s="2464">
        <f>'Single Audit Cover'!E7</f>
        <v>32046001026</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2141</v>
      </c>
      <c r="C11" s="1338"/>
      <c r="D11" s="1339"/>
      <c r="E11" s="1340"/>
      <c r="F11" s="1340"/>
      <c r="G11" s="1340"/>
      <c r="H11" s="1340"/>
      <c r="I11" s="1340"/>
      <c r="J11" s="1340"/>
      <c r="K11" s="1340"/>
      <c r="L11" s="1340">
        <f>+G11+I11+K11</f>
        <v>0</v>
      </c>
      <c r="M11" s="1340"/>
    </row>
    <row r="12" spans="2:14" ht="20.100000000000001" customHeight="1" x14ac:dyDescent="0.2">
      <c r="B12" s="1954" t="s">
        <v>2142</v>
      </c>
      <c r="C12" s="1341"/>
      <c r="D12" s="1342"/>
      <c r="E12" s="1343"/>
      <c r="F12" s="1343"/>
      <c r="G12" s="1343"/>
      <c r="H12" s="1343"/>
      <c r="I12" s="1343"/>
      <c r="J12" s="1343"/>
      <c r="K12" s="1343"/>
      <c r="L12" s="1340">
        <f t="shared" ref="L12:L27" si="0">+G12+I12+K12</f>
        <v>0</v>
      </c>
      <c r="M12" s="1343"/>
    </row>
    <row r="13" spans="2:14" ht="20.100000000000001" customHeight="1" x14ac:dyDescent="0.2">
      <c r="B13" s="1955" t="s">
        <v>2109</v>
      </c>
      <c r="C13" s="1341"/>
      <c r="D13" s="1342"/>
      <c r="E13" s="1343"/>
      <c r="F13" s="1343"/>
      <c r="G13" s="1343"/>
      <c r="H13" s="1343"/>
      <c r="I13" s="1343"/>
      <c r="J13" s="1343"/>
      <c r="K13" s="1343"/>
      <c r="L13" s="1340">
        <f t="shared" si="0"/>
        <v>0</v>
      </c>
      <c r="M13" s="1343"/>
    </row>
    <row r="14" spans="2:14" ht="20.100000000000001" customHeight="1" x14ac:dyDescent="0.2">
      <c r="B14" s="1337" t="s">
        <v>2143</v>
      </c>
      <c r="C14" s="1341">
        <v>10.553000000000001</v>
      </c>
      <c r="D14" s="1341" t="s">
        <v>2146</v>
      </c>
      <c r="E14" s="1343">
        <v>46006</v>
      </c>
      <c r="F14" s="1343">
        <v>12825</v>
      </c>
      <c r="G14" s="1343">
        <v>46006</v>
      </c>
      <c r="H14" s="1343">
        <v>0</v>
      </c>
      <c r="I14" s="1343">
        <v>12825</v>
      </c>
      <c r="J14" s="1343">
        <v>0</v>
      </c>
      <c r="K14" s="1343">
        <v>0</v>
      </c>
      <c r="L14" s="1340">
        <f t="shared" si="0"/>
        <v>58831</v>
      </c>
      <c r="M14" s="1343" t="s">
        <v>2153</v>
      </c>
    </row>
    <row r="15" spans="2:14" ht="20.100000000000001" customHeight="1" x14ac:dyDescent="0.2">
      <c r="B15" s="1337" t="s">
        <v>2143</v>
      </c>
      <c r="C15" s="1341">
        <v>10.553000000000001</v>
      </c>
      <c r="D15" s="1341" t="s">
        <v>2147</v>
      </c>
      <c r="E15" s="1343">
        <v>0</v>
      </c>
      <c r="F15" s="1343">
        <v>46647</v>
      </c>
      <c r="G15" s="1343">
        <v>0</v>
      </c>
      <c r="H15" s="1343">
        <v>0</v>
      </c>
      <c r="I15" s="1343">
        <v>46647</v>
      </c>
      <c r="J15" s="1343">
        <v>0</v>
      </c>
      <c r="K15" s="1343">
        <v>0</v>
      </c>
      <c r="L15" s="1340">
        <f t="shared" si="0"/>
        <v>46647</v>
      </c>
      <c r="M15" s="1343" t="s">
        <v>2153</v>
      </c>
    </row>
    <row r="16" spans="2:14" ht="20.100000000000001" customHeight="1" x14ac:dyDescent="0.2">
      <c r="B16" s="1957" t="s">
        <v>2144</v>
      </c>
      <c r="C16" s="1341"/>
      <c r="D16" s="1341"/>
      <c r="E16" s="1958">
        <f>SUBTOTAL(9,E14:E15)</f>
        <v>46006</v>
      </c>
      <c r="F16" s="1958">
        <f t="shared" ref="F16:K16" si="1">SUBTOTAL(9,F14:F15)</f>
        <v>59472</v>
      </c>
      <c r="G16" s="1958">
        <f t="shared" si="1"/>
        <v>46006</v>
      </c>
      <c r="H16" s="1958">
        <f t="shared" si="1"/>
        <v>0</v>
      </c>
      <c r="I16" s="1958">
        <f t="shared" si="1"/>
        <v>59472</v>
      </c>
      <c r="J16" s="1958">
        <f t="shared" si="1"/>
        <v>0</v>
      </c>
      <c r="K16" s="1958">
        <f t="shared" si="1"/>
        <v>0</v>
      </c>
      <c r="L16" s="1340">
        <f t="shared" si="0"/>
        <v>105478</v>
      </c>
      <c r="M16" s="1343"/>
    </row>
    <row r="17" spans="2:14" ht="20.100000000000001" customHeight="1" x14ac:dyDescent="0.2">
      <c r="B17" s="1337" t="s">
        <v>2145</v>
      </c>
      <c r="C17" s="1341">
        <v>10.555</v>
      </c>
      <c r="D17" s="1341" t="s">
        <v>2148</v>
      </c>
      <c r="E17" s="1343">
        <v>219446</v>
      </c>
      <c r="F17" s="1343">
        <v>50881</v>
      </c>
      <c r="G17" s="1343">
        <v>219446</v>
      </c>
      <c r="H17" s="1343">
        <v>0</v>
      </c>
      <c r="I17" s="1343">
        <v>50881</v>
      </c>
      <c r="J17" s="1343">
        <v>0</v>
      </c>
      <c r="K17" s="1343">
        <v>0</v>
      </c>
      <c r="L17" s="1340">
        <f t="shared" si="0"/>
        <v>270327</v>
      </c>
      <c r="M17" s="1343" t="s">
        <v>2153</v>
      </c>
    </row>
    <row r="18" spans="2:14" ht="20.100000000000001" customHeight="1" x14ac:dyDescent="0.2">
      <c r="B18" s="1337" t="s">
        <v>2145</v>
      </c>
      <c r="C18" s="1341">
        <v>10.555</v>
      </c>
      <c r="D18" s="1341" t="s">
        <v>2149</v>
      </c>
      <c r="E18" s="1343">
        <v>0</v>
      </c>
      <c r="F18" s="1343">
        <v>214115</v>
      </c>
      <c r="G18" s="1343">
        <v>0</v>
      </c>
      <c r="H18" s="1343">
        <v>0</v>
      </c>
      <c r="I18" s="1343">
        <v>214115</v>
      </c>
      <c r="J18" s="1343">
        <v>0</v>
      </c>
      <c r="K18" s="1343">
        <v>0</v>
      </c>
      <c r="L18" s="1340">
        <f t="shared" si="0"/>
        <v>214115</v>
      </c>
      <c r="M18" s="1343" t="s">
        <v>2153</v>
      </c>
    </row>
    <row r="19" spans="2:14" ht="20.100000000000001" customHeight="1" x14ac:dyDescent="0.2">
      <c r="B19" s="1337" t="s">
        <v>2155</v>
      </c>
      <c r="C19" s="1341">
        <v>10.555</v>
      </c>
      <c r="D19" s="1342" t="s">
        <v>1663</v>
      </c>
      <c r="E19" s="1343">
        <v>41782</v>
      </c>
      <c r="F19" s="1343">
        <v>0</v>
      </c>
      <c r="G19" s="1343">
        <v>41782</v>
      </c>
      <c r="H19" s="1343">
        <v>0</v>
      </c>
      <c r="I19" s="1343">
        <v>0</v>
      </c>
      <c r="J19" s="1343">
        <v>0</v>
      </c>
      <c r="K19" s="1343">
        <v>0</v>
      </c>
      <c r="L19" s="1340">
        <f t="shared" si="0"/>
        <v>41782</v>
      </c>
      <c r="M19" s="1343" t="s">
        <v>2153</v>
      </c>
    </row>
    <row r="20" spans="2:14" ht="20.100000000000001" customHeight="1" x14ac:dyDescent="0.2">
      <c r="B20" s="1337" t="s">
        <v>2155</v>
      </c>
      <c r="C20" s="1341">
        <v>10.555</v>
      </c>
      <c r="D20" s="1342" t="s">
        <v>1948</v>
      </c>
      <c r="E20" s="1343">
        <v>0</v>
      </c>
      <c r="F20" s="1343">
        <v>29358</v>
      </c>
      <c r="G20" s="1343">
        <v>0</v>
      </c>
      <c r="H20" s="1343">
        <v>0</v>
      </c>
      <c r="I20" s="1343">
        <v>29358</v>
      </c>
      <c r="J20" s="1343">
        <v>0</v>
      </c>
      <c r="K20" s="1343">
        <v>0</v>
      </c>
      <c r="L20" s="1340">
        <f t="shared" si="0"/>
        <v>29358</v>
      </c>
      <c r="M20" s="1343" t="s">
        <v>2153</v>
      </c>
    </row>
    <row r="21" spans="2:14" ht="20.100000000000001" customHeight="1" x14ac:dyDescent="0.2">
      <c r="B21" s="1954" t="s">
        <v>2150</v>
      </c>
      <c r="C21" s="1341"/>
      <c r="D21" s="1342"/>
      <c r="E21" s="1961">
        <f>SUBTOTAL(9,E11:E20)</f>
        <v>307234</v>
      </c>
      <c r="F21" s="1961">
        <f t="shared" ref="F21:K21" si="2">SUBTOTAL(9,F11:F20)</f>
        <v>353826</v>
      </c>
      <c r="G21" s="1961">
        <f t="shared" si="2"/>
        <v>307234</v>
      </c>
      <c r="H21" s="1961">
        <f t="shared" si="2"/>
        <v>0</v>
      </c>
      <c r="I21" s="1961">
        <f t="shared" si="2"/>
        <v>353826</v>
      </c>
      <c r="J21" s="1961">
        <f t="shared" si="2"/>
        <v>0</v>
      </c>
      <c r="K21" s="1961">
        <f t="shared" si="2"/>
        <v>0</v>
      </c>
      <c r="L21" s="1340">
        <f t="shared" si="0"/>
        <v>661060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13" sqref="A12: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Momence CUSD 1</v>
      </c>
      <c r="C1" s="2475"/>
      <c r="D1" s="2475"/>
      <c r="E1" s="2475"/>
      <c r="F1" s="2475"/>
      <c r="G1" s="2475"/>
      <c r="H1" s="2475"/>
      <c r="I1" s="2475"/>
      <c r="J1" s="2475"/>
      <c r="K1" s="2475"/>
      <c r="L1" s="2475"/>
      <c r="M1" s="2475"/>
    </row>
    <row r="2" spans="2:14" ht="15" x14ac:dyDescent="0.2">
      <c r="B2" s="2464">
        <f>'Single Audit Cover'!E7</f>
        <v>32046001026</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2154</v>
      </c>
      <c r="C11" s="1338"/>
      <c r="D11" s="1339"/>
      <c r="E11" s="1340"/>
      <c r="F11" s="1340"/>
      <c r="G11" s="1340"/>
      <c r="H11" s="1340"/>
      <c r="I11" s="1340"/>
      <c r="J11" s="1340"/>
      <c r="K11" s="1340"/>
      <c r="L11" s="1340">
        <f>+G11+I11+K11</f>
        <v>0</v>
      </c>
      <c r="M11" s="1340"/>
    </row>
    <row r="12" spans="2:14" ht="20.100000000000001" customHeight="1" x14ac:dyDescent="0.2">
      <c r="B12" s="1955" t="s">
        <v>2109</v>
      </c>
      <c r="C12" s="1341"/>
      <c r="D12" s="1342"/>
      <c r="E12" s="1343"/>
      <c r="F12" s="1343"/>
      <c r="G12" s="1343"/>
      <c r="H12" s="1343"/>
      <c r="I12" s="1343"/>
      <c r="J12" s="1343"/>
      <c r="K12" s="1343"/>
      <c r="L12" s="1340">
        <f t="shared" ref="L12:L27" si="0">+G12+I12+K12</f>
        <v>0</v>
      </c>
      <c r="M12" s="1343"/>
    </row>
    <row r="13" spans="2:14" ht="20.100000000000001" customHeight="1" x14ac:dyDescent="0.2">
      <c r="B13" s="1337" t="s">
        <v>2155</v>
      </c>
      <c r="C13" s="1341">
        <v>10.555</v>
      </c>
      <c r="D13" s="1342" t="s">
        <v>1663</v>
      </c>
      <c r="E13" s="1343">
        <v>9279</v>
      </c>
      <c r="F13" s="1343">
        <v>0</v>
      </c>
      <c r="G13" s="1343">
        <v>9279</v>
      </c>
      <c r="H13" s="1343">
        <v>0</v>
      </c>
      <c r="I13" s="1343">
        <v>0</v>
      </c>
      <c r="J13" s="1343">
        <v>0</v>
      </c>
      <c r="K13" s="1343">
        <v>0</v>
      </c>
      <c r="L13" s="1340">
        <f t="shared" si="0"/>
        <v>9279</v>
      </c>
      <c r="M13" s="1343" t="s">
        <v>2153</v>
      </c>
    </row>
    <row r="14" spans="2:14" ht="20.100000000000001" customHeight="1" x14ac:dyDescent="0.2">
      <c r="B14" s="1337" t="s">
        <v>2155</v>
      </c>
      <c r="C14" s="1341">
        <v>10.555</v>
      </c>
      <c r="D14" s="1342" t="s">
        <v>1948</v>
      </c>
      <c r="E14" s="1343">
        <v>0</v>
      </c>
      <c r="F14" s="1343">
        <v>9978</v>
      </c>
      <c r="G14" s="1343">
        <v>0</v>
      </c>
      <c r="H14" s="1343">
        <v>0</v>
      </c>
      <c r="I14" s="1343">
        <v>9978</v>
      </c>
      <c r="J14" s="1343">
        <v>0</v>
      </c>
      <c r="K14" s="1343">
        <v>0</v>
      </c>
      <c r="L14" s="1340">
        <f t="shared" si="0"/>
        <v>9978</v>
      </c>
      <c r="M14" s="1343" t="s">
        <v>2153</v>
      </c>
    </row>
    <row r="15" spans="2:14" ht="20.100000000000001" customHeight="1" x14ac:dyDescent="0.2">
      <c r="B15" s="1954" t="s">
        <v>2156</v>
      </c>
      <c r="C15" s="1341"/>
      <c r="D15" s="1342"/>
      <c r="E15" s="1961">
        <f>SUBTOTAL(9,E13:E14)</f>
        <v>9279</v>
      </c>
      <c r="F15" s="1961">
        <f t="shared" ref="F15:K15" si="1">SUBTOTAL(9,F13:F14)</f>
        <v>9978</v>
      </c>
      <c r="G15" s="1961">
        <f t="shared" si="1"/>
        <v>9279</v>
      </c>
      <c r="H15" s="1961">
        <f t="shared" si="1"/>
        <v>0</v>
      </c>
      <c r="I15" s="1961">
        <f t="shared" si="1"/>
        <v>9978</v>
      </c>
      <c r="J15" s="1961">
        <f t="shared" si="1"/>
        <v>0</v>
      </c>
      <c r="K15" s="1961">
        <f t="shared" si="1"/>
        <v>0</v>
      </c>
      <c r="L15" s="1340">
        <f t="shared" si="0"/>
        <v>19257</v>
      </c>
      <c r="M15" s="1343"/>
    </row>
    <row r="16" spans="2:14" ht="20.100000000000001" customHeight="1" x14ac:dyDescent="0.2">
      <c r="B16" s="1957" t="s">
        <v>2157</v>
      </c>
      <c r="C16" s="1341"/>
      <c r="D16" s="1342"/>
      <c r="E16" s="1958">
        <f>(SUBTOTAL(9,E11:E15)+SUBTOTAL(9,' SEFA (3)'!E17:E20))</f>
        <v>270507</v>
      </c>
      <c r="F16" s="1958">
        <f>(SUBTOTAL(9,F11:F15)+SUBTOTAL(9,' SEFA (3)'!F17:F20))</f>
        <v>304332</v>
      </c>
      <c r="G16" s="1958">
        <f>(SUBTOTAL(9,G11:G15)+SUBTOTAL(9,' SEFA (3)'!G17:G20))</f>
        <v>270507</v>
      </c>
      <c r="H16" s="1958">
        <f>(SUBTOTAL(9,H11:H15)+SUBTOTAL(9,' SEFA (3)'!H17:H20))</f>
        <v>0</v>
      </c>
      <c r="I16" s="1958">
        <f>(SUBTOTAL(9,I11:I15)+SUBTOTAL(9,' SEFA (3)'!I17:I20))</f>
        <v>304332</v>
      </c>
      <c r="J16" s="1958">
        <f>(SUBTOTAL(9,J11:J15)+SUBTOTAL(9,' SEFA (3)'!J17:J20))</f>
        <v>0</v>
      </c>
      <c r="K16" s="1958">
        <f>(SUBTOTAL(9,K11:K15)+SUBTOTAL(9,' SEFA (3)'!K17:K20))</f>
        <v>0</v>
      </c>
      <c r="L16" s="1340">
        <f t="shared" si="0"/>
        <v>574839</v>
      </c>
      <c r="M16" s="1343"/>
    </row>
    <row r="17" spans="2:14" ht="20.100000000000001" customHeight="1" x14ac:dyDescent="0.2">
      <c r="B17" s="1956" t="s">
        <v>2158</v>
      </c>
      <c r="C17" s="1341"/>
      <c r="D17" s="1342"/>
      <c r="E17" s="1958">
        <f>(SUBTOTAL(9,E12:E16)+SUBTOTAL(9,' SEFA (3)'!E14:E21))</f>
        <v>316513</v>
      </c>
      <c r="F17" s="1958">
        <f>(SUBTOTAL(9,F12:F16)+SUBTOTAL(9,' SEFA (3)'!F14:F21))</f>
        <v>363804</v>
      </c>
      <c r="G17" s="1958">
        <f>(SUBTOTAL(9,G12:G16)+SUBTOTAL(9,' SEFA (3)'!G14:G21))</f>
        <v>316513</v>
      </c>
      <c r="H17" s="1958">
        <f>(SUBTOTAL(9,H12:H16)+SUBTOTAL(9,' SEFA (3)'!H14:H21))</f>
        <v>0</v>
      </c>
      <c r="I17" s="1958">
        <f>(SUBTOTAL(9,I12:I16)+SUBTOTAL(9,' SEFA (3)'!I14:I21))</f>
        <v>363804</v>
      </c>
      <c r="J17" s="1958">
        <f>(SUBTOTAL(9,J12:J16)+SUBTOTAL(9,' SEFA (3)'!J14:J21))</f>
        <v>0</v>
      </c>
      <c r="K17" s="1958">
        <f>(SUBTOTAL(9,K12:K16)+SUBTOTAL(9,' SEFA (3)'!K14:K21))</f>
        <v>0</v>
      </c>
      <c r="L17" s="1340">
        <f t="shared" si="0"/>
        <v>680317</v>
      </c>
      <c r="M17" s="1343" t="s">
        <v>2153</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963" t="s">
        <v>2159</v>
      </c>
      <c r="C19" s="1341"/>
      <c r="D19" s="1342"/>
      <c r="E19" s="1964">
        <f>SUBTOTAL(9,E11:E18)+SUBTOTAL(9,' SEFA (3)'!E11:E27)+SUBTOTAL(9,' SEFA (2)'!E11:E27)+SUBTOTAL(9,' SEFA'!E11:E27)</f>
        <v>925292</v>
      </c>
      <c r="F19" s="1964">
        <f>SUBTOTAL(9,F11:F18)+SUBTOTAL(9,' SEFA (3)'!F11:F27)+SUBTOTAL(9,' SEFA (2)'!F11:F27)+SUBTOTAL(9,' SEFA'!F11:F27)</f>
        <v>1394727</v>
      </c>
      <c r="G19" s="1964">
        <f>SUBTOTAL(9,G11:G18)+SUBTOTAL(9,' SEFA (3)'!G11:G27)+SUBTOTAL(9,' SEFA (2)'!G11:G27)+SUBTOTAL(9,' SEFA'!G11:G27)</f>
        <v>1207821</v>
      </c>
      <c r="H19" s="1964">
        <f>SUBTOTAL(9,H11:H18)+SUBTOTAL(9,' SEFA (3)'!H11:H27)+SUBTOTAL(9,' SEFA (2)'!H11:H27)+SUBTOTAL(9,' SEFA'!H11:H27)</f>
        <v>0</v>
      </c>
      <c r="I19" s="1964">
        <f>SUBTOTAL(9,I11:I18)+SUBTOTAL(9,' SEFA (3)'!I11:I27)+SUBTOTAL(9,' SEFA (2)'!I11:I27)+SUBTOTAL(9,' SEFA'!I11:I27)</f>
        <v>1274651</v>
      </c>
      <c r="J19" s="1964">
        <f>SUBTOTAL(9,J11:J18)+SUBTOTAL(9,' SEFA (3)'!J11:J27)+SUBTOTAL(9,' SEFA (2)'!J11:J27)+SUBTOTAL(9,' SEFA'!J11:J27)</f>
        <v>0</v>
      </c>
      <c r="K19" s="1964">
        <f>SUBTOTAL(9,K11:K18)+SUBTOTAL(9,' SEFA (3)'!K11:K27)+SUBTOTAL(9,' SEFA (2)'!K11:K27)+SUBTOTAL(9,' SEFA'!K11:K27)</f>
        <v>143717</v>
      </c>
      <c r="L19" s="1340">
        <f t="shared" si="0"/>
        <v>2626189</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 zoomScale="110" zoomScaleNormal="110" workbookViewId="0">
      <selection activeCell="A13" sqref="A12:H1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Momence CUSD 1</v>
      </c>
      <c r="C1" s="2483"/>
      <c r="D1" s="2483"/>
      <c r="E1" s="2483"/>
      <c r="F1" s="2483"/>
      <c r="G1" s="2483"/>
      <c r="H1" s="2483"/>
      <c r="I1" s="2483"/>
      <c r="J1" s="1422"/>
    </row>
    <row r="2" spans="2:10" s="317" customFormat="1" ht="12.75" customHeight="1" x14ac:dyDescent="0.2">
      <c r="B2" s="2484">
        <f>'Single Audit Cover'!E7</f>
        <v>32046001026</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t="s">
        <v>2160</v>
      </c>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2088</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2088</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2088</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2088</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t="s">
        <v>2210</v>
      </c>
      <c r="E29" s="2489"/>
      <c r="F29" s="2489"/>
      <c r="G29" s="2489"/>
      <c r="H29" s="2489"/>
      <c r="I29" s="2489"/>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2088</v>
      </c>
      <c r="F33" s="1300" t="s">
        <v>940</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90" t="s">
        <v>1852</v>
      </c>
      <c r="D37" s="2491"/>
      <c r="E37" s="2491"/>
      <c r="F37" s="2492"/>
      <c r="G37" s="2490" t="s">
        <v>1674</v>
      </c>
      <c r="H37" s="2491"/>
      <c r="I37" s="2492"/>
    </row>
    <row r="38" spans="2:9" ht="16.5" customHeight="1" x14ac:dyDescent="0.2">
      <c r="B38" s="1444">
        <v>84.01</v>
      </c>
      <c r="C38" s="2478" t="s">
        <v>2110</v>
      </c>
      <c r="D38" s="2479"/>
      <c r="E38" s="2479"/>
      <c r="F38" s="2480"/>
      <c r="G38" s="2493">
        <v>434176</v>
      </c>
      <c r="H38" s="2494"/>
      <c r="I38" s="2495"/>
    </row>
    <row r="39" spans="2:9" ht="16.5" customHeight="1" x14ac:dyDescent="0.2">
      <c r="B39" s="1444" t="s">
        <v>2161</v>
      </c>
      <c r="C39" s="2478" t="s">
        <v>2162</v>
      </c>
      <c r="D39" s="2479"/>
      <c r="E39" s="2479"/>
      <c r="F39" s="2480"/>
      <c r="G39" s="2481">
        <v>363804</v>
      </c>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96" t="s">
        <v>1675</v>
      </c>
      <c r="D43" s="2497"/>
      <c r="E43" s="2497"/>
      <c r="F43" s="2498"/>
      <c r="G43" s="2499">
        <f>SUM(G38:I42)</f>
        <v>797980</v>
      </c>
      <c r="H43" s="2499"/>
      <c r="I43" s="2499"/>
    </row>
    <row r="44" spans="2:9" ht="12.75" customHeight="1" x14ac:dyDescent="0.2"/>
    <row r="45" spans="2:9" ht="12.75" customHeight="1" x14ac:dyDescent="0.2">
      <c r="B45" s="1435" t="s">
        <v>1950</v>
      </c>
      <c r="D45" s="2500">
        <v>1274651</v>
      </c>
      <c r="E45" s="2501"/>
    </row>
    <row r="46" spans="2:9" ht="5.25" customHeight="1" x14ac:dyDescent="0.2">
      <c r="B46" s="1445"/>
      <c r="D46" s="1446"/>
      <c r="E46" s="1447"/>
    </row>
    <row r="47" spans="2:9" ht="12.75" customHeight="1" x14ac:dyDescent="0.2">
      <c r="B47" s="1300" t="s">
        <v>1676</v>
      </c>
      <c r="C47" s="1300"/>
      <c r="D47" s="1448">
        <f>+G43/D45</f>
        <v>0.62603802923309992</v>
      </c>
      <c r="E47" s="1449"/>
      <c r="F47" s="1450"/>
      <c r="I47" s="1451"/>
    </row>
    <row r="48" spans="2:9" ht="9.9499999999999993" customHeight="1" x14ac:dyDescent="0.2"/>
    <row r="49" spans="1:9" x14ac:dyDescent="0.2">
      <c r="B49" s="1368" t="s">
        <v>1335</v>
      </c>
      <c r="C49" s="1282"/>
      <c r="D49" s="1282"/>
      <c r="E49" s="2502">
        <v>750000</v>
      </c>
      <c r="F49" s="2502"/>
      <c r="G49" s="2502"/>
      <c r="H49" s="322"/>
    </row>
    <row r="51" spans="1:9" ht="13.5" customHeight="1" x14ac:dyDescent="0.2">
      <c r="B51" s="1368" t="s">
        <v>1334</v>
      </c>
      <c r="C51" s="1282"/>
      <c r="E51" s="1438"/>
      <c r="F51" s="1300" t="s">
        <v>940</v>
      </c>
      <c r="G51" s="1438" t="s">
        <v>2088</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5" zoomScale="110" zoomScaleNormal="110" workbookViewId="0">
      <selection activeCell="A13" sqref="A12:H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Momence CUSD 1</v>
      </c>
      <c r="C1" s="2482"/>
      <c r="D1" s="2482"/>
      <c r="E1" s="2482"/>
      <c r="F1" s="2482"/>
      <c r="G1" s="2482"/>
      <c r="H1" s="2482"/>
      <c r="I1" s="2482"/>
      <c r="J1" s="2482"/>
      <c r="K1" s="2482"/>
      <c r="L1" s="1374"/>
      <c r="M1" s="1374"/>
    </row>
    <row r="2" spans="1:13" ht="12" customHeight="1" x14ac:dyDescent="0.2">
      <c r="B2" s="2484">
        <f>'Single Audit Cover'!E7</f>
        <v>32046001026</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377"/>
      <c r="M3" s="1377"/>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v>1</v>
      </c>
      <c r="E10" s="322"/>
      <c r="F10" s="1387" t="s">
        <v>1362</v>
      </c>
      <c r="G10" s="1388" t="s">
        <v>2083</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4" t="s">
        <v>2190</v>
      </c>
      <c r="C14" s="2504"/>
      <c r="D14" s="2504"/>
      <c r="E14" s="2504"/>
      <c r="F14" s="2504"/>
      <c r="G14" s="2504"/>
      <c r="H14" s="2504"/>
      <c r="I14" s="2504"/>
      <c r="J14" s="2504"/>
      <c r="K14" s="250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4" t="s">
        <v>2191</v>
      </c>
      <c r="C17" s="2504"/>
      <c r="D17" s="2504"/>
      <c r="E17" s="2504"/>
      <c r="F17" s="2504"/>
      <c r="G17" s="2504"/>
      <c r="H17" s="2504"/>
      <c r="I17" s="2504"/>
      <c r="J17" s="2504"/>
      <c r="K17" s="2504"/>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08" t="s">
        <v>2192</v>
      </c>
      <c r="C20" s="2508"/>
      <c r="D20" s="2504"/>
      <c r="E20" s="2504"/>
      <c r="F20" s="2504"/>
      <c r="G20" s="2504"/>
      <c r="H20" s="2504"/>
      <c r="I20" s="2504"/>
      <c r="J20" s="2504"/>
      <c r="K20" s="250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4" t="s">
        <v>2193</v>
      </c>
      <c r="C23" s="2504"/>
      <c r="D23" s="2504"/>
      <c r="E23" s="2504"/>
      <c r="F23" s="2504"/>
      <c r="G23" s="2504"/>
      <c r="H23" s="2504"/>
      <c r="I23" s="2504"/>
      <c r="J23" s="2504"/>
      <c r="K23" s="250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4" t="s">
        <v>2194</v>
      </c>
      <c r="C26" s="2504"/>
      <c r="D26" s="2504"/>
      <c r="E26" s="2504"/>
      <c r="F26" s="2504"/>
      <c r="G26" s="2504"/>
      <c r="H26" s="2504"/>
      <c r="I26" s="2504"/>
      <c r="J26" s="2504"/>
      <c r="K26" s="250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3" t="s">
        <v>2195</v>
      </c>
      <c r="C29" s="2503"/>
      <c r="D29" s="2504"/>
      <c r="E29" s="2504"/>
      <c r="F29" s="2504"/>
      <c r="G29" s="2504"/>
      <c r="H29" s="2504"/>
      <c r="I29" s="2504"/>
      <c r="J29" s="2504"/>
      <c r="K29" s="250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503" t="s">
        <v>2196</v>
      </c>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3" sqref="A12:H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Momence CUSD 1</v>
      </c>
      <c r="C1" s="2509"/>
      <c r="D1" s="2509"/>
      <c r="E1" s="2509"/>
      <c r="F1" s="2509"/>
      <c r="G1" s="2509"/>
      <c r="H1" s="2509"/>
      <c r="I1" s="2509"/>
      <c r="J1" s="2509"/>
      <c r="K1" s="2509"/>
      <c r="L1" s="1465"/>
    </row>
    <row r="2" spans="1:12" ht="12.75" customHeight="1" x14ac:dyDescent="0.2">
      <c r="B2" s="2510">
        <f>'Single Audit Cover'!E7</f>
        <v>32046001026</v>
      </c>
      <c r="C2" s="2510"/>
      <c r="D2" s="2510"/>
      <c r="E2" s="2510"/>
      <c r="F2" s="2510"/>
      <c r="G2" s="2510"/>
      <c r="H2" s="2510"/>
      <c r="I2" s="2510"/>
      <c r="J2" s="2510"/>
      <c r="K2" s="2510"/>
      <c r="L2" s="1466"/>
    </row>
    <row r="3" spans="1:12" ht="12.75" customHeight="1" x14ac:dyDescent="0.2">
      <c r="B3" s="2505" t="s">
        <v>1347</v>
      </c>
      <c r="C3" s="2505"/>
      <c r="D3" s="2505"/>
      <c r="E3" s="2505"/>
      <c r="F3" s="2505"/>
      <c r="G3" s="2505"/>
      <c r="H3" s="2505"/>
      <c r="I3" s="2505"/>
      <c r="J3" s="2505"/>
      <c r="K3" s="2505"/>
      <c r="L3" s="1377"/>
    </row>
    <row r="4" spans="1:12" ht="12.75" customHeight="1" x14ac:dyDescent="0.2">
      <c r="B4" s="2505" t="str">
        <f>'Single Audit Cover'!A4</f>
        <v>Year Ending June 30, 2018</v>
      </c>
      <c r="C4" s="2505"/>
      <c r="D4" s="2505"/>
      <c r="E4" s="2505"/>
      <c r="F4" s="2505"/>
      <c r="G4" s="2505"/>
      <c r="H4" s="2505"/>
      <c r="I4" s="2505"/>
      <c r="J4" s="2505"/>
      <c r="K4" s="2505"/>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t="s">
        <v>2152</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2"/>
      <c r="E14" s="2512"/>
      <c r="F14" s="2512"/>
      <c r="H14" s="1475" t="s">
        <v>1370</v>
      </c>
      <c r="I14" s="2513"/>
      <c r="J14" s="2513"/>
      <c r="K14" s="251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3"/>
      <c r="E16" s="2513"/>
      <c r="F16" s="2513"/>
      <c r="G16" s="2513"/>
      <c r="H16" s="2513"/>
      <c r="I16" s="2513"/>
      <c r="J16" s="2513"/>
      <c r="K16" s="2513"/>
      <c r="L16" s="322"/>
    </row>
    <row r="17" spans="2:12" ht="13.5" customHeight="1" x14ac:dyDescent="0.2">
      <c r="B17" s="1387" t="s">
        <v>1368</v>
      </c>
      <c r="C17" s="1387"/>
      <c r="D17" s="2514"/>
      <c r="E17" s="2514"/>
      <c r="F17" s="2514"/>
      <c r="G17" s="2514"/>
      <c r="H17" s="2514"/>
      <c r="I17" s="2514"/>
      <c r="J17" s="2514"/>
      <c r="K17" s="251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4"/>
      <c r="C20" s="2504"/>
      <c r="D20" s="2504"/>
      <c r="E20" s="2504"/>
      <c r="F20" s="2504"/>
      <c r="G20" s="2504"/>
      <c r="H20" s="2504"/>
      <c r="I20" s="2504"/>
      <c r="J20" s="2504"/>
      <c r="K20" s="250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504" t="s">
        <v>2208</v>
      </c>
      <c r="C41" s="2504"/>
      <c r="D41" s="2504"/>
      <c r="E41" s="2504"/>
      <c r="F41" s="2504"/>
      <c r="G41" s="2504"/>
      <c r="H41" s="2504"/>
      <c r="I41" s="2504"/>
      <c r="J41" s="2504"/>
      <c r="K41" s="250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3" sqref="A12:H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Momence CUSD 1</v>
      </c>
      <c r="C1" s="2482"/>
      <c r="D1" s="2482"/>
      <c r="E1" s="1491"/>
    </row>
    <row r="2" spans="2:5" s="1282" customFormat="1" ht="12.75" customHeight="1" x14ac:dyDescent="0.2">
      <c r="B2" s="2484">
        <f>'Single Audit Cover'!E7</f>
        <v>32046001026</v>
      </c>
      <c r="C2" s="2484"/>
      <c r="D2" s="2484"/>
      <c r="E2" s="1492"/>
    </row>
    <row r="3" spans="2:5" ht="12.75" customHeight="1" x14ac:dyDescent="0.2">
      <c r="B3" s="2505" t="s">
        <v>1867</v>
      </c>
      <c r="C3" s="2505"/>
      <c r="D3" s="2505"/>
      <c r="E3" s="1274"/>
    </row>
    <row r="4" spans="2:5" s="1282" customFormat="1" ht="12.75" customHeight="1" x14ac:dyDescent="0.2">
      <c r="B4" s="2515" t="str">
        <f>'Single Audit Cover'!A4</f>
        <v>Year Ending June 30, 2018</v>
      </c>
      <c r="C4" s="2515"/>
      <c r="D4" s="2515"/>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t="s">
        <v>2163</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3" sqref="A12:H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117022533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2.7993000000000001E-2</v>
      </c>
      <c r="E10" s="356" t="s">
        <v>1062</v>
      </c>
      <c r="F10" s="355">
        <v>4.5500000000000002E-3</v>
      </c>
      <c r="G10" s="356" t="s">
        <v>1062</v>
      </c>
      <c r="H10" s="355">
        <v>2.8869999999999998E-3</v>
      </c>
      <c r="I10" s="356" t="s">
        <v>1063</v>
      </c>
      <c r="J10" s="1754">
        <f>ROUND(D10+F10+H10,5)</f>
        <v>3.5430000000000003E-2</v>
      </c>
      <c r="K10" s="222"/>
      <c r="L10" s="355">
        <v>4.2299999999999998E-4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12461320</v>
      </c>
      <c r="E16" s="356"/>
      <c r="F16" s="1755">
        <f>SUM('Acct Summary 7-8'!C17,'Acct Summary 7-8'!D17,'Acct Summary 7-8'!F17)</f>
        <v>11151681</v>
      </c>
      <c r="G16" s="356"/>
      <c r="H16" s="1755">
        <f>SUM(D16-F16)</f>
        <v>1309639</v>
      </c>
      <c r="I16" s="222"/>
      <c r="J16" s="1755">
        <f>SUM('Acct Summary 7-8'!C81,'Acct Summary 7-8'!D81,'Acct Summary 7-8'!F81,'Acct Summary 7-8'!I81)</f>
        <v>2627195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16149109.554000001</v>
      </c>
      <c r="I31" s="368"/>
      <c r="J31" s="222"/>
      <c r="K31" s="222"/>
      <c r="L31" s="222"/>
      <c r="M31" s="222"/>
    </row>
    <row r="32" spans="1:13" ht="13.35" customHeight="1" x14ac:dyDescent="0.2">
      <c r="B32" s="369" t="s">
        <v>2083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10798748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3" sqref="A12: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Momence CUSD 1</v>
      </c>
      <c r="E7" s="391"/>
      <c r="G7" s="252"/>
      <c r="H7" s="387"/>
      <c r="I7" s="387"/>
      <c r="J7" s="387"/>
      <c r="K7" s="387"/>
      <c r="L7" s="329"/>
      <c r="M7" s="329"/>
      <c r="N7" s="329"/>
      <c r="O7" s="329"/>
      <c r="P7" s="329"/>
    </row>
    <row r="8" spans="1:18" ht="12.75" x14ac:dyDescent="0.2">
      <c r="A8" s="329"/>
      <c r="B8" s="329"/>
      <c r="C8" s="389" t="s">
        <v>1187</v>
      </c>
      <c r="D8" s="392">
        <f>COVER!A13</f>
        <v>32046001026</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2627195</v>
      </c>
      <c r="I12" s="404"/>
      <c r="J12" s="404"/>
      <c r="K12" s="405">
        <f>TRUNC((H12/H13*100000),5)/100000</f>
        <v>0.21164277539999998</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12413346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-47974</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11151681</v>
      </c>
      <c r="I17" s="404"/>
      <c r="J17" s="416"/>
      <c r="K17" s="405">
        <f>TRUNC((H17/H18*100000),5)/100000</f>
        <v>0.89836221430000007</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12413346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-47974</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2627195</v>
      </c>
      <c r="I24" s="422"/>
      <c r="J24" s="422"/>
      <c r="K24" s="423">
        <f>TRUNC(((H24/H25*100000)/100000),2)</f>
        <v>84.81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30976.891670000001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3524192.0925599998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10798748</v>
      </c>
      <c r="I32" s="420"/>
      <c r="J32" s="420"/>
      <c r="K32" s="423">
        <f>TRUNC(100-((((H32/H33*100))*100)/100),2)</f>
        <v>33.130000000000003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16149109.554000001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3" sqref="A12:H15"/>
      <selection pane="bottomLeft" activeCell="A13" sqref="A12: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1"/>
      <c r="D3" s="1582"/>
      <c r="E3" s="1582"/>
      <c r="F3" s="1582"/>
      <c r="G3" s="1582"/>
      <c r="H3" s="1582"/>
      <c r="I3" s="1582"/>
      <c r="J3" s="1582"/>
      <c r="K3" s="1582"/>
      <c r="L3" s="1582"/>
      <c r="M3" s="1583"/>
      <c r="N3" s="1584"/>
    </row>
    <row r="4" spans="1:14" ht="13.5" customHeight="1" x14ac:dyDescent="0.2">
      <c r="A4" s="463" t="s">
        <v>1750</v>
      </c>
      <c r="B4" s="464"/>
      <c r="C4" s="465">
        <v>745713</v>
      </c>
      <c r="D4" s="466">
        <v>2704</v>
      </c>
      <c r="E4" s="466">
        <v>1974</v>
      </c>
      <c r="F4" s="466">
        <v>156302</v>
      </c>
      <c r="G4" s="466">
        <v>7712</v>
      </c>
      <c r="H4" s="466"/>
      <c r="I4" s="466">
        <v>613</v>
      </c>
      <c r="J4" s="467"/>
      <c r="K4" s="466">
        <v>83896</v>
      </c>
      <c r="L4" s="466"/>
      <c r="M4" s="468"/>
      <c r="N4" s="469"/>
    </row>
    <row r="5" spans="1:14" x14ac:dyDescent="0.2">
      <c r="A5" s="463" t="s">
        <v>1049</v>
      </c>
      <c r="B5" s="470">
        <v>120</v>
      </c>
      <c r="C5" s="465">
        <v>879588</v>
      </c>
      <c r="D5" s="466">
        <v>389632</v>
      </c>
      <c r="E5" s="466">
        <v>2500</v>
      </c>
      <c r="F5" s="466">
        <v>14613</v>
      </c>
      <c r="G5" s="466"/>
      <c r="H5" s="466"/>
      <c r="I5" s="466">
        <v>438030</v>
      </c>
      <c r="J5" s="467"/>
      <c r="K5" s="471">
        <v>692986</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1625301</v>
      </c>
      <c r="D13" s="1759">
        <f t="shared" ref="D13:L13" si="0">SUM(D4:D12)</f>
        <v>392336</v>
      </c>
      <c r="E13" s="1759">
        <f t="shared" si="0"/>
        <v>4474</v>
      </c>
      <c r="F13" s="1759">
        <f t="shared" si="0"/>
        <v>170915</v>
      </c>
      <c r="G13" s="1759">
        <f t="shared" si="0"/>
        <v>7712</v>
      </c>
      <c r="H13" s="1759">
        <f t="shared" si="0"/>
        <v>0</v>
      </c>
      <c r="I13" s="1759">
        <f t="shared" si="0"/>
        <v>438643</v>
      </c>
      <c r="J13" s="1759">
        <f t="shared" si="0"/>
        <v>0</v>
      </c>
      <c r="K13" s="1759">
        <f t="shared" si="0"/>
        <v>776882</v>
      </c>
      <c r="L13" s="1759">
        <f t="shared" si="0"/>
        <v>0</v>
      </c>
      <c r="M13" s="468"/>
      <c r="N13" s="469"/>
    </row>
    <row r="14" spans="1:14" ht="18" customHeight="1" thickTop="1" x14ac:dyDescent="0.2">
      <c r="A14" s="2137" t="s">
        <v>149</v>
      </c>
      <c r="B14" s="213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582055</v>
      </c>
      <c r="N16" s="484"/>
    </row>
    <row r="17" spans="1:14" s="485" customFormat="1" ht="12.75" customHeight="1" x14ac:dyDescent="0.2">
      <c r="A17" s="482" t="s">
        <v>1470</v>
      </c>
      <c r="B17" s="483">
        <v>230</v>
      </c>
      <c r="C17" s="477"/>
      <c r="D17" s="477"/>
      <c r="E17" s="477"/>
      <c r="F17" s="477"/>
      <c r="G17" s="477"/>
      <c r="H17" s="477"/>
      <c r="I17" s="477"/>
      <c r="J17" s="477"/>
      <c r="K17" s="477"/>
      <c r="L17" s="477"/>
      <c r="M17" s="467">
        <v>16527473</v>
      </c>
      <c r="N17" s="484"/>
    </row>
    <row r="18" spans="1:14" s="485" customFormat="1" ht="12.75" customHeight="1" x14ac:dyDescent="0.2">
      <c r="A18" s="482" t="s">
        <v>1471</v>
      </c>
      <c r="B18" s="483">
        <v>240</v>
      </c>
      <c r="C18" s="477"/>
      <c r="D18" s="477"/>
      <c r="E18" s="477"/>
      <c r="F18" s="477"/>
      <c r="G18" s="477"/>
      <c r="H18" s="477"/>
      <c r="I18" s="477"/>
      <c r="J18" s="477"/>
      <c r="K18" s="477"/>
      <c r="L18" s="477"/>
      <c r="M18" s="467">
        <v>4418387</v>
      </c>
      <c r="N18" s="484"/>
    </row>
    <row r="19" spans="1:14" s="485" customFormat="1" ht="12.75" customHeight="1" x14ac:dyDescent="0.2">
      <c r="A19" s="482" t="s">
        <v>1472</v>
      </c>
      <c r="B19" s="483">
        <v>250</v>
      </c>
      <c r="C19" s="477"/>
      <c r="D19" s="477"/>
      <c r="E19" s="477"/>
      <c r="F19" s="477"/>
      <c r="G19" s="477"/>
      <c r="H19" s="477"/>
      <c r="I19" s="477"/>
      <c r="J19" s="477"/>
      <c r="K19" s="477"/>
      <c r="L19" s="477"/>
      <c r="M19" s="467">
        <v>5224458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4474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10794274</v>
      </c>
    </row>
    <row r="23" spans="1:14" ht="13.5" customHeight="1" thickBot="1" x14ac:dyDescent="0.25">
      <c r="A23" s="1758" t="s">
        <v>664</v>
      </c>
      <c r="B23" s="1763"/>
      <c r="C23" s="468"/>
      <c r="D23" s="468"/>
      <c r="E23" s="468"/>
      <c r="F23" s="468"/>
      <c r="G23" s="468"/>
      <c r="H23" s="468"/>
      <c r="I23" s="468"/>
      <c r="J23" s="468"/>
      <c r="K23" s="468"/>
      <c r="L23" s="468"/>
      <c r="M23" s="1710">
        <f>SUM(M15:M22)</f>
        <v>26752373</v>
      </c>
      <c r="N23" s="1710">
        <f>SUM(N21:N22)</f>
        <v>10798748</v>
      </c>
    </row>
    <row r="24" spans="1:14" ht="18" customHeight="1" thickTop="1" x14ac:dyDescent="0.2">
      <c r="A24" s="2139" t="s">
        <v>619</v>
      </c>
      <c r="B24" s="214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v>227</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227</v>
      </c>
      <c r="H34" s="1762">
        <f t="shared" si="1"/>
        <v>0</v>
      </c>
      <c r="I34" s="1762">
        <f t="shared" si="1"/>
        <v>0</v>
      </c>
      <c r="J34" s="1762">
        <f t="shared" si="1"/>
        <v>0</v>
      </c>
      <c r="K34" s="1762">
        <f t="shared" si="1"/>
        <v>0</v>
      </c>
      <c r="L34" s="1743">
        <f>SUM(L33)</f>
        <v>0</v>
      </c>
      <c r="M34" s="468"/>
      <c r="N34" s="480"/>
    </row>
    <row r="35" spans="1:14" ht="18" customHeight="1" thickTop="1" x14ac:dyDescent="0.2">
      <c r="A35" s="2141" t="s">
        <v>550</v>
      </c>
      <c r="B35" s="214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10798748</v>
      </c>
    </row>
    <row r="37" spans="1:14" ht="13.5" thickBot="1" x14ac:dyDescent="0.25">
      <c r="A37" s="1758" t="s">
        <v>674</v>
      </c>
      <c r="B37" s="1763"/>
      <c r="C37" s="477"/>
      <c r="D37" s="477"/>
      <c r="E37" s="477"/>
      <c r="F37" s="477"/>
      <c r="G37" s="477"/>
      <c r="H37" s="477"/>
      <c r="I37" s="477"/>
      <c r="J37" s="477"/>
      <c r="K37" s="477"/>
      <c r="L37" s="480"/>
      <c r="M37" s="468"/>
      <c r="N37" s="1710">
        <f>SUM(N36:N36)</f>
        <v>10798748</v>
      </c>
    </row>
    <row r="38" spans="1:14" s="329" customFormat="1" ht="13.5" customHeight="1" thickTop="1" x14ac:dyDescent="0.2">
      <c r="A38" s="496" t="s">
        <v>440</v>
      </c>
      <c r="B38" s="483">
        <v>714</v>
      </c>
      <c r="C38" s="466">
        <v>45991</v>
      </c>
      <c r="D38" s="466"/>
      <c r="E38" s="466"/>
      <c r="F38" s="466"/>
      <c r="G38" s="466"/>
      <c r="H38" s="466"/>
      <c r="I38" s="466"/>
      <c r="J38" s="467"/>
      <c r="K38" s="466"/>
      <c r="L38" s="481"/>
      <c r="M38" s="497"/>
      <c r="N38" s="497"/>
    </row>
    <row r="39" spans="1:14" s="329" customFormat="1" ht="13.5" customHeight="1" x14ac:dyDescent="0.2">
      <c r="A39" s="496" t="s">
        <v>360</v>
      </c>
      <c r="B39" s="483">
        <v>730</v>
      </c>
      <c r="C39" s="466">
        <v>1579310</v>
      </c>
      <c r="D39" s="466">
        <v>392336</v>
      </c>
      <c r="E39" s="466">
        <v>4474</v>
      </c>
      <c r="F39" s="466">
        <v>170915</v>
      </c>
      <c r="G39" s="466">
        <v>7485</v>
      </c>
      <c r="H39" s="466"/>
      <c r="I39" s="466">
        <v>438643</v>
      </c>
      <c r="J39" s="467"/>
      <c r="K39" s="466">
        <v>776882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26752373</v>
      </c>
      <c r="N40" s="497"/>
    </row>
    <row r="41" spans="1:14" ht="13.5" customHeight="1" thickBot="1" x14ac:dyDescent="0.25">
      <c r="A41" s="1758" t="s">
        <v>676</v>
      </c>
      <c r="B41" s="1728"/>
      <c r="C41" s="1710">
        <f>(SUM(C34,C37,C38,C39))</f>
        <v>1625301</v>
      </c>
      <c r="D41" s="1710">
        <f t="shared" ref="D41:L41" si="2">SUM(D34,D37,D38:D39)</f>
        <v>392336</v>
      </c>
      <c r="E41" s="1710">
        <f t="shared" si="2"/>
        <v>4474</v>
      </c>
      <c r="F41" s="1710">
        <f t="shared" si="2"/>
        <v>170915</v>
      </c>
      <c r="G41" s="1710">
        <f t="shared" si="2"/>
        <v>7712</v>
      </c>
      <c r="H41" s="1710">
        <f t="shared" si="2"/>
        <v>0</v>
      </c>
      <c r="I41" s="1710">
        <f t="shared" si="2"/>
        <v>438643</v>
      </c>
      <c r="J41" s="1710">
        <f t="shared" si="2"/>
        <v>0</v>
      </c>
      <c r="K41" s="1710">
        <f t="shared" si="2"/>
        <v>776882</v>
      </c>
      <c r="L41" s="1710">
        <f t="shared" si="2"/>
        <v>0</v>
      </c>
      <c r="M41" s="1710">
        <f>SUM(M40)</f>
        <v>26752373</v>
      </c>
      <c r="N41" s="1710">
        <f>SUM(N37)</f>
        <v>10798748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3" sqref="A12:H15"/>
      <selection pane="bottomLeft" activeCell="A13" sqref="A12:H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5"/>
      <c r="D3" s="1596"/>
      <c r="E3" s="1596"/>
      <c r="F3" s="1596"/>
      <c r="G3" s="1596"/>
      <c r="H3" s="1596"/>
      <c r="I3" s="1596"/>
      <c r="J3" s="1596"/>
      <c r="K3" s="1597"/>
      <c r="L3" s="506"/>
    </row>
    <row r="4" spans="1:13" ht="15.75" customHeight="1" x14ac:dyDescent="0.2">
      <c r="A4" s="2165" t="s">
        <v>1579</v>
      </c>
      <c r="B4" s="2166"/>
      <c r="C4" s="1764">
        <f>'Revenues 9-14'!C109</f>
        <v>3808033</v>
      </c>
      <c r="D4" s="1764">
        <f>'Revenues 9-14'!D109</f>
        <v>534096</v>
      </c>
      <c r="E4" s="1764">
        <f>'Revenues 9-14'!E109</f>
        <v>1254836</v>
      </c>
      <c r="F4" s="1764">
        <f>'Revenues 9-14'!F109</f>
        <v>300520</v>
      </c>
      <c r="G4" s="1764">
        <f>'Revenues 9-14'!G109</f>
        <v>288212</v>
      </c>
      <c r="H4" s="1764">
        <f>'Revenues 9-14'!H109</f>
        <v>0</v>
      </c>
      <c r="I4" s="1764">
        <f>'Revenues 9-14'!I109</f>
        <v>55461</v>
      </c>
      <c r="J4" s="1764">
        <f>'Revenues 9-14'!J109</f>
        <v>73046</v>
      </c>
      <c r="K4" s="1764">
        <f>'Revenues 9-14'!K109</f>
        <v>66815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5957165</v>
      </c>
      <c r="D6" s="1765">
        <f>'Revenues 9-14'!D173</f>
        <v>0</v>
      </c>
      <c r="E6" s="1765">
        <f>'Revenues 9-14'!E173</f>
        <v>0</v>
      </c>
      <c r="F6" s="1765">
        <f>'Revenues 9-14'!F173</f>
        <v>402910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1394860</v>
      </c>
      <c r="D7" s="1765">
        <f>'Revenues 9-14'!D274</f>
        <v>0</v>
      </c>
      <c r="E7" s="1765">
        <f>'Revenues 9-14'!E274</f>
        <v>0</v>
      </c>
      <c r="F7" s="1765">
        <f>'Revenues 9-14'!F274</f>
        <v>8275</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11160058</v>
      </c>
      <c r="D8" s="1710">
        <f t="shared" ref="D8:K8" si="0">SUM(D4:D7)</f>
        <v>534096</v>
      </c>
      <c r="E8" s="1710">
        <f t="shared" si="0"/>
        <v>1254836</v>
      </c>
      <c r="F8" s="1710">
        <f t="shared" si="0"/>
        <v>711705</v>
      </c>
      <c r="G8" s="1710">
        <f t="shared" si="0"/>
        <v>288212</v>
      </c>
      <c r="H8" s="1710">
        <f t="shared" si="0"/>
        <v>0</v>
      </c>
      <c r="I8" s="1710">
        <f t="shared" si="0"/>
        <v>55461</v>
      </c>
      <c r="J8" s="1710">
        <f t="shared" si="0"/>
        <v>73046</v>
      </c>
      <c r="K8" s="1710">
        <f t="shared" si="0"/>
        <v>66815</v>
      </c>
      <c r="L8" s="347"/>
    </row>
    <row r="9" spans="1:13" ht="15.75" thickTop="1" x14ac:dyDescent="0.2">
      <c r="A9" s="514" t="s">
        <v>1752</v>
      </c>
      <c r="B9" s="515">
        <v>3998</v>
      </c>
      <c r="C9" s="481">
        <v>3582164</v>
      </c>
      <c r="D9" s="516"/>
      <c r="E9" s="481"/>
      <c r="F9" s="481"/>
      <c r="G9" s="517"/>
      <c r="H9" s="481"/>
      <c r="I9" s="509" t="s">
        <v>1231</v>
      </c>
      <c r="J9" s="478"/>
      <c r="K9" s="481"/>
      <c r="L9" s="347"/>
    </row>
    <row r="10" spans="1:13" s="519" customFormat="1" ht="13.5" thickBot="1" x14ac:dyDescent="0.25">
      <c r="A10" s="1758" t="s">
        <v>1235</v>
      </c>
      <c r="B10" s="1731"/>
      <c r="C10" s="1710">
        <f>SUM(C8:C9)</f>
        <v>14742222</v>
      </c>
      <c r="D10" s="1710">
        <f t="shared" ref="D10:K10" si="1">SUM(D8:D9)</f>
        <v>534096</v>
      </c>
      <c r="E10" s="1710">
        <f t="shared" si="1"/>
        <v>1254836</v>
      </c>
      <c r="F10" s="1710">
        <f t="shared" si="1"/>
        <v>711705</v>
      </c>
      <c r="G10" s="1710">
        <f t="shared" si="1"/>
        <v>288212</v>
      </c>
      <c r="H10" s="1710">
        <f t="shared" si="1"/>
        <v>0</v>
      </c>
      <c r="I10" s="1710">
        <f t="shared" si="1"/>
        <v>55461</v>
      </c>
      <c r="J10" s="1710">
        <f t="shared" si="1"/>
        <v>73046</v>
      </c>
      <c r="K10" s="1710">
        <f t="shared" si="1"/>
        <v>66815</v>
      </c>
      <c r="L10" s="518"/>
    </row>
    <row r="11" spans="1:13" s="519" customFormat="1" ht="16.7" customHeight="1" thickTop="1" x14ac:dyDescent="0.2">
      <c r="A11" s="2137" t="s">
        <v>1238</v>
      </c>
      <c r="B11" s="2138"/>
      <c r="C11" s="1592"/>
      <c r="D11" s="1593"/>
      <c r="E11" s="1593"/>
      <c r="F11" s="1593"/>
      <c r="G11" s="1593"/>
      <c r="H11" s="1593"/>
      <c r="I11" s="1593"/>
      <c r="J11" s="1593"/>
      <c r="K11" s="1594"/>
      <c r="L11" s="518"/>
    </row>
    <row r="12" spans="1:13" ht="15.75" customHeight="1" x14ac:dyDescent="0.2">
      <c r="A12" s="1598" t="s">
        <v>476</v>
      </c>
      <c r="B12" s="1600">
        <v>1000</v>
      </c>
      <c r="C12" s="1764">
        <f>'Expenditures 15-22'!K33</f>
        <v>5271956</v>
      </c>
      <c r="D12" s="520" t="s">
        <v>1231</v>
      </c>
      <c r="E12" s="468" t="s">
        <v>1231</v>
      </c>
      <c r="F12" s="468" t="s">
        <v>1231</v>
      </c>
      <c r="G12" s="1764">
        <f>'Expenditures 15-22'!K229</f>
        <v>127893</v>
      </c>
      <c r="H12" s="521"/>
      <c r="I12" s="468" t="s">
        <v>1231</v>
      </c>
      <c r="J12" s="468" t="s">
        <v>1231</v>
      </c>
      <c r="K12" s="521" t="s">
        <v>1231</v>
      </c>
      <c r="L12" s="347"/>
    </row>
    <row r="13" spans="1:13" ht="15.75" customHeight="1" x14ac:dyDescent="0.2">
      <c r="A13" s="1598" t="s">
        <v>477</v>
      </c>
      <c r="B13" s="1600">
        <v>2000</v>
      </c>
      <c r="C13" s="1765">
        <f>'Expenditures 15-22'!K74</f>
        <v>3411097</v>
      </c>
      <c r="D13" s="1765">
        <f>'Expenditures 15-22'!K129</f>
        <v>479074</v>
      </c>
      <c r="E13" s="469" t="s">
        <v>1231</v>
      </c>
      <c r="F13" s="1765">
        <f>'Expenditures 15-22'!K184</f>
        <v>873292</v>
      </c>
      <c r="G13" s="1765">
        <f>'Expenditures 15-22'!K279</f>
        <v>154447</v>
      </c>
      <c r="H13" s="1765">
        <f>'Expenditures 15-22'!K303</f>
        <v>0</v>
      </c>
      <c r="I13" s="468" t="s">
        <v>1231</v>
      </c>
      <c r="J13" s="1765">
        <f>'Expenditures 15-22'!K330</f>
        <v>73046</v>
      </c>
      <c r="K13" s="1769">
        <f>'Expenditures 15-22'!K352</f>
        <v>36250</v>
      </c>
      <c r="L13" s="347"/>
    </row>
    <row r="14" spans="1:13" ht="15.75" customHeight="1" x14ac:dyDescent="0.2">
      <c r="A14" s="1598" t="s">
        <v>469</v>
      </c>
      <c r="B14" s="1600">
        <v>3000</v>
      </c>
      <c r="C14" s="1765">
        <f>'Expenditures 15-22'!K75</f>
        <v>2394</v>
      </c>
      <c r="D14" s="1765">
        <f>'Expenditures 15-22'!K130</f>
        <v>0</v>
      </c>
      <c r="E14" s="520" t="s">
        <v>1231</v>
      </c>
      <c r="F14" s="1765">
        <f>'Expenditures 15-22'!K185</f>
        <v>0</v>
      </c>
      <c r="G14" s="1765">
        <f>'Expenditures 15-22'!K280</f>
        <v>284</v>
      </c>
      <c r="H14" s="512"/>
      <c r="I14" s="468" t="s">
        <v>1231</v>
      </c>
      <c r="J14" s="468" t="s">
        <v>1231</v>
      </c>
      <c r="K14" s="512" t="s">
        <v>1231</v>
      </c>
      <c r="L14" s="347"/>
    </row>
    <row r="15" spans="1:13" ht="15.75" customHeight="1" x14ac:dyDescent="0.2">
      <c r="A15" s="1598" t="s">
        <v>109</v>
      </c>
      <c r="B15" s="1600">
        <v>4000</v>
      </c>
      <c r="C15" s="1765">
        <f>'Expenditures 15-22'!K102</f>
        <v>1113868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1330425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9799315</v>
      </c>
      <c r="D17" s="1710">
        <f t="shared" si="2"/>
        <v>479074</v>
      </c>
      <c r="E17" s="1710">
        <f t="shared" si="2"/>
        <v>1330425</v>
      </c>
      <c r="F17" s="1710">
        <f t="shared" si="2"/>
        <v>873292</v>
      </c>
      <c r="G17" s="1710">
        <f t="shared" si="2"/>
        <v>282624</v>
      </c>
      <c r="H17" s="1710">
        <f t="shared" si="2"/>
        <v>0</v>
      </c>
      <c r="I17" s="468"/>
      <c r="J17" s="1710">
        <f>SUM(J12:J16)</f>
        <v>73046</v>
      </c>
      <c r="K17" s="1710">
        <f>SUM(K12:K16)</f>
        <v>36250</v>
      </c>
      <c r="L17" s="347"/>
    </row>
    <row r="18" spans="1:12" ht="15" customHeight="1" thickTop="1" x14ac:dyDescent="0.2">
      <c r="A18" s="1766" t="s">
        <v>1753</v>
      </c>
      <c r="B18" s="1767">
        <v>4180</v>
      </c>
      <c r="C18" s="1764">
        <f t="shared" ref="C18:H18" si="3">C9</f>
        <v>3582164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13381479</v>
      </c>
      <c r="D19" s="1710">
        <f t="shared" si="4"/>
        <v>479074</v>
      </c>
      <c r="E19" s="1710">
        <f t="shared" si="4"/>
        <v>1330425</v>
      </c>
      <c r="F19" s="1710">
        <f t="shared" si="4"/>
        <v>873292</v>
      </c>
      <c r="G19" s="1710">
        <f t="shared" si="4"/>
        <v>282624</v>
      </c>
      <c r="H19" s="1710">
        <f t="shared" si="4"/>
        <v>0</v>
      </c>
      <c r="I19" s="468"/>
      <c r="J19" s="1710">
        <f>SUM(J17:J18)</f>
        <v>73046</v>
      </c>
      <c r="K19" s="1710">
        <f>SUM(K17:K18)</f>
        <v>36250</v>
      </c>
      <c r="L19" s="347"/>
    </row>
    <row r="20" spans="1:12" ht="16.5" thickTop="1" thickBot="1" x14ac:dyDescent="0.25">
      <c r="A20" s="2153" t="s">
        <v>1754</v>
      </c>
      <c r="B20" s="2154"/>
      <c r="C20" s="1768">
        <f>C8-C17</f>
        <v>1360743</v>
      </c>
      <c r="D20" s="1768">
        <f t="shared" ref="D20:K20" si="5">D8-D17</f>
        <v>55022</v>
      </c>
      <c r="E20" s="1768">
        <f t="shared" si="5"/>
        <v>-75589</v>
      </c>
      <c r="F20" s="1768">
        <f t="shared" si="5"/>
        <v>-161587</v>
      </c>
      <c r="G20" s="1768">
        <f t="shared" si="5"/>
        <v>5588</v>
      </c>
      <c r="H20" s="1768">
        <f t="shared" si="5"/>
        <v>0</v>
      </c>
      <c r="I20" s="1768">
        <f t="shared" si="5"/>
        <v>55461</v>
      </c>
      <c r="J20" s="1768">
        <f t="shared" si="5"/>
        <v>0</v>
      </c>
      <c r="K20" s="1768">
        <f t="shared" si="5"/>
        <v>30565</v>
      </c>
      <c r="L20" s="347"/>
    </row>
    <row r="21" spans="1:12" ht="16.7" customHeight="1" thickTop="1" x14ac:dyDescent="0.2">
      <c r="A21" s="2167" t="s">
        <v>616</v>
      </c>
      <c r="B21" s="2168"/>
      <c r="C21" s="1592"/>
      <c r="D21" s="1593"/>
      <c r="E21" s="1593"/>
      <c r="F21" s="1593"/>
      <c r="G21" s="1593"/>
      <c r="H21" s="1593"/>
      <c r="I21" s="1593"/>
      <c r="J21" s="1593"/>
      <c r="K21" s="1594"/>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v>275000</v>
      </c>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47974</v>
      </c>
      <c r="F43" s="467"/>
      <c r="G43" s="467"/>
      <c r="H43" s="467"/>
      <c r="I43" s="467"/>
      <c r="J43" s="467"/>
      <c r="K43" s="467"/>
      <c r="L43" s="524"/>
    </row>
    <row r="44" spans="1:12" s="485" customFormat="1" ht="13.5" customHeight="1" thickBot="1" x14ac:dyDescent="0.25">
      <c r="A44" s="2169" t="s">
        <v>392</v>
      </c>
      <c r="B44" s="2170"/>
      <c r="C44" s="1725">
        <f>SUM(C24:C43)</f>
        <v>0</v>
      </c>
      <c r="D44" s="1725">
        <f t="shared" ref="D44:K44" si="6">SUM(D24:D43)</f>
        <v>0</v>
      </c>
      <c r="E44" s="1725">
        <f t="shared" si="6"/>
        <v>47974</v>
      </c>
      <c r="F44" s="1725">
        <f t="shared" si="6"/>
        <v>275000</v>
      </c>
      <c r="G44" s="1725">
        <f t="shared" si="6"/>
        <v>0</v>
      </c>
      <c r="H44" s="1725">
        <f t="shared" si="6"/>
        <v>0</v>
      </c>
      <c r="I44" s="1725">
        <f t="shared" si="6"/>
        <v>0</v>
      </c>
      <c r="J44" s="1725">
        <f t="shared" si="6"/>
        <v>0</v>
      </c>
      <c r="K44" s="1725">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275000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v>47974</v>
      </c>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25">
        <f t="shared" ref="C76:K76" si="7">SUM(C47:C75)</f>
        <v>322974</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5" t="s">
        <v>1239</v>
      </c>
      <c r="B77" s="2146"/>
      <c r="C77" s="1725">
        <f t="shared" ref="C77:K77" si="8">C44-C76</f>
        <v>-322974</v>
      </c>
      <c r="D77" s="1725">
        <f t="shared" si="8"/>
        <v>0</v>
      </c>
      <c r="E77" s="1725">
        <f t="shared" si="8"/>
        <v>47974</v>
      </c>
      <c r="F77" s="1725">
        <f t="shared" si="8"/>
        <v>275000</v>
      </c>
      <c r="G77" s="1725">
        <f t="shared" si="8"/>
        <v>0</v>
      </c>
      <c r="H77" s="1725">
        <f t="shared" si="8"/>
        <v>0</v>
      </c>
      <c r="I77" s="1725">
        <f t="shared" si="8"/>
        <v>0</v>
      </c>
      <c r="J77" s="1725">
        <f t="shared" si="8"/>
        <v>0</v>
      </c>
      <c r="K77" s="1725">
        <f t="shared" si="8"/>
        <v>0</v>
      </c>
      <c r="L77" s="347"/>
    </row>
    <row r="78" spans="1:12" ht="21.75" customHeight="1" thickTop="1" thickBot="1" x14ac:dyDescent="0.25">
      <c r="A78" s="2149" t="s">
        <v>618</v>
      </c>
      <c r="B78" s="2150"/>
      <c r="C78" s="1724">
        <f t="shared" ref="C78:K78" si="9">C20+C77</f>
        <v>1037769</v>
      </c>
      <c r="D78" s="1724">
        <f t="shared" si="9"/>
        <v>55022</v>
      </c>
      <c r="E78" s="1724">
        <f t="shared" si="9"/>
        <v>-27615</v>
      </c>
      <c r="F78" s="1724">
        <f t="shared" si="9"/>
        <v>113413</v>
      </c>
      <c r="G78" s="1724">
        <f t="shared" si="9"/>
        <v>5588</v>
      </c>
      <c r="H78" s="1724">
        <f t="shared" si="9"/>
        <v>0</v>
      </c>
      <c r="I78" s="1724">
        <f t="shared" si="9"/>
        <v>55461</v>
      </c>
      <c r="J78" s="1724">
        <f t="shared" si="9"/>
        <v>0</v>
      </c>
      <c r="K78" s="1724">
        <f t="shared" si="9"/>
        <v>30565</v>
      </c>
      <c r="L78" s="533"/>
    </row>
    <row r="79" spans="1:12" ht="13.5" thickTop="1" x14ac:dyDescent="0.2">
      <c r="A79" s="1516" t="s">
        <v>2071</v>
      </c>
      <c r="B79" s="534"/>
      <c r="C79" s="478">
        <v>587532</v>
      </c>
      <c r="D79" s="535">
        <v>337314</v>
      </c>
      <c r="E79" s="535">
        <v>32089</v>
      </c>
      <c r="F79" s="535">
        <v>57502</v>
      </c>
      <c r="G79" s="535">
        <v>1897</v>
      </c>
      <c r="H79" s="535"/>
      <c r="I79" s="535">
        <v>383182</v>
      </c>
      <c r="J79" s="535"/>
      <c r="K79" s="535">
        <v>746317</v>
      </c>
      <c r="L79" s="347"/>
    </row>
    <row r="80" spans="1:12" x14ac:dyDescent="0.2">
      <c r="A80" s="2155" t="s">
        <v>1896</v>
      </c>
      <c r="B80" s="2156"/>
      <c r="C80" s="467"/>
      <c r="D80" s="467"/>
      <c r="E80" s="467"/>
      <c r="F80" s="467"/>
      <c r="G80" s="467"/>
      <c r="H80" s="467"/>
      <c r="I80" s="467"/>
      <c r="J80" s="467"/>
      <c r="K80" s="467"/>
      <c r="L80" s="347"/>
    </row>
    <row r="81" spans="1:12" ht="13.5" thickBot="1" x14ac:dyDescent="0.25">
      <c r="A81" s="2147" t="s">
        <v>2072</v>
      </c>
      <c r="B81" s="2148"/>
      <c r="C81" s="1710">
        <f>(SUM(C78:C80))</f>
        <v>1625301</v>
      </c>
      <c r="D81" s="1710">
        <f>SUM(D78:D80)</f>
        <v>392336</v>
      </c>
      <c r="E81" s="1710">
        <f t="shared" ref="E81:K81" si="10">SUM(E78:E80)</f>
        <v>4474</v>
      </c>
      <c r="F81" s="1710">
        <f t="shared" si="10"/>
        <v>170915</v>
      </c>
      <c r="G81" s="1710">
        <f t="shared" si="10"/>
        <v>7485</v>
      </c>
      <c r="H81" s="1710">
        <f t="shared" si="10"/>
        <v>0</v>
      </c>
      <c r="I81" s="1710">
        <f t="shared" si="10"/>
        <v>438643</v>
      </c>
      <c r="J81" s="1710">
        <f t="shared" si="10"/>
        <v>0</v>
      </c>
      <c r="K81" s="1710">
        <f t="shared" si="10"/>
        <v>776882</v>
      </c>
      <c r="L81" s="347"/>
    </row>
    <row r="82" spans="1:12" ht="0.75" customHeight="1" thickTop="1" thickBot="1" x14ac:dyDescent="0.25">
      <c r="A82" s="536" t="s">
        <v>361</v>
      </c>
      <c r="B82" s="537"/>
      <c r="C82" s="538">
        <f>(C81-C79)</f>
        <v>1037769</v>
      </c>
      <c r="D82" s="538">
        <f t="shared" ref="D82:K82" si="11">(D81-D79)</f>
        <v>55022</v>
      </c>
      <c r="E82" s="538">
        <f t="shared" si="11"/>
        <v>-27615</v>
      </c>
      <c r="F82" s="538">
        <f t="shared" si="11"/>
        <v>113413</v>
      </c>
      <c r="G82" s="538">
        <f t="shared" si="11"/>
        <v>5588</v>
      </c>
      <c r="H82" s="538">
        <f t="shared" si="11"/>
        <v>0</v>
      </c>
      <c r="I82" s="538">
        <f t="shared" si="11"/>
        <v>55461</v>
      </c>
      <c r="J82" s="538">
        <f t="shared" si="11"/>
        <v>0</v>
      </c>
      <c r="K82" s="538">
        <f t="shared" si="11"/>
        <v>30565</v>
      </c>
    </row>
    <row r="83" spans="1:12" ht="14.25" hidden="1" thickTop="1" thickBot="1" x14ac:dyDescent="0.25">
      <c r="A83" s="539" t="s">
        <v>362</v>
      </c>
      <c r="B83" s="464"/>
      <c r="C83" s="540">
        <f>C82/C81</f>
        <v>0.63850880544588351</v>
      </c>
      <c r="D83" s="540">
        <f t="shared" ref="D83:K83" si="12">D82/D81</f>
        <v>0.14024203743729866</v>
      </c>
      <c r="E83" s="540">
        <f t="shared" si="12"/>
        <v>-6.1723290120697358</v>
      </c>
      <c r="F83" s="540">
        <f t="shared" si="12"/>
        <v>0.66356375976362514</v>
      </c>
      <c r="G83" s="540">
        <f t="shared" si="12"/>
        <v>0.74655978623914498</v>
      </c>
      <c r="H83" s="540" t="e">
        <f t="shared" si="12"/>
        <v>#DIV/0!</v>
      </c>
      <c r="I83" s="540">
        <f t="shared" si="12"/>
        <v>0.12643767254920288</v>
      </c>
      <c r="J83" s="540" t="e">
        <f t="shared" si="12"/>
        <v>#DIV/0!</v>
      </c>
      <c r="K83" s="540">
        <f t="shared" si="12"/>
        <v>3.9343169232907961E-2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3" sqref="A12:H1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1903</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3117835</v>
      </c>
      <c r="D5" s="481">
        <v>529331</v>
      </c>
      <c r="E5" s="466">
        <v>1252862</v>
      </c>
      <c r="F5" s="548">
        <v>299903</v>
      </c>
      <c r="G5" s="466">
        <v>103597</v>
      </c>
      <c r="H5" s="466"/>
      <c r="I5" s="466">
        <v>49106</v>
      </c>
      <c r="J5" s="467">
        <v>73046</v>
      </c>
      <c r="K5" s="466">
        <v>64771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90385</v>
      </c>
      <c r="D7" s="466"/>
      <c r="E7" s="468"/>
      <c r="F7" s="467"/>
      <c r="G7" s="467"/>
      <c r="H7" s="467"/>
      <c r="I7" s="468"/>
      <c r="J7" s="468"/>
      <c r="K7" s="468"/>
    </row>
    <row r="8" spans="1:12" x14ac:dyDescent="0.2">
      <c r="A8" s="463" t="s">
        <v>433</v>
      </c>
      <c r="B8" s="470">
        <v>1150</v>
      </c>
      <c r="C8" s="475"/>
      <c r="D8" s="475"/>
      <c r="E8" s="477"/>
      <c r="F8" s="477"/>
      <c r="G8" s="481">
        <v>94858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3208220</v>
      </c>
      <c r="D12" s="1729">
        <f t="shared" si="0"/>
        <v>529331</v>
      </c>
      <c r="E12" s="1729">
        <f t="shared" si="0"/>
        <v>1252862</v>
      </c>
      <c r="F12" s="1729">
        <f t="shared" si="0"/>
        <v>299903</v>
      </c>
      <c r="G12" s="1729">
        <f t="shared" si="0"/>
        <v>198455</v>
      </c>
      <c r="H12" s="1729">
        <f t="shared" si="0"/>
        <v>0</v>
      </c>
      <c r="I12" s="1729">
        <f t="shared" si="0"/>
        <v>49106</v>
      </c>
      <c r="J12" s="1729">
        <f t="shared" si="0"/>
        <v>73046</v>
      </c>
      <c r="K12" s="1710">
        <f t="shared" si="0"/>
        <v>64771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98331</v>
      </c>
      <c r="D16" s="466"/>
      <c r="E16" s="466"/>
      <c r="F16" s="466"/>
      <c r="G16" s="466">
        <v>89757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98331</v>
      </c>
      <c r="D18" s="1732">
        <f t="shared" ref="D18:K18" si="1">SUM(D14:D17)</f>
        <v>0</v>
      </c>
      <c r="E18" s="1732">
        <f t="shared" si="1"/>
        <v>0</v>
      </c>
      <c r="F18" s="1732">
        <f t="shared" si="1"/>
        <v>0</v>
      </c>
      <c r="G18" s="1732">
        <f t="shared" si="1"/>
        <v>89757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24441</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24441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13457</v>
      </c>
      <c r="D65" s="466"/>
      <c r="E65" s="466">
        <v>1974</v>
      </c>
      <c r="F65" s="467"/>
      <c r="G65" s="466"/>
      <c r="H65" s="466"/>
      <c r="I65" s="466">
        <v>6355</v>
      </c>
      <c r="J65" s="467"/>
      <c r="K65" s="466">
        <v>2044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13457</v>
      </c>
      <c r="D67" s="1710">
        <f t="shared" ref="D67:K67" si="2">SUM(D65:D66)</f>
        <v>0</v>
      </c>
      <c r="E67" s="1710">
        <f t="shared" si="2"/>
        <v>1974</v>
      </c>
      <c r="F67" s="1710">
        <f t="shared" si="2"/>
        <v>0</v>
      </c>
      <c r="G67" s="1710">
        <f t="shared" si="2"/>
        <v>0</v>
      </c>
      <c r="H67" s="1710">
        <f t="shared" si="2"/>
        <v>0</v>
      </c>
      <c r="I67" s="1710">
        <f t="shared" si="2"/>
        <v>6355</v>
      </c>
      <c r="J67" s="1710">
        <f t="shared" si="2"/>
        <v>0</v>
      </c>
      <c r="K67" s="1710">
        <f t="shared" si="2"/>
        <v>2044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65782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71713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4036</v>
      </c>
      <c r="D73" s="468"/>
      <c r="E73" s="468"/>
      <c r="F73" s="468"/>
      <c r="G73" s="468"/>
      <c r="H73" s="468"/>
      <c r="I73" s="468"/>
      <c r="J73" s="468"/>
      <c r="K73" s="468"/>
    </row>
    <row r="74" spans="1:11" ht="12.75" customHeight="1" x14ac:dyDescent="0.2">
      <c r="A74" s="463" t="s">
        <v>25</v>
      </c>
      <c r="B74" s="470">
        <v>1690</v>
      </c>
      <c r="C74" s="551">
        <v>5779</v>
      </c>
      <c r="D74" s="468"/>
      <c r="E74" s="468"/>
      <c r="F74" s="468"/>
      <c r="G74" s="468"/>
      <c r="H74" s="468"/>
      <c r="I74" s="468"/>
      <c r="J74" s="468"/>
      <c r="K74" s="468"/>
    </row>
    <row r="75" spans="1:11" ht="12.75" customHeight="1" thickBot="1" x14ac:dyDescent="0.25">
      <c r="A75" s="1730" t="s">
        <v>569</v>
      </c>
      <c r="B75" s="1731"/>
      <c r="C75" s="1710">
        <f>SUM(C69:C74)</f>
        <v>147310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16029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102931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118960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17809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17809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50</v>
      </c>
      <c r="D95" s="551">
        <v>4765</v>
      </c>
      <c r="E95" s="521"/>
      <c r="F95" s="521"/>
      <c r="G95" s="521"/>
      <c r="H95" s="521"/>
      <c r="I95" s="521"/>
      <c r="J95" s="521"/>
      <c r="K95" s="521"/>
    </row>
    <row r="96" spans="1:11" ht="12.75" customHeight="1" x14ac:dyDescent="0.2">
      <c r="A96" s="463" t="s">
        <v>409</v>
      </c>
      <c r="B96" s="470">
        <v>1920</v>
      </c>
      <c r="C96" s="551">
        <v>47814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7103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16240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89276</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570</v>
      </c>
      <c r="D106" s="489"/>
      <c r="E106" s="467"/>
      <c r="F106" s="467"/>
      <c r="G106" s="467"/>
      <c r="H106" s="467"/>
      <c r="I106" s="521"/>
      <c r="J106" s="467"/>
      <c r="K106" s="467"/>
    </row>
    <row r="107" spans="1:12" ht="12.75" customHeight="1" x14ac:dyDescent="0.2">
      <c r="A107" s="463" t="s">
        <v>80</v>
      </c>
      <c r="B107" s="470">
        <v>1999</v>
      </c>
      <c r="C107" s="551">
        <v>18452</v>
      </c>
      <c r="D107" s="466"/>
      <c r="E107" s="466"/>
      <c r="F107" s="466">
        <v>617</v>
      </c>
      <c r="G107" s="466"/>
      <c r="H107" s="466"/>
      <c r="I107" s="466"/>
      <c r="J107" s="467"/>
      <c r="K107" s="466"/>
    </row>
    <row r="108" spans="1:12" ht="12.75" customHeight="1" thickBot="1" x14ac:dyDescent="0.25">
      <c r="A108" s="1730" t="s">
        <v>508</v>
      </c>
      <c r="B108" s="1734"/>
      <c r="C108" s="1729">
        <f>SUM(C95:C107)</f>
        <v>179505</v>
      </c>
      <c r="D108" s="1729">
        <f t="shared" ref="D108:K108" si="3">SUM(D95:D107)</f>
        <v>4765</v>
      </c>
      <c r="E108" s="1729">
        <f t="shared" si="3"/>
        <v>0</v>
      </c>
      <c r="F108" s="1729">
        <f t="shared" si="3"/>
        <v>617</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3808033</v>
      </c>
      <c r="D109" s="1737">
        <f t="shared" si="4"/>
        <v>534096</v>
      </c>
      <c r="E109" s="1737">
        <f t="shared" si="4"/>
        <v>1254836</v>
      </c>
      <c r="F109" s="1737">
        <f t="shared" si="4"/>
        <v>300520</v>
      </c>
      <c r="G109" s="1737">
        <f t="shared" si="4"/>
        <v>288212</v>
      </c>
      <c r="H109" s="1737">
        <f t="shared" si="4"/>
        <v>0</v>
      </c>
      <c r="I109" s="1737">
        <f t="shared" si="4"/>
        <v>55461</v>
      </c>
      <c r="J109" s="1737">
        <f t="shared" si="4"/>
        <v>73046</v>
      </c>
      <c r="K109" s="1724">
        <f t="shared" si="4"/>
        <v>66815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4706057</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4706057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345439</v>
      </c>
      <c r="D124" s="561"/>
      <c r="E124" s="468"/>
      <c r="F124" s="548"/>
      <c r="G124" s="468"/>
      <c r="H124" s="468"/>
      <c r="I124" s="468"/>
      <c r="J124" s="468"/>
      <c r="K124" s="468"/>
    </row>
    <row r="125" spans="1:11" ht="12.75" customHeight="1" x14ac:dyDescent="0.2">
      <c r="A125" s="463" t="s">
        <v>1521</v>
      </c>
      <c r="B125" s="562">
        <v>3105</v>
      </c>
      <c r="C125" s="466">
        <v>78775</v>
      </c>
      <c r="D125" s="561"/>
      <c r="E125" s="468"/>
      <c r="F125" s="466"/>
      <c r="G125" s="468"/>
      <c r="H125" s="468"/>
      <c r="I125" s="468"/>
      <c r="J125" s="468"/>
      <c r="K125" s="468"/>
    </row>
    <row r="126" spans="1:11" ht="12.75" customHeight="1" x14ac:dyDescent="0.2">
      <c r="A126" s="463" t="s">
        <v>922</v>
      </c>
      <c r="B126" s="562">
        <v>3110</v>
      </c>
      <c r="C126" s="551">
        <v>118332</v>
      </c>
      <c r="D126" s="466"/>
      <c r="E126" s="468"/>
      <c r="F126" s="466"/>
      <c r="G126" s="468"/>
      <c r="H126" s="468"/>
      <c r="I126" s="468"/>
      <c r="J126" s="468"/>
      <c r="K126" s="468"/>
    </row>
    <row r="127" spans="1:11" ht="12.75" customHeight="1" x14ac:dyDescent="0.2">
      <c r="A127" s="463" t="s">
        <v>107</v>
      </c>
      <c r="B127" s="562">
        <v>3120</v>
      </c>
      <c r="C127" s="466">
        <v>259153</v>
      </c>
      <c r="D127" s="561"/>
      <c r="E127" s="468"/>
      <c r="F127" s="466"/>
      <c r="G127" s="468"/>
      <c r="H127" s="468"/>
      <c r="I127" s="468"/>
      <c r="J127" s="468"/>
      <c r="K127" s="468"/>
    </row>
    <row r="128" spans="1:11" ht="12.75" customHeight="1" x14ac:dyDescent="0.2">
      <c r="A128" s="463" t="s">
        <v>1522</v>
      </c>
      <c r="B128" s="562">
        <v>3130</v>
      </c>
      <c r="C128" s="466">
        <v>14195</v>
      </c>
      <c r="D128" s="561"/>
      <c r="E128" s="468"/>
      <c r="F128" s="466"/>
      <c r="G128" s="468"/>
      <c r="H128" s="468"/>
      <c r="I128" s="468"/>
      <c r="J128" s="468"/>
      <c r="K128" s="468"/>
    </row>
    <row r="129" spans="1:11" ht="12.75" customHeight="1" x14ac:dyDescent="0.2">
      <c r="A129" s="463" t="s">
        <v>139</v>
      </c>
      <c r="B129" s="562">
        <v>3145</v>
      </c>
      <c r="C129" s="466">
        <v>7052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822946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841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841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37380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37380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4906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12590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303037</v>
      </c>
      <c r="G151" s="467"/>
      <c r="H151" s="468"/>
      <c r="I151" s="468"/>
      <c r="J151" s="468"/>
      <c r="K151" s="468"/>
    </row>
    <row r="152" spans="1:11" ht="12.75" customHeight="1" x14ac:dyDescent="0.2">
      <c r="A152" s="463" t="s">
        <v>1117</v>
      </c>
      <c r="B152" s="562">
        <v>3510</v>
      </c>
      <c r="C152" s="551"/>
      <c r="D152" s="466"/>
      <c r="E152" s="561"/>
      <c r="F152" s="466">
        <v>60318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363355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372445</v>
      </c>
      <c r="D158" s="578"/>
      <c r="E158" s="561"/>
      <c r="F158" s="576">
        <v>39555</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3" t="s">
        <v>418</v>
      </c>
      <c r="B172" s="2174"/>
      <c r="C172" s="1744">
        <f t="shared" ref="C172:K172" si="6">SUM(C131,C140,C144,C145:C149,C154,C155:C170,C171)</f>
        <v>1251108</v>
      </c>
      <c r="D172" s="1744">
        <f t="shared" si="6"/>
        <v>0</v>
      </c>
      <c r="E172" s="1744">
        <f t="shared" si="6"/>
        <v>0</v>
      </c>
      <c r="F172" s="1744">
        <f t="shared" si="6"/>
        <v>402910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5957165</v>
      </c>
      <c r="D173" s="1737">
        <f>SUM(D121,D172)</f>
        <v>0</v>
      </c>
      <c r="E173" s="1737">
        <f>SUM(E121,E172)</f>
        <v>0</v>
      </c>
      <c r="F173" s="1737">
        <f t="shared" ref="F173:K173" si="7">SUM(F121,F172)</f>
        <v>402910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1" t="s">
        <v>818</v>
      </c>
      <c r="B184" s="218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7" t="s">
        <v>1904</v>
      </c>
      <c r="B185" s="217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264996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59472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324468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447856</v>
      </c>
      <c r="D203" s="466"/>
      <c r="E203" s="468"/>
      <c r="F203" s="466">
        <v>8275</v>
      </c>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447856</v>
      </c>
      <c r="D211" s="1729">
        <f>SUM(D203:D210)</f>
        <v>0</v>
      </c>
      <c r="E211" s="468"/>
      <c r="F211" s="1729">
        <f>SUM(F203:F210)</f>
        <v>8275</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2948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283263</v>
      </c>
      <c r="D220" s="466"/>
      <c r="E220" s="468"/>
      <c r="F220" s="466"/>
      <c r="G220" s="466"/>
      <c r="H220" s="468"/>
      <c r="I220" s="468"/>
      <c r="J220" s="468"/>
      <c r="K220" s="468"/>
    </row>
    <row r="221" spans="1:11" ht="12.75" customHeight="1" x14ac:dyDescent="0.2">
      <c r="A221" s="463" t="s">
        <v>1114</v>
      </c>
      <c r="B221" s="470">
        <v>4625</v>
      </c>
      <c r="C221" s="551">
        <v>173800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460011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10605</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75382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27643</v>
      </c>
      <c r="D270" s="576"/>
      <c r="E270" s="468"/>
      <c r="F270" s="576"/>
      <c r="G270" s="576"/>
      <c r="H270" s="468"/>
      <c r="I270" s="468"/>
      <c r="J270" s="468"/>
      <c r="K270" s="468"/>
    </row>
    <row r="271" spans="1:11" ht="12.75" customHeight="1" thickTop="1" thickBot="1" x14ac:dyDescent="0.25">
      <c r="A271" s="463" t="s">
        <v>395</v>
      </c>
      <c r="B271" s="470">
        <v>4992</v>
      </c>
      <c r="C271" s="575">
        <v>48895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1394860</v>
      </c>
      <c r="D273" s="1737">
        <f t="shared" si="10"/>
        <v>0</v>
      </c>
      <c r="E273" s="1737">
        <f t="shared" si="10"/>
        <v>0</v>
      </c>
      <c r="F273" s="1737">
        <f t="shared" si="10"/>
        <v>8275</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1394860</v>
      </c>
      <c r="D274" s="1737">
        <f>SUM(D178,D184,D273)</f>
        <v>0</v>
      </c>
      <c r="E274" s="1737">
        <f>SUM(E178,E273)</f>
        <v>0</v>
      </c>
      <c r="F274" s="1737">
        <f t="shared" ref="F274:K274" si="11">SUM(F178,F184,F273)</f>
        <v>8275</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11160058</v>
      </c>
      <c r="D275" s="1737">
        <f t="shared" si="12"/>
        <v>534096</v>
      </c>
      <c r="E275" s="1737">
        <f t="shared" si="12"/>
        <v>1254836</v>
      </c>
      <c r="F275" s="1737">
        <f t="shared" si="12"/>
        <v>711705</v>
      </c>
      <c r="G275" s="1737">
        <f t="shared" si="12"/>
        <v>288212</v>
      </c>
      <c r="H275" s="1737">
        <f t="shared" si="12"/>
        <v>0</v>
      </c>
      <c r="I275" s="1737">
        <f t="shared" si="12"/>
        <v>55461</v>
      </c>
      <c r="J275" s="1737">
        <f t="shared" si="12"/>
        <v>73046</v>
      </c>
      <c r="K275" s="1724">
        <f t="shared" si="12"/>
        <v>66815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6" activePane="bottomLeft" state="frozen"/>
      <selection activeCell="A13" sqref="A12:H15"/>
      <selection pane="bottomLeft" activeCell="A13" sqref="A12:H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2521881</v>
      </c>
      <c r="D5" s="466">
        <v>3600</v>
      </c>
      <c r="E5" s="466">
        <v>18821</v>
      </c>
      <c r="F5" s="466">
        <v>39869</v>
      </c>
      <c r="G5" s="466">
        <v>500</v>
      </c>
      <c r="H5" s="466"/>
      <c r="I5" s="467"/>
      <c r="J5" s="467"/>
      <c r="K5" s="1693">
        <f>SUM(C5:J5)</f>
        <v>2584671</v>
      </c>
      <c r="L5" s="466">
        <v>2639010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165521</v>
      </c>
      <c r="D7" s="467">
        <v>32653</v>
      </c>
      <c r="E7" s="467">
        <v>1926</v>
      </c>
      <c r="F7" s="467">
        <v>14216</v>
      </c>
      <c r="G7" s="467">
        <v>96525</v>
      </c>
      <c r="H7" s="467">
        <v>130</v>
      </c>
      <c r="I7" s="467"/>
      <c r="J7" s="467"/>
      <c r="K7" s="1693">
        <f t="shared" ref="K7:K32" si="0">SUM(C7:J7)</f>
        <v>310971</v>
      </c>
      <c r="L7" s="466">
        <v>221448</v>
      </c>
    </row>
    <row r="8" spans="1:14" x14ac:dyDescent="0.2">
      <c r="A8" s="1526" t="s">
        <v>166</v>
      </c>
      <c r="B8" s="615">
        <v>1200</v>
      </c>
      <c r="C8" s="466">
        <v>1068480</v>
      </c>
      <c r="D8" s="466">
        <v>336758</v>
      </c>
      <c r="E8" s="466">
        <v>42972</v>
      </c>
      <c r="F8" s="466">
        <v>23977</v>
      </c>
      <c r="G8" s="466">
        <v>2182</v>
      </c>
      <c r="H8" s="466"/>
      <c r="I8" s="467"/>
      <c r="J8" s="467"/>
      <c r="K8" s="1693">
        <f t="shared" si="0"/>
        <v>1474369</v>
      </c>
      <c r="L8" s="466">
        <v>1043127</v>
      </c>
    </row>
    <row r="9" spans="1:14" x14ac:dyDescent="0.2">
      <c r="A9" s="1526" t="s">
        <v>745</v>
      </c>
      <c r="B9" s="615" t="s">
        <v>1025</v>
      </c>
      <c r="C9" s="467"/>
      <c r="D9" s="467"/>
      <c r="E9" s="467"/>
      <c r="F9" s="467"/>
      <c r="G9" s="467"/>
      <c r="H9" s="467"/>
      <c r="I9" s="467"/>
      <c r="J9" s="467"/>
      <c r="K9" s="1693">
        <f t="shared" si="0"/>
        <v>0</v>
      </c>
      <c r="L9" s="466">
        <v>454787</v>
      </c>
    </row>
    <row r="10" spans="1:14" x14ac:dyDescent="0.2">
      <c r="A10" s="1526" t="s">
        <v>746</v>
      </c>
      <c r="B10" s="615">
        <v>1250</v>
      </c>
      <c r="C10" s="466">
        <v>199793</v>
      </c>
      <c r="D10" s="466">
        <v>61572</v>
      </c>
      <c r="E10" s="466">
        <v>82130</v>
      </c>
      <c r="F10" s="466">
        <v>45980</v>
      </c>
      <c r="G10" s="466">
        <v>10799</v>
      </c>
      <c r="H10" s="466"/>
      <c r="I10" s="467"/>
      <c r="J10" s="467"/>
      <c r="K10" s="1693">
        <f t="shared" si="0"/>
        <v>400274</v>
      </c>
      <c r="L10" s="466">
        <v>525000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145111</v>
      </c>
      <c r="D13" s="466">
        <v>1393</v>
      </c>
      <c r="E13" s="466"/>
      <c r="F13" s="466">
        <v>6652</v>
      </c>
      <c r="G13" s="466"/>
      <c r="H13" s="466"/>
      <c r="I13" s="467"/>
      <c r="J13" s="467"/>
      <c r="K13" s="1693">
        <f t="shared" si="0"/>
        <v>153156</v>
      </c>
      <c r="L13" s="466">
        <v>147100</v>
      </c>
    </row>
    <row r="14" spans="1:14" x14ac:dyDescent="0.2">
      <c r="A14" s="1526" t="s">
        <v>1020</v>
      </c>
      <c r="B14" s="615">
        <v>1500</v>
      </c>
      <c r="C14" s="466">
        <v>109850</v>
      </c>
      <c r="D14" s="466"/>
      <c r="E14" s="466">
        <v>24781</v>
      </c>
      <c r="F14" s="466">
        <v>35156</v>
      </c>
      <c r="G14" s="466"/>
      <c r="H14" s="466">
        <v>16941</v>
      </c>
      <c r="I14" s="467"/>
      <c r="J14" s="467"/>
      <c r="K14" s="1693">
        <f t="shared" si="0"/>
        <v>186728</v>
      </c>
      <c r="L14" s="466">
        <v>225895</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7969</v>
      </c>
      <c r="D17" s="467"/>
      <c r="E17" s="467"/>
      <c r="F17" s="467"/>
      <c r="G17" s="467"/>
      <c r="H17" s="467"/>
      <c r="I17" s="467"/>
      <c r="J17" s="467"/>
      <c r="K17" s="1693">
        <f t="shared" si="0"/>
        <v>7969</v>
      </c>
      <c r="L17" s="466">
        <v>5000</v>
      </c>
    </row>
    <row r="18" spans="1:12" x14ac:dyDescent="0.2">
      <c r="A18" s="1526" t="s">
        <v>1148</v>
      </c>
      <c r="B18" s="615">
        <v>1800</v>
      </c>
      <c r="C18" s="466">
        <v>121359</v>
      </c>
      <c r="D18" s="466">
        <v>15401</v>
      </c>
      <c r="E18" s="466">
        <v>2843</v>
      </c>
      <c r="F18" s="466">
        <v>9240</v>
      </c>
      <c r="G18" s="466"/>
      <c r="H18" s="466">
        <v>4975</v>
      </c>
      <c r="I18" s="467"/>
      <c r="J18" s="467"/>
      <c r="K18" s="1693">
        <f t="shared" si="0"/>
        <v>153818</v>
      </c>
      <c r="L18" s="466">
        <v>161193</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4339964</v>
      </c>
      <c r="D33" s="1692">
        <f t="shared" ref="D33:L33" si="1">SUM(D5:D32)</f>
        <v>451377</v>
      </c>
      <c r="E33" s="1692">
        <f t="shared" si="1"/>
        <v>173473</v>
      </c>
      <c r="F33" s="1692">
        <f t="shared" si="1"/>
        <v>175090</v>
      </c>
      <c r="G33" s="1692">
        <f t="shared" si="1"/>
        <v>110006</v>
      </c>
      <c r="H33" s="1692">
        <f t="shared" si="1"/>
        <v>22046</v>
      </c>
      <c r="I33" s="1692">
        <f t="shared" si="1"/>
        <v>0</v>
      </c>
      <c r="J33" s="1692">
        <f t="shared" si="1"/>
        <v>0</v>
      </c>
      <c r="K33" s="1692">
        <f t="shared" si="1"/>
        <v>5271956</v>
      </c>
      <c r="L33" s="1692">
        <f t="shared" si="1"/>
        <v>5422560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96055</v>
      </c>
      <c r="D36" s="481"/>
      <c r="E36" s="481">
        <v>3053</v>
      </c>
      <c r="F36" s="481">
        <v>160</v>
      </c>
      <c r="G36" s="481"/>
      <c r="H36" s="481"/>
      <c r="I36" s="467"/>
      <c r="J36" s="467"/>
      <c r="K36" s="1693">
        <f t="shared" ref="K36:K41" si="2">SUM(C36:J36)</f>
        <v>99268</v>
      </c>
      <c r="L36" s="466">
        <v>118800</v>
      </c>
    </row>
    <row r="37" spans="1:14" x14ac:dyDescent="0.2">
      <c r="A37" s="1526" t="s">
        <v>1151</v>
      </c>
      <c r="B37" s="615">
        <v>2120</v>
      </c>
      <c r="C37" s="466">
        <v>110174</v>
      </c>
      <c r="D37" s="466"/>
      <c r="E37" s="466"/>
      <c r="F37" s="466"/>
      <c r="G37" s="466"/>
      <c r="H37" s="466"/>
      <c r="I37" s="467"/>
      <c r="J37" s="467"/>
      <c r="K37" s="1693">
        <f t="shared" si="2"/>
        <v>110174</v>
      </c>
      <c r="L37" s="466">
        <v>112000</v>
      </c>
    </row>
    <row r="38" spans="1:14" x14ac:dyDescent="0.2">
      <c r="A38" s="1526" t="s">
        <v>207</v>
      </c>
      <c r="B38" s="615">
        <v>2130</v>
      </c>
      <c r="C38" s="466">
        <v>135887</v>
      </c>
      <c r="D38" s="466"/>
      <c r="E38" s="466">
        <v>301</v>
      </c>
      <c r="F38" s="466">
        <v>2056</v>
      </c>
      <c r="G38" s="466"/>
      <c r="H38" s="466"/>
      <c r="I38" s="467"/>
      <c r="J38" s="467"/>
      <c r="K38" s="1693">
        <f t="shared" si="2"/>
        <v>138244</v>
      </c>
      <c r="L38" s="466">
        <v>136775</v>
      </c>
    </row>
    <row r="39" spans="1:14" x14ac:dyDescent="0.2">
      <c r="A39" s="1526" t="s">
        <v>208</v>
      </c>
      <c r="B39" s="615">
        <v>2140</v>
      </c>
      <c r="C39" s="466">
        <v>58667</v>
      </c>
      <c r="D39" s="466"/>
      <c r="E39" s="466">
        <v>824</v>
      </c>
      <c r="F39" s="466">
        <v>1259</v>
      </c>
      <c r="G39" s="466"/>
      <c r="H39" s="466"/>
      <c r="I39" s="467"/>
      <c r="J39" s="467"/>
      <c r="K39" s="1693">
        <f t="shared" si="2"/>
        <v>60750</v>
      </c>
      <c r="L39" s="466">
        <v>60100</v>
      </c>
    </row>
    <row r="40" spans="1:14" x14ac:dyDescent="0.2">
      <c r="A40" s="1526" t="s">
        <v>209</v>
      </c>
      <c r="B40" s="615">
        <v>2150</v>
      </c>
      <c r="C40" s="466">
        <v>83322</v>
      </c>
      <c r="D40" s="466"/>
      <c r="E40" s="466">
        <v>188</v>
      </c>
      <c r="F40" s="466">
        <v>834</v>
      </c>
      <c r="G40" s="466"/>
      <c r="H40" s="466"/>
      <c r="I40" s="467"/>
      <c r="J40" s="467"/>
      <c r="K40" s="1693">
        <f t="shared" si="2"/>
        <v>84344</v>
      </c>
      <c r="L40" s="466">
        <v>99600</v>
      </c>
    </row>
    <row r="41" spans="1:14" x14ac:dyDescent="0.2">
      <c r="A41" s="1526" t="s">
        <v>1768</v>
      </c>
      <c r="B41" s="615">
        <v>2190</v>
      </c>
      <c r="C41" s="466">
        <v>9667</v>
      </c>
      <c r="D41" s="466"/>
      <c r="E41" s="466">
        <v>24113</v>
      </c>
      <c r="F41" s="466">
        <v>213</v>
      </c>
      <c r="G41" s="466"/>
      <c r="H41" s="466"/>
      <c r="I41" s="467"/>
      <c r="J41" s="467"/>
      <c r="K41" s="1693">
        <f t="shared" si="2"/>
        <v>33993</v>
      </c>
      <c r="L41" s="466">
        <v>33000</v>
      </c>
    </row>
    <row r="42" spans="1:14" ht="12.75" customHeight="1" thickBot="1" x14ac:dyDescent="0.25">
      <c r="A42" s="1690" t="s">
        <v>581</v>
      </c>
      <c r="B42" s="1691" t="s">
        <v>740</v>
      </c>
      <c r="C42" s="1692">
        <f>SUM(C36:C41)</f>
        <v>493772</v>
      </c>
      <c r="D42" s="1692">
        <f t="shared" ref="D42:L42" si="3">SUM(D36:D41)</f>
        <v>0</v>
      </c>
      <c r="E42" s="1692">
        <f t="shared" si="3"/>
        <v>28479</v>
      </c>
      <c r="F42" s="1692">
        <f t="shared" si="3"/>
        <v>4522</v>
      </c>
      <c r="G42" s="1692">
        <f t="shared" si="3"/>
        <v>0</v>
      </c>
      <c r="H42" s="1692">
        <f t="shared" si="3"/>
        <v>0</v>
      </c>
      <c r="I42" s="1692">
        <f t="shared" si="3"/>
        <v>0</v>
      </c>
      <c r="J42" s="1692">
        <f t="shared" si="3"/>
        <v>0</v>
      </c>
      <c r="K42" s="1692">
        <f t="shared" si="3"/>
        <v>526773</v>
      </c>
      <c r="L42" s="1692">
        <f t="shared" si="3"/>
        <v>560275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10814</v>
      </c>
      <c r="D44" s="481">
        <v>141</v>
      </c>
      <c r="E44" s="481">
        <v>64788</v>
      </c>
      <c r="F44" s="481"/>
      <c r="G44" s="481"/>
      <c r="H44" s="481"/>
      <c r="I44" s="467"/>
      <c r="J44" s="467"/>
      <c r="K44" s="1694">
        <f>SUM(C44:J44)</f>
        <v>75743</v>
      </c>
      <c r="L44" s="481">
        <v>87986</v>
      </c>
    </row>
    <row r="45" spans="1:14" x14ac:dyDescent="0.2">
      <c r="A45" s="1526" t="s">
        <v>869</v>
      </c>
      <c r="B45" s="615">
        <v>2220</v>
      </c>
      <c r="C45" s="466">
        <v>64840</v>
      </c>
      <c r="D45" s="466"/>
      <c r="E45" s="466">
        <v>135096</v>
      </c>
      <c r="F45" s="466">
        <v>22349</v>
      </c>
      <c r="G45" s="466">
        <v>193873</v>
      </c>
      <c r="H45" s="466"/>
      <c r="I45" s="467"/>
      <c r="J45" s="467"/>
      <c r="K45" s="1694">
        <f>SUM(C45:J45)</f>
        <v>416158</v>
      </c>
      <c r="L45" s="466">
        <v>498720</v>
      </c>
    </row>
    <row r="46" spans="1:14" x14ac:dyDescent="0.2">
      <c r="A46" s="1526" t="s">
        <v>870</v>
      </c>
      <c r="B46" s="615">
        <v>2230</v>
      </c>
      <c r="C46" s="466"/>
      <c r="D46" s="466"/>
      <c r="E46" s="466"/>
      <c r="F46" s="466">
        <v>5304</v>
      </c>
      <c r="G46" s="466"/>
      <c r="H46" s="466"/>
      <c r="I46" s="467"/>
      <c r="J46" s="467"/>
      <c r="K46" s="1694">
        <f>SUM(C46:J46)</f>
        <v>5304</v>
      </c>
      <c r="L46" s="466">
        <v>5000</v>
      </c>
    </row>
    <row r="47" spans="1:14" ht="12.75" customHeight="1" thickBot="1" x14ac:dyDescent="0.25">
      <c r="A47" s="1690" t="s">
        <v>582</v>
      </c>
      <c r="B47" s="1691" t="s">
        <v>32</v>
      </c>
      <c r="C47" s="1692">
        <f>SUM(C44:C46)</f>
        <v>75654</v>
      </c>
      <c r="D47" s="1692">
        <f t="shared" ref="D47:K47" si="4">SUM(D44:D46)</f>
        <v>141</v>
      </c>
      <c r="E47" s="1692">
        <f t="shared" si="4"/>
        <v>199884</v>
      </c>
      <c r="F47" s="1692">
        <f t="shared" si="4"/>
        <v>27653</v>
      </c>
      <c r="G47" s="1692">
        <f t="shared" si="4"/>
        <v>193873</v>
      </c>
      <c r="H47" s="1692">
        <f t="shared" si="4"/>
        <v>0</v>
      </c>
      <c r="I47" s="1692">
        <f t="shared" si="4"/>
        <v>0</v>
      </c>
      <c r="J47" s="1692">
        <f t="shared" si="4"/>
        <v>0</v>
      </c>
      <c r="K47" s="1692">
        <f t="shared" si="4"/>
        <v>497205</v>
      </c>
      <c r="L47" s="1692">
        <f>SUM(L44:L46)</f>
        <v>591706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4467</v>
      </c>
      <c r="D49" s="481">
        <v>63323</v>
      </c>
      <c r="E49" s="481">
        <v>166381</v>
      </c>
      <c r="F49" s="481"/>
      <c r="G49" s="481"/>
      <c r="H49" s="481">
        <v>27282</v>
      </c>
      <c r="I49" s="467"/>
      <c r="J49" s="467"/>
      <c r="K49" s="1694">
        <f>SUM(C49:J49)</f>
        <v>261453</v>
      </c>
      <c r="L49" s="481">
        <v>347391</v>
      </c>
    </row>
    <row r="50" spans="1:14" x14ac:dyDescent="0.2">
      <c r="A50" s="1526" t="s">
        <v>872</v>
      </c>
      <c r="B50" s="615">
        <v>2320</v>
      </c>
      <c r="C50" s="466">
        <v>143776</v>
      </c>
      <c r="D50" s="466"/>
      <c r="E50" s="466">
        <v>2969</v>
      </c>
      <c r="F50" s="466">
        <v>1718</v>
      </c>
      <c r="G50" s="466"/>
      <c r="H50" s="466">
        <v>2310</v>
      </c>
      <c r="I50" s="467"/>
      <c r="J50" s="467"/>
      <c r="K50" s="1694">
        <f>SUM(C50:J50)</f>
        <v>150773</v>
      </c>
      <c r="L50" s="466">
        <v>159000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148243</v>
      </c>
      <c r="D53" s="1692">
        <f t="shared" ref="D53:L53" si="5">SUM(D49:D52)</f>
        <v>63323</v>
      </c>
      <c r="E53" s="1692">
        <f t="shared" si="5"/>
        <v>169350</v>
      </c>
      <c r="F53" s="1692">
        <f t="shared" si="5"/>
        <v>1718</v>
      </c>
      <c r="G53" s="1692">
        <f t="shared" si="5"/>
        <v>0</v>
      </c>
      <c r="H53" s="1692">
        <f t="shared" si="5"/>
        <v>29592</v>
      </c>
      <c r="I53" s="1692">
        <f t="shared" si="5"/>
        <v>0</v>
      </c>
      <c r="J53" s="1692">
        <f t="shared" si="5"/>
        <v>0</v>
      </c>
      <c r="K53" s="1692">
        <f t="shared" si="5"/>
        <v>412226</v>
      </c>
      <c r="L53" s="1692">
        <f t="shared" si="5"/>
        <v>506391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356959</v>
      </c>
      <c r="D55" s="481"/>
      <c r="E55" s="481">
        <v>587</v>
      </c>
      <c r="F55" s="481">
        <v>949</v>
      </c>
      <c r="G55" s="481"/>
      <c r="H55" s="481">
        <v>1052</v>
      </c>
      <c r="I55" s="467"/>
      <c r="J55" s="467"/>
      <c r="K55" s="1694">
        <f>SUM(C55:J55)</f>
        <v>359547</v>
      </c>
      <c r="L55" s="481">
        <v>363495</v>
      </c>
    </row>
    <row r="56" spans="1:14" ht="12.75" customHeight="1" x14ac:dyDescent="0.2">
      <c r="A56" s="1530" t="s">
        <v>394</v>
      </c>
      <c r="B56" s="629">
        <v>2490</v>
      </c>
      <c r="C56" s="466">
        <v>154231</v>
      </c>
      <c r="D56" s="466"/>
      <c r="E56" s="466">
        <v>240</v>
      </c>
      <c r="F56" s="466"/>
      <c r="G56" s="466"/>
      <c r="H56" s="466">
        <v>926</v>
      </c>
      <c r="I56" s="467"/>
      <c r="J56" s="467"/>
      <c r="K56" s="1694">
        <f>SUM(C56:J56)</f>
        <v>155397</v>
      </c>
      <c r="L56" s="466">
        <v>158000</v>
      </c>
    </row>
    <row r="57" spans="1:14" s="343" customFormat="1" ht="12.75" customHeight="1" thickBot="1" x14ac:dyDescent="0.25">
      <c r="A57" s="1690" t="s">
        <v>281</v>
      </c>
      <c r="B57" s="1695" t="s">
        <v>34</v>
      </c>
      <c r="C57" s="1696">
        <f>SUM(C55:C56)</f>
        <v>511190</v>
      </c>
      <c r="D57" s="1696">
        <f t="shared" ref="D57:K57" si="6">SUM(D55:D56)</f>
        <v>0</v>
      </c>
      <c r="E57" s="1696">
        <f t="shared" si="6"/>
        <v>827</v>
      </c>
      <c r="F57" s="1696">
        <f t="shared" si="6"/>
        <v>949</v>
      </c>
      <c r="G57" s="1696">
        <f t="shared" si="6"/>
        <v>0</v>
      </c>
      <c r="H57" s="1696">
        <f t="shared" si="6"/>
        <v>1978</v>
      </c>
      <c r="I57" s="1696">
        <f t="shared" si="6"/>
        <v>0</v>
      </c>
      <c r="J57" s="1696">
        <f t="shared" si="6"/>
        <v>0</v>
      </c>
      <c r="K57" s="1696">
        <f t="shared" si="6"/>
        <v>514944</v>
      </c>
      <c r="L57" s="1692">
        <f>SUM(L55:L56)</f>
        <v>521495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92451</v>
      </c>
      <c r="D60" s="466">
        <v>607439</v>
      </c>
      <c r="E60" s="466"/>
      <c r="F60" s="466">
        <v>16349</v>
      </c>
      <c r="G60" s="466"/>
      <c r="H60" s="466">
        <v>6664</v>
      </c>
      <c r="I60" s="467"/>
      <c r="J60" s="467"/>
      <c r="K60" s="1694">
        <f t="shared" si="7"/>
        <v>722903</v>
      </c>
      <c r="L60" s="466">
        <v>1186750</v>
      </c>
      <c r="M60" s="610"/>
      <c r="N60" s="610"/>
    </row>
    <row r="61" spans="1:14" s="343" customFormat="1" x14ac:dyDescent="0.2">
      <c r="A61" s="1526" t="s">
        <v>206</v>
      </c>
      <c r="B61" s="615">
        <v>2540</v>
      </c>
      <c r="C61" s="466">
        <v>71212</v>
      </c>
      <c r="D61" s="466"/>
      <c r="E61" s="466">
        <v>52552</v>
      </c>
      <c r="F61" s="466">
        <v>137980</v>
      </c>
      <c r="G61" s="466"/>
      <c r="H61" s="466"/>
      <c r="I61" s="467"/>
      <c r="J61" s="467"/>
      <c r="K61" s="1694">
        <f t="shared" si="7"/>
        <v>261744</v>
      </c>
      <c r="L61" s="466">
        <v>371510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163017</v>
      </c>
      <c r="D63" s="466"/>
      <c r="E63" s="466">
        <v>11219</v>
      </c>
      <c r="F63" s="466">
        <v>233166</v>
      </c>
      <c r="G63" s="466">
        <v>2533</v>
      </c>
      <c r="H63" s="466"/>
      <c r="I63" s="467"/>
      <c r="J63" s="467"/>
      <c r="K63" s="1694">
        <f t="shared" si="7"/>
        <v>409935</v>
      </c>
      <c r="L63" s="466">
        <v>440050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326680</v>
      </c>
      <c r="D65" s="1692">
        <f t="shared" ref="D65:L65" si="8">SUM(D59:D64)</f>
        <v>607439</v>
      </c>
      <c r="E65" s="1692">
        <f t="shared" si="8"/>
        <v>63771</v>
      </c>
      <c r="F65" s="1692">
        <f t="shared" si="8"/>
        <v>387495</v>
      </c>
      <c r="G65" s="1692">
        <f t="shared" si="8"/>
        <v>2533</v>
      </c>
      <c r="H65" s="1692">
        <f t="shared" si="8"/>
        <v>6664</v>
      </c>
      <c r="I65" s="1692">
        <f t="shared" si="8"/>
        <v>0</v>
      </c>
      <c r="J65" s="1692">
        <f t="shared" si="8"/>
        <v>0</v>
      </c>
      <c r="K65" s="1692">
        <f t="shared" si="8"/>
        <v>1394582</v>
      </c>
      <c r="L65" s="1692">
        <f t="shared" si="8"/>
        <v>1998310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v>65367</v>
      </c>
      <c r="F69" s="466"/>
      <c r="G69" s="466"/>
      <c r="H69" s="466"/>
      <c r="I69" s="467"/>
      <c r="J69" s="467"/>
      <c r="K69" s="1694">
        <f>SUM(C69:J69)</f>
        <v>65367</v>
      </c>
      <c r="L69" s="466">
        <v>65200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65367</v>
      </c>
      <c r="F72" s="1692">
        <f t="shared" si="9"/>
        <v>0</v>
      </c>
      <c r="G72" s="1692">
        <f t="shared" si="9"/>
        <v>0</v>
      </c>
      <c r="H72" s="1692">
        <f t="shared" si="9"/>
        <v>0</v>
      </c>
      <c r="I72" s="1692">
        <f t="shared" si="9"/>
        <v>0</v>
      </c>
      <c r="J72" s="1692">
        <f t="shared" si="9"/>
        <v>0</v>
      </c>
      <c r="K72" s="1692">
        <f t="shared" si="9"/>
        <v>65367</v>
      </c>
      <c r="L72" s="1692">
        <f>SUM(L67:L71)</f>
        <v>65200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1555539</v>
      </c>
      <c r="D74" s="1699">
        <f t="shared" ref="D74:K74" si="10">SUM(D42,D47,D53,D57,D65,D72,D73)</f>
        <v>670903</v>
      </c>
      <c r="E74" s="1699">
        <f t="shared" si="10"/>
        <v>527678</v>
      </c>
      <c r="F74" s="1699">
        <f t="shared" si="10"/>
        <v>422337</v>
      </c>
      <c r="G74" s="1699">
        <f t="shared" si="10"/>
        <v>196406</v>
      </c>
      <c r="H74" s="1699">
        <f t="shared" si="10"/>
        <v>38234</v>
      </c>
      <c r="I74" s="1699">
        <f t="shared" si="10"/>
        <v>0</v>
      </c>
      <c r="J74" s="1699">
        <f t="shared" si="10"/>
        <v>0</v>
      </c>
      <c r="K74" s="1699">
        <f t="shared" si="10"/>
        <v>3411097</v>
      </c>
      <c r="L74" s="1699">
        <f>SUM(L42,L47,L53,L57,L65,L72,L73)</f>
        <v>4243377</v>
      </c>
    </row>
    <row r="75" spans="1:14" s="259" customFormat="1" ht="15.75" customHeight="1" thickTop="1" thickBot="1" x14ac:dyDescent="0.25">
      <c r="A75" s="1632" t="s">
        <v>49</v>
      </c>
      <c r="B75" s="1633" t="s">
        <v>596</v>
      </c>
      <c r="C75" s="573">
        <v>2394</v>
      </c>
      <c r="D75" s="573"/>
      <c r="E75" s="573"/>
      <c r="F75" s="573"/>
      <c r="G75" s="573"/>
      <c r="H75" s="573"/>
      <c r="I75" s="531"/>
      <c r="J75" s="531"/>
      <c r="K75" s="1692">
        <f>SUM(C75:J75)</f>
        <v>2394</v>
      </c>
      <c r="L75" s="576">
        <v>2500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250</v>
      </c>
    </row>
    <row r="79" spans="1:14" x14ac:dyDescent="0.2">
      <c r="A79" s="1526" t="s">
        <v>322</v>
      </c>
      <c r="B79" s="615">
        <v>4120</v>
      </c>
      <c r="C79" s="617"/>
      <c r="D79" s="617"/>
      <c r="E79" s="466">
        <v>495</v>
      </c>
      <c r="F79" s="617"/>
      <c r="G79" s="617"/>
      <c r="H79" s="466">
        <v>172002</v>
      </c>
      <c r="I79" s="477"/>
      <c r="J79" s="477"/>
      <c r="K79" s="1693">
        <f t="shared" si="11"/>
        <v>172497</v>
      </c>
      <c r="L79" s="466">
        <v>176500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v>31427</v>
      </c>
      <c r="I81" s="477"/>
      <c r="J81" s="477"/>
      <c r="K81" s="1693">
        <f t="shared" si="11"/>
        <v>31427</v>
      </c>
      <c r="L81" s="466">
        <v>32000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495</v>
      </c>
      <c r="F84" s="617"/>
      <c r="G84" s="617"/>
      <c r="H84" s="1692">
        <f>SUM(H78:H83)</f>
        <v>203429</v>
      </c>
      <c r="I84" s="477"/>
      <c r="J84" s="477"/>
      <c r="K84" s="1692">
        <f>SUM(K78:K83)</f>
        <v>203924</v>
      </c>
      <c r="L84" s="1692">
        <f>SUM(L78:L83)</f>
        <v>208750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v>885644</v>
      </c>
      <c r="I86" s="477"/>
      <c r="J86" s="477"/>
      <c r="K86" s="1699">
        <f t="shared" ref="K86:K98" si="12">H86</f>
        <v>885644</v>
      </c>
      <c r="L86" s="530">
        <v>950000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v>24300</v>
      </c>
      <c r="I90" s="477"/>
      <c r="J90" s="477"/>
      <c r="K90" s="1699">
        <f t="shared" si="12"/>
        <v>24300</v>
      </c>
      <c r="L90" s="530">
        <v>15000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909944</v>
      </c>
      <c r="I92" s="477"/>
      <c r="J92" s="477"/>
      <c r="K92" s="1699">
        <f t="shared" si="12"/>
        <v>909944</v>
      </c>
      <c r="L92" s="1692">
        <f>SUM(L85:L91)</f>
        <v>965000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495</v>
      </c>
      <c r="F102" s="617"/>
      <c r="G102" s="617"/>
      <c r="H102" s="1699">
        <f>SUM(H84,H92,H100,H101)</f>
        <v>1113373</v>
      </c>
      <c r="I102" s="477"/>
      <c r="J102" s="477"/>
      <c r="K102" s="1699">
        <f>SUM(K84,K92,K100,K101)</f>
        <v>1113868</v>
      </c>
      <c r="L102" s="1699">
        <f>SUM(L84,L92,L100,L101)</f>
        <v>1173750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5897897</v>
      </c>
      <c r="D114" s="1692">
        <f t="shared" ref="D114:K114" si="13">SUM(D33,D74,D75,D102,D112,D113)</f>
        <v>1122280</v>
      </c>
      <c r="E114" s="1692">
        <f t="shared" si="13"/>
        <v>701646</v>
      </c>
      <c r="F114" s="1692">
        <f t="shared" si="13"/>
        <v>597427</v>
      </c>
      <c r="G114" s="1692">
        <f t="shared" si="13"/>
        <v>306412</v>
      </c>
      <c r="H114" s="1692">
        <f>SUM(H33,H74,H75,H102,H112,H113)</f>
        <v>1173653</v>
      </c>
      <c r="I114" s="1692">
        <f t="shared" si="13"/>
        <v>0</v>
      </c>
      <c r="J114" s="1692">
        <f t="shared" si="13"/>
        <v>0</v>
      </c>
      <c r="K114" s="1692">
        <f t="shared" si="13"/>
        <v>9799315</v>
      </c>
      <c r="L114" s="1692">
        <f>SUM(L33,L74,L75,L102,L112,L113)</f>
        <v>10842187</v>
      </c>
    </row>
    <row r="115" spans="1:14" ht="13.5" thickTop="1" x14ac:dyDescent="0.2">
      <c r="A115" s="2185" t="s">
        <v>1053</v>
      </c>
      <c r="B115" s="2186"/>
      <c r="C115" s="619"/>
      <c r="D115" s="619"/>
      <c r="E115" s="619"/>
      <c r="F115" s="619"/>
      <c r="G115" s="619"/>
      <c r="H115" s="619"/>
      <c r="I115" s="619"/>
      <c r="J115" s="619"/>
      <c r="K115" s="1706">
        <f>'Revenues 9-14'!C275-'Expenditures 15-22'!K114</f>
        <v>1360743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1000</v>
      </c>
    </row>
    <row r="124" spans="1:14" ht="14.25" thickTop="1" thickBot="1" x14ac:dyDescent="0.25">
      <c r="A124" s="1526" t="s">
        <v>206</v>
      </c>
      <c r="B124" s="615">
        <v>2540</v>
      </c>
      <c r="C124" s="466">
        <v>214871</v>
      </c>
      <c r="D124" s="466"/>
      <c r="E124" s="466">
        <v>167772</v>
      </c>
      <c r="F124" s="466">
        <v>78860</v>
      </c>
      <c r="G124" s="466">
        <v>15754</v>
      </c>
      <c r="H124" s="466">
        <v>1817</v>
      </c>
      <c r="I124" s="467"/>
      <c r="J124" s="467"/>
      <c r="K124" s="1692">
        <f>SUM(C124:J124)</f>
        <v>479074</v>
      </c>
      <c r="L124" s="466">
        <v>550830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214871</v>
      </c>
      <c r="D127" s="1692">
        <f t="shared" ref="D127:L127" si="14">SUM(D122:D126)</f>
        <v>0</v>
      </c>
      <c r="E127" s="1692">
        <f t="shared" si="14"/>
        <v>167772</v>
      </c>
      <c r="F127" s="1692">
        <f t="shared" si="14"/>
        <v>78860</v>
      </c>
      <c r="G127" s="1692">
        <f t="shared" si="14"/>
        <v>15754</v>
      </c>
      <c r="H127" s="1692">
        <f t="shared" si="14"/>
        <v>1817</v>
      </c>
      <c r="I127" s="1692">
        <f t="shared" si="14"/>
        <v>0</v>
      </c>
      <c r="J127" s="1692">
        <f t="shared" si="14"/>
        <v>0</v>
      </c>
      <c r="K127" s="1692">
        <f t="shared" si="14"/>
        <v>479074</v>
      </c>
      <c r="L127" s="1692">
        <f t="shared" si="14"/>
        <v>551830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214871</v>
      </c>
      <c r="D129" s="1699">
        <f t="shared" ref="D129:L129" si="15">SUM(D120,D127,D128)</f>
        <v>0</v>
      </c>
      <c r="E129" s="1699">
        <f t="shared" si="15"/>
        <v>167772</v>
      </c>
      <c r="F129" s="1699">
        <f t="shared" si="15"/>
        <v>78860</v>
      </c>
      <c r="G129" s="1699">
        <f t="shared" si="15"/>
        <v>15754</v>
      </c>
      <c r="H129" s="1699">
        <f t="shared" si="15"/>
        <v>1817</v>
      </c>
      <c r="I129" s="1699">
        <f t="shared" si="15"/>
        <v>0</v>
      </c>
      <c r="J129" s="1699">
        <f t="shared" si="15"/>
        <v>0</v>
      </c>
      <c r="K129" s="1699">
        <f t="shared" si="15"/>
        <v>479074</v>
      </c>
      <c r="L129" s="1699">
        <f t="shared" si="15"/>
        <v>551830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02" t="s">
        <v>641</v>
      </c>
      <c r="B151" s="2182"/>
      <c r="C151" s="1692">
        <f>SUM(C129,C130,C139,C149,C150)</f>
        <v>214871</v>
      </c>
      <c r="D151" s="1692">
        <f t="shared" ref="D151:K151" si="16">SUM(D129,D130,D139,D149,D150)</f>
        <v>0</v>
      </c>
      <c r="E151" s="1692">
        <f t="shared" si="16"/>
        <v>167772</v>
      </c>
      <c r="F151" s="1692">
        <f t="shared" si="16"/>
        <v>78860</v>
      </c>
      <c r="G151" s="1692">
        <f t="shared" si="16"/>
        <v>15754</v>
      </c>
      <c r="H151" s="1692">
        <f t="shared" si="16"/>
        <v>1817</v>
      </c>
      <c r="I151" s="1692">
        <f t="shared" si="16"/>
        <v>0</v>
      </c>
      <c r="J151" s="1692">
        <f t="shared" si="16"/>
        <v>0</v>
      </c>
      <c r="K151" s="1692">
        <f t="shared" si="16"/>
        <v>479074</v>
      </c>
      <c r="L151" s="1692">
        <f>SUM(L129,L130,L139,L149,L150)</f>
        <v>551830</v>
      </c>
    </row>
    <row r="152" spans="1:14" ht="12.75" customHeight="1" thickTop="1" x14ac:dyDescent="0.2">
      <c r="A152" s="2205" t="s">
        <v>1240</v>
      </c>
      <c r="B152" s="2206"/>
      <c r="C152" s="619"/>
      <c r="D152" s="619"/>
      <c r="E152" s="619"/>
      <c r="F152" s="619"/>
      <c r="G152" s="619"/>
      <c r="H152" s="619"/>
      <c r="I152" s="619"/>
      <c r="J152" s="617"/>
      <c r="K152" s="1706">
        <f>'Revenues 9-14'!D275-'Expenditures 15-22'!K151</f>
        <v>55022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v>0</v>
      </c>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496406</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496406</v>
      </c>
    </row>
    <row r="169" spans="1:14" ht="15.75" customHeight="1" thickTop="1" x14ac:dyDescent="0.2">
      <c r="A169" s="670" t="s">
        <v>85</v>
      </c>
      <c r="B169" s="671" t="s">
        <v>38</v>
      </c>
      <c r="C169" s="617"/>
      <c r="D169" s="617"/>
      <c r="E169" s="617"/>
      <c r="F169" s="617"/>
      <c r="G169" s="617"/>
      <c r="H169" s="657">
        <v>497584</v>
      </c>
      <c r="I169" s="617"/>
      <c r="J169" s="617"/>
      <c r="K169" s="1693">
        <f>SUM(C169:H169)</f>
        <v>497584</v>
      </c>
      <c r="L169" s="657">
        <v>780000</v>
      </c>
    </row>
    <row r="170" spans="1:14" ht="33.75" customHeight="1" x14ac:dyDescent="0.2">
      <c r="A170" s="670" t="s">
        <v>1769</v>
      </c>
      <c r="B170" s="672" t="s">
        <v>31</v>
      </c>
      <c r="C170" s="617"/>
      <c r="D170" s="617"/>
      <c r="E170" s="617"/>
      <c r="F170" s="617"/>
      <c r="G170" s="617"/>
      <c r="H170" s="569">
        <v>826796</v>
      </c>
      <c r="I170" s="617"/>
      <c r="J170" s="617"/>
      <c r="K170" s="1693">
        <f>SUM(C170:J170)</f>
        <v>826796</v>
      </c>
      <c r="L170" s="569">
        <v>0</v>
      </c>
    </row>
    <row r="171" spans="1:14" ht="15.75" customHeight="1" x14ac:dyDescent="0.2">
      <c r="A171" s="622" t="s">
        <v>790</v>
      </c>
      <c r="B171" s="673" t="s">
        <v>86</v>
      </c>
      <c r="C171" s="617"/>
      <c r="D171" s="617"/>
      <c r="E171" s="466">
        <v>6045</v>
      </c>
      <c r="F171" s="617"/>
      <c r="G171" s="617"/>
      <c r="H171" s="569"/>
      <c r="I171" s="477"/>
      <c r="J171" s="617"/>
      <c r="K171" s="1693">
        <f>SUM(C171:J171)</f>
        <v>6045</v>
      </c>
      <c r="L171" s="569">
        <v>2500</v>
      </c>
    </row>
    <row r="172" spans="1:14" ht="12.75" customHeight="1" thickBot="1" x14ac:dyDescent="0.25">
      <c r="A172" s="1690" t="s">
        <v>659</v>
      </c>
      <c r="B172" s="1691" t="s">
        <v>513</v>
      </c>
      <c r="C172" s="617"/>
      <c r="D172" s="617"/>
      <c r="E172" s="1699">
        <f>SUM(E168,E169,E170,E171)</f>
        <v>6045</v>
      </c>
      <c r="F172" s="617"/>
      <c r="G172" s="617"/>
      <c r="H172" s="1699">
        <f>SUM(H168,H169,H170,H171)</f>
        <v>1324380</v>
      </c>
      <c r="I172" s="639"/>
      <c r="J172" s="617"/>
      <c r="K172" s="1699">
        <f>SUM(K168,K169,K170,K171)</f>
        <v>1330425</v>
      </c>
      <c r="L172" s="1699">
        <f>SUM(L168,L169,L170,L171)</f>
        <v>1278906</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6045</v>
      </c>
      <c r="F174" s="617"/>
      <c r="G174" s="617"/>
      <c r="H174" s="1699">
        <f>SUM(H160,H172,H173)</f>
        <v>1324380</v>
      </c>
      <c r="I174" s="639"/>
      <c r="J174" s="617"/>
      <c r="K174" s="1699">
        <f>SUM(K160,K172,K173)</f>
        <v>1330425</v>
      </c>
      <c r="L174" s="1699">
        <f>SUM(L160,L172,L173)</f>
        <v>1278906</v>
      </c>
    </row>
    <row r="175" spans="1:14" ht="13.5" thickTop="1" x14ac:dyDescent="0.2">
      <c r="A175" s="2185" t="s">
        <v>1053</v>
      </c>
      <c r="B175" s="2186"/>
      <c r="C175" s="617"/>
      <c r="D175" s="617"/>
      <c r="E175" s="617"/>
      <c r="F175" s="617"/>
      <c r="G175" s="617"/>
      <c r="H175" s="619"/>
      <c r="I175" s="617"/>
      <c r="J175" s="617"/>
      <c r="K175" s="1706">
        <f>'Revenues 9-14'!E275-'Expenditures 15-22'!K174</f>
        <v>-75589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76750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14350</v>
      </c>
      <c r="D182" s="466"/>
      <c r="E182" s="466">
        <v>804150</v>
      </c>
      <c r="F182" s="466">
        <v>54792</v>
      </c>
      <c r="G182" s="466"/>
      <c r="H182" s="466"/>
      <c r="I182" s="467"/>
      <c r="J182" s="467"/>
      <c r="K182" s="1693">
        <f>SUM(C182:J182)</f>
        <v>873292</v>
      </c>
      <c r="L182" s="466">
        <v>736060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14350</v>
      </c>
      <c r="D184" s="1699">
        <f t="shared" ref="D184:J184" si="17">SUM(D180,D182,D183)</f>
        <v>0</v>
      </c>
      <c r="E184" s="1699">
        <f t="shared" si="17"/>
        <v>804150</v>
      </c>
      <c r="F184" s="1699">
        <f t="shared" si="17"/>
        <v>54792</v>
      </c>
      <c r="G184" s="1699">
        <f t="shared" si="17"/>
        <v>0</v>
      </c>
      <c r="H184" s="1699">
        <f t="shared" si="17"/>
        <v>0</v>
      </c>
      <c r="I184" s="1699">
        <f t="shared" si="17"/>
        <v>0</v>
      </c>
      <c r="J184" s="1699">
        <f t="shared" si="17"/>
        <v>0</v>
      </c>
      <c r="K184" s="1699">
        <f>SUM(K180,K182,K183)</f>
        <v>873292</v>
      </c>
      <c r="L184" s="1699">
        <f>SUM(L180, L182:L183)</f>
        <v>812810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14350</v>
      </c>
      <c r="D210" s="1692">
        <f>SUM(D184,D185)</f>
        <v>0</v>
      </c>
      <c r="E210" s="1692">
        <f>SUM(E184,E185,E196)</f>
        <v>804150</v>
      </c>
      <c r="F210" s="1692">
        <f>SUM(F184,F185)</f>
        <v>54792</v>
      </c>
      <c r="G210" s="1692">
        <f>SUM(G184,G185)</f>
        <v>0</v>
      </c>
      <c r="H210" s="1692">
        <f>SUM(H184,H185,H196,H208,H209)</f>
        <v>0</v>
      </c>
      <c r="I210" s="1692">
        <f>SUM(I184,I185)</f>
        <v>0</v>
      </c>
      <c r="J210" s="1692">
        <f>SUM(J184,J185)</f>
        <v>0</v>
      </c>
      <c r="K210" s="1693">
        <f>SUM(K184,K185,K196,K208,K209)</f>
        <v>873292</v>
      </c>
      <c r="L210" s="1692">
        <f>SUM(L184,L185,L196,L208,L209)</f>
        <v>812810</v>
      </c>
    </row>
    <row r="211" spans="1:14" ht="13.5" thickTop="1" x14ac:dyDescent="0.2">
      <c r="A211" s="2185" t="s">
        <v>1053</v>
      </c>
      <c r="B211" s="2186"/>
      <c r="C211" s="619"/>
      <c r="D211" s="619"/>
      <c r="E211" s="619"/>
      <c r="F211" s="619"/>
      <c r="G211" s="619"/>
      <c r="H211" s="619"/>
      <c r="I211" s="617"/>
      <c r="J211" s="617"/>
      <c r="K211" s="1706">
        <f>'Revenues 9-14'!F275-'Expenditures 15-22'!K210</f>
        <v>-161587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43048</v>
      </c>
      <c r="E215" s="617"/>
      <c r="F215" s="617"/>
      <c r="G215" s="617"/>
      <c r="H215" s="617"/>
      <c r="I215" s="617"/>
      <c r="J215" s="617"/>
      <c r="K215" s="1693">
        <f>D215</f>
        <v>43048</v>
      </c>
      <c r="L215" s="466">
        <v>48100</v>
      </c>
    </row>
    <row r="216" spans="1:14" x14ac:dyDescent="0.2">
      <c r="A216" s="1526" t="s">
        <v>165</v>
      </c>
      <c r="B216" s="615" t="s">
        <v>1024</v>
      </c>
      <c r="C216" s="617"/>
      <c r="D216" s="467">
        <v>7606</v>
      </c>
      <c r="E216" s="617"/>
      <c r="F216" s="617"/>
      <c r="G216" s="617"/>
      <c r="H216" s="617"/>
      <c r="I216" s="617"/>
      <c r="J216" s="617"/>
      <c r="K216" s="1693">
        <f t="shared" ref="K216:K228" si="19">D216</f>
        <v>7606</v>
      </c>
      <c r="L216" s="466">
        <v>8500</v>
      </c>
    </row>
    <row r="217" spans="1:14" x14ac:dyDescent="0.2">
      <c r="A217" s="1526" t="s">
        <v>166</v>
      </c>
      <c r="B217" s="615">
        <v>1200</v>
      </c>
      <c r="C217" s="617"/>
      <c r="D217" s="466">
        <v>53696</v>
      </c>
      <c r="E217" s="617"/>
      <c r="F217" s="617"/>
      <c r="G217" s="617"/>
      <c r="H217" s="617"/>
      <c r="I217" s="617"/>
      <c r="J217" s="617"/>
      <c r="K217" s="1693">
        <f t="shared" si="19"/>
        <v>53696</v>
      </c>
      <c r="L217" s="466">
        <v>54700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13883</v>
      </c>
      <c r="E219" s="617"/>
      <c r="F219" s="617"/>
      <c r="G219" s="617"/>
      <c r="H219" s="617"/>
      <c r="I219" s="617"/>
      <c r="J219" s="617"/>
      <c r="K219" s="1693">
        <f t="shared" si="19"/>
        <v>13883</v>
      </c>
      <c r="L219" s="466">
        <v>13500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3614</v>
      </c>
      <c r="E222" s="617"/>
      <c r="F222" s="617"/>
      <c r="G222" s="617"/>
      <c r="H222" s="617"/>
      <c r="I222" s="617"/>
      <c r="J222" s="617"/>
      <c r="K222" s="1693">
        <f t="shared" si="19"/>
        <v>3614</v>
      </c>
      <c r="L222" s="466">
        <v>4100</v>
      </c>
    </row>
    <row r="223" spans="1:14" x14ac:dyDescent="0.2">
      <c r="A223" s="1526" t="s">
        <v>1020</v>
      </c>
      <c r="B223" s="615">
        <v>1500</v>
      </c>
      <c r="C223" s="617"/>
      <c r="D223" s="466">
        <v>3845</v>
      </c>
      <c r="E223" s="617"/>
      <c r="F223" s="617"/>
      <c r="G223" s="617"/>
      <c r="H223" s="617"/>
      <c r="I223" s="617"/>
      <c r="J223" s="617"/>
      <c r="K223" s="1693">
        <f t="shared" si="19"/>
        <v>3845</v>
      </c>
      <c r="L223" s="466">
        <v>3695</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116</v>
      </c>
      <c r="E226" s="617"/>
      <c r="F226" s="617"/>
      <c r="G226" s="617"/>
      <c r="H226" s="617"/>
      <c r="I226" s="617"/>
      <c r="J226" s="617"/>
      <c r="K226" s="1693">
        <f t="shared" si="19"/>
        <v>116</v>
      </c>
      <c r="L226" s="466">
        <v>75</v>
      </c>
    </row>
    <row r="227" spans="1:12" x14ac:dyDescent="0.2">
      <c r="A227" s="1526" t="s">
        <v>1148</v>
      </c>
      <c r="B227" s="615">
        <v>1800</v>
      </c>
      <c r="C227" s="617"/>
      <c r="D227" s="466">
        <v>2085</v>
      </c>
      <c r="E227" s="617"/>
      <c r="F227" s="617"/>
      <c r="G227" s="617"/>
      <c r="H227" s="617"/>
      <c r="I227" s="617"/>
      <c r="J227" s="617"/>
      <c r="K227" s="1693">
        <f t="shared" si="19"/>
        <v>2085</v>
      </c>
      <c r="L227" s="466">
        <v>2270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127893</v>
      </c>
      <c r="E229" s="617"/>
      <c r="F229" s="617"/>
      <c r="G229" s="617"/>
      <c r="H229" s="617"/>
      <c r="I229" s="617"/>
      <c r="J229" s="617"/>
      <c r="K229" s="1692">
        <f>SUM(K215:K228)</f>
        <v>127893</v>
      </c>
      <c r="L229" s="1692">
        <f>SUM(L215:L228)</f>
        <v>134940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27</v>
      </c>
      <c r="E232" s="617"/>
      <c r="F232" s="617"/>
      <c r="G232" s="617"/>
      <c r="H232" s="617"/>
      <c r="I232" s="617"/>
      <c r="J232" s="617"/>
      <c r="K232" s="1693">
        <f t="shared" ref="K232:K237" si="20">D232</f>
        <v>27</v>
      </c>
      <c r="L232" s="466">
        <v>1400</v>
      </c>
    </row>
    <row r="233" spans="1:12" x14ac:dyDescent="0.2">
      <c r="A233" s="1526" t="s">
        <v>1151</v>
      </c>
      <c r="B233" s="615">
        <v>2120</v>
      </c>
      <c r="C233" s="617"/>
      <c r="D233" s="466">
        <v>1598</v>
      </c>
      <c r="E233" s="617"/>
      <c r="F233" s="617"/>
      <c r="G233" s="617"/>
      <c r="H233" s="617"/>
      <c r="I233" s="617"/>
      <c r="J233" s="617"/>
      <c r="K233" s="1693">
        <f t="shared" si="20"/>
        <v>1598</v>
      </c>
      <c r="L233" s="466">
        <v>1700</v>
      </c>
    </row>
    <row r="234" spans="1:12" x14ac:dyDescent="0.2">
      <c r="A234" s="1526" t="s">
        <v>207</v>
      </c>
      <c r="B234" s="615">
        <v>2130</v>
      </c>
      <c r="C234" s="617"/>
      <c r="D234" s="466">
        <v>19889</v>
      </c>
      <c r="E234" s="617"/>
      <c r="F234" s="617"/>
      <c r="G234" s="617"/>
      <c r="H234" s="617"/>
      <c r="I234" s="617"/>
      <c r="J234" s="617"/>
      <c r="K234" s="1693">
        <f t="shared" si="20"/>
        <v>19889</v>
      </c>
      <c r="L234" s="466">
        <v>18200</v>
      </c>
    </row>
    <row r="235" spans="1:12" x14ac:dyDescent="0.2">
      <c r="A235" s="1526" t="s">
        <v>208</v>
      </c>
      <c r="B235" s="615">
        <v>2140</v>
      </c>
      <c r="C235" s="617"/>
      <c r="D235" s="466">
        <v>796</v>
      </c>
      <c r="E235" s="617"/>
      <c r="F235" s="617"/>
      <c r="G235" s="617"/>
      <c r="H235" s="617"/>
      <c r="I235" s="617"/>
      <c r="J235" s="617"/>
      <c r="K235" s="1693">
        <f t="shared" si="20"/>
        <v>796</v>
      </c>
      <c r="L235" s="466">
        <v>1000</v>
      </c>
    </row>
    <row r="236" spans="1:12" x14ac:dyDescent="0.2">
      <c r="A236" s="1526" t="s">
        <v>209</v>
      </c>
      <c r="B236" s="615">
        <v>2150</v>
      </c>
      <c r="C236" s="617"/>
      <c r="D236" s="466">
        <v>5585</v>
      </c>
      <c r="E236" s="617"/>
      <c r="F236" s="617"/>
      <c r="G236" s="617"/>
      <c r="H236" s="617"/>
      <c r="I236" s="617"/>
      <c r="J236" s="617"/>
      <c r="K236" s="1693">
        <f t="shared" si="20"/>
        <v>5585</v>
      </c>
      <c r="L236" s="466">
        <v>7400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27895</v>
      </c>
      <c r="E238" s="617"/>
      <c r="F238" s="617"/>
      <c r="G238" s="617"/>
      <c r="H238" s="617"/>
      <c r="I238" s="617"/>
      <c r="J238" s="617"/>
      <c r="K238" s="1692">
        <f>SUM(K232:K237)</f>
        <v>27895</v>
      </c>
      <c r="L238" s="1692">
        <f>SUM(L232:L237)</f>
        <v>29700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1613</v>
      </c>
      <c r="E240" s="617"/>
      <c r="F240" s="617"/>
      <c r="G240" s="617"/>
      <c r="H240" s="617"/>
      <c r="I240" s="617"/>
      <c r="J240" s="617"/>
      <c r="K240" s="1694">
        <f>D240</f>
        <v>1613</v>
      </c>
      <c r="L240" s="481">
        <v>200</v>
      </c>
    </row>
    <row r="241" spans="1:12" x14ac:dyDescent="0.2">
      <c r="A241" s="1526" t="s">
        <v>869</v>
      </c>
      <c r="B241" s="615">
        <v>2220</v>
      </c>
      <c r="C241" s="617"/>
      <c r="D241" s="466">
        <v>9238</v>
      </c>
      <c r="E241" s="617"/>
      <c r="F241" s="617"/>
      <c r="G241" s="617"/>
      <c r="H241" s="617"/>
      <c r="I241" s="617"/>
      <c r="J241" s="617"/>
      <c r="K241" s="1694">
        <f>D241</f>
        <v>9238</v>
      </c>
      <c r="L241" s="466">
        <v>9250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10851</v>
      </c>
      <c r="E243" s="617"/>
      <c r="F243" s="617"/>
      <c r="G243" s="617"/>
      <c r="H243" s="617"/>
      <c r="I243" s="617"/>
      <c r="J243" s="617"/>
      <c r="K243" s="1692">
        <f>SUM(K240:K242)</f>
        <v>10851</v>
      </c>
      <c r="L243" s="1692">
        <f>SUM(L240:L242)</f>
        <v>9450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429</v>
      </c>
      <c r="E245" s="617"/>
      <c r="F245" s="617"/>
      <c r="G245" s="617"/>
      <c r="H245" s="617"/>
      <c r="I245" s="617"/>
      <c r="J245" s="617"/>
      <c r="K245" s="1694">
        <f>D245</f>
        <v>429</v>
      </c>
      <c r="L245" s="481">
        <v>500</v>
      </c>
    </row>
    <row r="246" spans="1:12" x14ac:dyDescent="0.2">
      <c r="A246" s="1526" t="s">
        <v>872</v>
      </c>
      <c r="B246" s="615">
        <v>2320</v>
      </c>
      <c r="C246" s="617"/>
      <c r="D246" s="466">
        <v>6878</v>
      </c>
      <c r="E246" s="617"/>
      <c r="F246" s="617"/>
      <c r="G246" s="617"/>
      <c r="H246" s="617"/>
      <c r="I246" s="617"/>
      <c r="J246" s="617"/>
      <c r="K246" s="1694">
        <f t="shared" ref="K246:K256" si="21">D246</f>
        <v>6878</v>
      </c>
      <c r="L246" s="466">
        <v>7300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1906</v>
      </c>
      <c r="B249" s="684" t="s">
        <v>300</v>
      </c>
      <c r="C249" s="617"/>
      <c r="D249" s="474"/>
      <c r="E249" s="617"/>
      <c r="F249" s="617"/>
      <c r="G249" s="617"/>
      <c r="H249" s="617"/>
      <c r="I249" s="617"/>
      <c r="J249" s="617"/>
      <c r="K249" s="1694">
        <f t="shared" si="21"/>
        <v>0</v>
      </c>
      <c r="L249" s="466">
        <v>0</v>
      </c>
    </row>
    <row r="250" spans="1:12" x14ac:dyDescent="0.2">
      <c r="A250" s="1527" t="s">
        <v>1907</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7307</v>
      </c>
      <c r="E257" s="617"/>
      <c r="F257" s="617"/>
      <c r="G257" s="617"/>
      <c r="H257" s="617"/>
      <c r="I257" s="617"/>
      <c r="J257" s="617"/>
      <c r="K257" s="1692">
        <f>SUM(K245:K256)</f>
        <v>7307</v>
      </c>
      <c r="L257" s="1692">
        <f>SUM(L245:L256)</f>
        <v>7800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20683</v>
      </c>
      <c r="E259" s="617"/>
      <c r="F259" s="617"/>
      <c r="G259" s="617"/>
      <c r="H259" s="617"/>
      <c r="I259" s="617"/>
      <c r="J259" s="617"/>
      <c r="K259" s="1694">
        <f>D259</f>
        <v>20683</v>
      </c>
      <c r="L259" s="481">
        <v>22700</v>
      </c>
    </row>
    <row r="260" spans="1:14" s="598" customFormat="1" x14ac:dyDescent="0.2">
      <c r="A260" s="1544" t="s">
        <v>1905</v>
      </c>
      <c r="B260" s="629">
        <v>2490</v>
      </c>
      <c r="C260" s="617"/>
      <c r="D260" s="466">
        <v>2347</v>
      </c>
      <c r="E260" s="617"/>
      <c r="F260" s="617"/>
      <c r="G260" s="617"/>
      <c r="H260" s="617"/>
      <c r="I260" s="617"/>
      <c r="J260" s="617"/>
      <c r="K260" s="1694">
        <f>D260</f>
        <v>2347</v>
      </c>
      <c r="L260" s="466">
        <v>2200</v>
      </c>
      <c r="M260" s="210"/>
      <c r="N260" s="210"/>
    </row>
    <row r="261" spans="1:14" ht="12.75" customHeight="1" thickBot="1" x14ac:dyDescent="0.25">
      <c r="A261" s="1714" t="s">
        <v>281</v>
      </c>
      <c r="B261" s="1719" t="s">
        <v>34</v>
      </c>
      <c r="C261" s="617"/>
      <c r="D261" s="1692">
        <f>SUM(D259:D260)</f>
        <v>23030</v>
      </c>
      <c r="E261" s="617"/>
      <c r="F261" s="617"/>
      <c r="G261" s="617"/>
      <c r="H261" s="617"/>
      <c r="I261" s="617"/>
      <c r="J261" s="617"/>
      <c r="K261" s="1692">
        <f>SUM(K259:K260)</f>
        <v>23030</v>
      </c>
      <c r="L261" s="1692">
        <f>SUM(L259:L260)</f>
        <v>24900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14705</v>
      </c>
      <c r="E264" s="617"/>
      <c r="F264" s="617"/>
      <c r="G264" s="617"/>
      <c r="H264" s="617"/>
      <c r="I264" s="617"/>
      <c r="J264" s="617"/>
      <c r="K264" s="1694">
        <f t="shared" ref="K264:K269" si="22">D264</f>
        <v>14705</v>
      </c>
      <c r="L264" s="466">
        <v>15100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44117</v>
      </c>
      <c r="E266" s="617"/>
      <c r="F266" s="617"/>
      <c r="G266" s="617"/>
      <c r="H266" s="617"/>
      <c r="I266" s="617"/>
      <c r="J266" s="617"/>
      <c r="K266" s="1694">
        <f t="shared" si="22"/>
        <v>44117</v>
      </c>
      <c r="L266" s="466">
        <v>44200</v>
      </c>
    </row>
    <row r="267" spans="1:14" x14ac:dyDescent="0.2">
      <c r="A267" s="1526" t="s">
        <v>1010</v>
      </c>
      <c r="B267" s="615">
        <v>2550</v>
      </c>
      <c r="C267" s="617"/>
      <c r="D267" s="466">
        <v>668</v>
      </c>
      <c r="E267" s="617"/>
      <c r="F267" s="617"/>
      <c r="G267" s="617"/>
      <c r="H267" s="617"/>
      <c r="I267" s="617"/>
      <c r="J267" s="617"/>
      <c r="K267" s="1694">
        <f t="shared" si="22"/>
        <v>668</v>
      </c>
      <c r="L267" s="466">
        <v>900</v>
      </c>
    </row>
    <row r="268" spans="1:14" x14ac:dyDescent="0.2">
      <c r="A268" s="1526" t="s">
        <v>102</v>
      </c>
      <c r="B268" s="615">
        <v>2560</v>
      </c>
      <c r="C268" s="617"/>
      <c r="D268" s="466">
        <v>25874</v>
      </c>
      <c r="E268" s="617"/>
      <c r="F268" s="617"/>
      <c r="G268" s="617"/>
      <c r="H268" s="617"/>
      <c r="I268" s="617"/>
      <c r="J268" s="617"/>
      <c r="K268" s="1694">
        <f t="shared" si="22"/>
        <v>25874</v>
      </c>
      <c r="L268" s="466">
        <v>27000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85364</v>
      </c>
      <c r="E270" s="617"/>
      <c r="F270" s="617"/>
      <c r="G270" s="617"/>
      <c r="H270" s="617"/>
      <c r="I270" s="617"/>
      <c r="J270" s="617"/>
      <c r="K270" s="1692">
        <f>SUM(K263:K269)</f>
        <v>85364</v>
      </c>
      <c r="L270" s="1692">
        <f>SUM(L263:L269)</f>
        <v>87200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154447</v>
      </c>
      <c r="E279" s="617"/>
      <c r="F279" s="617"/>
      <c r="G279" s="617"/>
      <c r="H279" s="617"/>
      <c r="I279" s="617"/>
      <c r="J279" s="617"/>
      <c r="K279" s="1699">
        <f>SUM(K238,K243,K257,K261,K270,K277,K278)</f>
        <v>154447</v>
      </c>
      <c r="L279" s="1699">
        <f>SUM(L238,L243,L257,L261,L270,L277,L278)</f>
        <v>159050</v>
      </c>
    </row>
    <row r="280" spans="1:12" ht="15.75" customHeight="1" thickTop="1" thickBot="1" x14ac:dyDescent="0.25">
      <c r="A280" s="1646" t="s">
        <v>930</v>
      </c>
      <c r="B280" s="1635">
        <v>3000</v>
      </c>
      <c r="C280" s="617"/>
      <c r="D280" s="576">
        <v>284</v>
      </c>
      <c r="E280" s="617"/>
      <c r="F280" s="617"/>
      <c r="G280" s="617"/>
      <c r="H280" s="617"/>
      <c r="I280" s="617"/>
      <c r="J280" s="617"/>
      <c r="K280" s="1701">
        <f>D280</f>
        <v>284</v>
      </c>
      <c r="L280" s="576">
        <v>400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3" t="s">
        <v>526</v>
      </c>
      <c r="B295" s="2204"/>
      <c r="C295" s="617"/>
      <c r="D295" s="1692">
        <f>SUM(D229,D279,D280,D285)</f>
        <v>282624</v>
      </c>
      <c r="E295" s="617"/>
      <c r="F295" s="617"/>
      <c r="G295" s="617"/>
      <c r="H295" s="1692">
        <f>H293</f>
        <v>0</v>
      </c>
      <c r="I295" s="617"/>
      <c r="J295" s="617"/>
      <c r="K295" s="1692">
        <f>SUM(K229,K279,K280,K285,K293,K294)</f>
        <v>282624</v>
      </c>
      <c r="L295" s="1692">
        <f>SUM(L229,L279,L280,L285,L293,L294)</f>
        <v>294390</v>
      </c>
    </row>
    <row r="296" spans="1:14" ht="13.5" thickTop="1" x14ac:dyDescent="0.2">
      <c r="A296" s="2185" t="s">
        <v>1053</v>
      </c>
      <c r="B296" s="2186"/>
      <c r="C296" s="617"/>
      <c r="D296" s="619"/>
      <c r="E296" s="617"/>
      <c r="F296" s="617"/>
      <c r="G296" s="617"/>
      <c r="H296" s="688"/>
      <c r="I296" s="617"/>
      <c r="J296" s="617"/>
      <c r="K296" s="1706">
        <f>'Revenues 9-14'!G275-'Expenditures 15-22'!K295</f>
        <v>5588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0" t="s">
        <v>295</v>
      </c>
      <c r="B312" s="220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6" t="s">
        <v>1053</v>
      </c>
      <c r="B313" s="219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1906</v>
      </c>
      <c r="B320" s="699" t="s">
        <v>300</v>
      </c>
      <c r="C320" s="467"/>
      <c r="D320" s="467"/>
      <c r="E320" s="467">
        <v>5211</v>
      </c>
      <c r="F320" s="467"/>
      <c r="G320" s="467"/>
      <c r="H320" s="467"/>
      <c r="I320" s="467"/>
      <c r="J320" s="467"/>
      <c r="K320" s="1693">
        <f t="shared" ref="K320:K327" si="24">SUM(C320:J320)</f>
        <v>5211</v>
      </c>
      <c r="L320" s="467">
        <v>5211</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7654</v>
      </c>
      <c r="F322" s="467"/>
      <c r="G322" s="467"/>
      <c r="H322" s="467"/>
      <c r="I322" s="467"/>
      <c r="J322" s="467"/>
      <c r="K322" s="1693">
        <f t="shared" si="24"/>
        <v>7654</v>
      </c>
      <c r="L322" s="467">
        <v>7654</v>
      </c>
      <c r="M322" s="666"/>
      <c r="N322" s="666"/>
    </row>
    <row r="323" spans="1:14" s="675" customFormat="1" x14ac:dyDescent="0.2">
      <c r="A323" s="1541" t="s">
        <v>726</v>
      </c>
      <c r="B323" s="698" t="s">
        <v>303</v>
      </c>
      <c r="C323" s="467"/>
      <c r="D323" s="467"/>
      <c r="E323" s="467">
        <v>24181</v>
      </c>
      <c r="F323" s="467"/>
      <c r="G323" s="467"/>
      <c r="H323" s="467"/>
      <c r="I323" s="467"/>
      <c r="J323" s="467"/>
      <c r="K323" s="1693">
        <f t="shared" si="24"/>
        <v>24181</v>
      </c>
      <c r="L323" s="467">
        <v>28026</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v>36000</v>
      </c>
      <c r="F328" s="474"/>
      <c r="G328" s="474"/>
      <c r="H328" s="474"/>
      <c r="I328" s="474"/>
      <c r="J328" s="474"/>
      <c r="K328" s="1721">
        <f>SUM(C328:J328)</f>
        <v>36000</v>
      </c>
      <c r="L328" s="474">
        <v>36000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73046</v>
      </c>
      <c r="F330" s="1692">
        <f t="shared" si="25"/>
        <v>0</v>
      </c>
      <c r="G330" s="1692">
        <f t="shared" si="25"/>
        <v>0</v>
      </c>
      <c r="H330" s="1692">
        <f t="shared" si="25"/>
        <v>0</v>
      </c>
      <c r="I330" s="1692">
        <f t="shared" si="25"/>
        <v>0</v>
      </c>
      <c r="J330" s="1692">
        <f t="shared" si="25"/>
        <v>0</v>
      </c>
      <c r="K330" s="1692">
        <f>SUM(K319:K329)</f>
        <v>73046</v>
      </c>
      <c r="L330" s="1692">
        <f>SUM(L319:L329)</f>
        <v>76891</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73046</v>
      </c>
      <c r="F342" s="1692">
        <f>SUM(F330)</f>
        <v>0</v>
      </c>
      <c r="G342" s="1692">
        <f>SUM(G330)</f>
        <v>0</v>
      </c>
      <c r="H342" s="1692">
        <f>SUM(H330,H334,H340)</f>
        <v>0</v>
      </c>
      <c r="I342" s="1692">
        <f>SUM(I330)</f>
        <v>0</v>
      </c>
      <c r="J342" s="1692">
        <f>SUM(J330)</f>
        <v>0</v>
      </c>
      <c r="K342" s="1692">
        <f>SUM(K330,K334,K340)</f>
        <v>73046</v>
      </c>
      <c r="L342" s="1699">
        <f>SUM(L330,L340,L341)</f>
        <v>76891</v>
      </c>
    </row>
    <row r="343" spans="1:14" ht="12.75" customHeight="1" thickTop="1" x14ac:dyDescent="0.2">
      <c r="A343" s="2198" t="s">
        <v>1053</v>
      </c>
      <c r="B343" s="2199"/>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1000</v>
      </c>
    </row>
    <row r="349" spans="1:14" x14ac:dyDescent="0.2">
      <c r="A349" s="1526" t="s">
        <v>206</v>
      </c>
      <c r="B349" s="615">
        <v>2540</v>
      </c>
      <c r="C349" s="466"/>
      <c r="D349" s="466"/>
      <c r="E349" s="466">
        <v>36250</v>
      </c>
      <c r="F349" s="466"/>
      <c r="G349" s="466"/>
      <c r="H349" s="466"/>
      <c r="I349" s="467"/>
      <c r="J349" s="467"/>
      <c r="K349" s="1693">
        <f>SUM(C349:J349)</f>
        <v>36250</v>
      </c>
      <c r="L349" s="466">
        <v>200000</v>
      </c>
    </row>
    <row r="350" spans="1:14" ht="12.75" customHeight="1" thickBot="1" x14ac:dyDescent="0.25">
      <c r="A350" s="1690" t="s">
        <v>743</v>
      </c>
      <c r="B350" s="1691" t="s">
        <v>35</v>
      </c>
      <c r="C350" s="1692">
        <f>SUM(C348:C349)</f>
        <v>0</v>
      </c>
      <c r="D350" s="1692">
        <f t="shared" ref="D350:L350" si="26">SUM(D348:D349)</f>
        <v>0</v>
      </c>
      <c r="E350" s="1692">
        <f t="shared" si="26"/>
        <v>36250</v>
      </c>
      <c r="F350" s="1692">
        <f t="shared" si="26"/>
        <v>0</v>
      </c>
      <c r="G350" s="1692">
        <f t="shared" si="26"/>
        <v>0</v>
      </c>
      <c r="H350" s="1692">
        <f t="shared" si="26"/>
        <v>0</v>
      </c>
      <c r="I350" s="1692">
        <f t="shared" si="26"/>
        <v>0</v>
      </c>
      <c r="J350" s="1692">
        <f t="shared" si="26"/>
        <v>0</v>
      </c>
      <c r="K350" s="1692">
        <f t="shared" si="26"/>
        <v>36250</v>
      </c>
      <c r="L350" s="1692">
        <f t="shared" si="26"/>
        <v>201000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36250</v>
      </c>
      <c r="F352" s="1692">
        <f t="shared" si="27"/>
        <v>0</v>
      </c>
      <c r="G352" s="1692">
        <f t="shared" si="27"/>
        <v>0</v>
      </c>
      <c r="H352" s="1692">
        <f t="shared" si="27"/>
        <v>0</v>
      </c>
      <c r="I352" s="1692">
        <f t="shared" si="27"/>
        <v>0</v>
      </c>
      <c r="J352" s="1692">
        <f t="shared" si="27"/>
        <v>0</v>
      </c>
      <c r="K352" s="1692">
        <f t="shared" si="27"/>
        <v>36250</v>
      </c>
      <c r="L352" s="1692">
        <f t="shared" si="27"/>
        <v>201000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v>0</v>
      </c>
    </row>
    <row r="355" spans="1:14" ht="12.75" customHeight="1" x14ac:dyDescent="0.2">
      <c r="A355" s="1535" t="s">
        <v>1964</v>
      </c>
      <c r="B355" s="691" t="s">
        <v>1957</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36250</v>
      </c>
      <c r="F367" s="1692">
        <f t="shared" si="28"/>
        <v>0</v>
      </c>
      <c r="G367" s="1692">
        <f t="shared" si="28"/>
        <v>0</v>
      </c>
      <c r="H367" s="1692">
        <f t="shared" si="28"/>
        <v>0</v>
      </c>
      <c r="I367" s="1692">
        <f t="shared" si="28"/>
        <v>0</v>
      </c>
      <c r="J367" s="1692">
        <f t="shared" si="28"/>
        <v>0</v>
      </c>
      <c r="K367" s="1692">
        <f t="shared" si="28"/>
        <v>36250</v>
      </c>
      <c r="L367" s="1692">
        <f t="shared" si="28"/>
        <v>201000</v>
      </c>
    </row>
    <row r="368" spans="1:14" ht="13.5" thickTop="1" x14ac:dyDescent="0.2">
      <c r="A368" s="2185" t="s">
        <v>1053</v>
      </c>
      <c r="B368" s="2186"/>
      <c r="C368" s="655"/>
      <c r="D368" s="655"/>
      <c r="E368" s="627"/>
      <c r="F368" s="627"/>
      <c r="G368" s="627"/>
      <c r="H368" s="627"/>
      <c r="I368" s="627"/>
      <c r="J368" s="624"/>
      <c r="K368" s="1693">
        <f>'Revenues 9-14'!K275-'Expenditures 15-22'!K367</f>
        <v>30565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2018-11-07T17:30:45Z</cp:lastPrinted>
  <dcterms:created xsi:type="dcterms:W3CDTF">2003-10-29T19:06:34Z</dcterms:created>
  <dcterms:modified xsi:type="dcterms:W3CDTF">2018-11-14T17:33:14Z</dcterms:modified>
</cp:coreProperties>
</file>