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c r="B5117" i="106"/>
  <c r="D5117" i="106"/>
  <c r="B5118" i="106"/>
  <c r="D5118" i="106"/>
  <c r="B5119" i="106"/>
  <c r="D5119" i="106"/>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s="1"/>
  <c r="B6353" i="106"/>
  <c r="D6353" i="106" s="1"/>
  <c r="B6354" i="106"/>
  <c r="D6354" i="106" s="1"/>
  <c r="B6355" i="106"/>
  <c r="D6355" i="106" s="1"/>
  <c r="B6356" i="106"/>
  <c r="D6356" i="106" s="1"/>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D27" i="108"/>
  <c r="E27" i="108"/>
  <c r="G27" i="108"/>
  <c r="F31" i="108"/>
  <c r="F36" i="108"/>
  <c r="F37" i="108"/>
  <c r="G28" i="108"/>
  <c r="E30" i="108"/>
  <c r="D31" i="108"/>
  <c r="D36"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J22" i="37"/>
  <c r="L22" i="37"/>
  <c r="D24" i="37"/>
  <c r="B4270" i="106" s="1"/>
  <c r="D4270" i="106" s="1"/>
  <c r="L5" i="11"/>
  <c r="B2056" i="106" s="1"/>
  <c r="D2056" i="106" s="1"/>
  <c r="D5" i="7"/>
  <c r="B1761" i="106" s="1"/>
  <c r="D1761" i="106" s="1"/>
  <c r="D13" i="7"/>
  <c r="B3726" i="106" s="1"/>
  <c r="D3726" i="106" s="1"/>
  <c r="D9" i="7"/>
  <c r="B1767" i="106" s="1"/>
  <c r="D1767" i="106" s="1"/>
  <c r="B5770" i="106"/>
  <c r="D5770" i="106" s="1"/>
  <c r="F131" i="34"/>
  <c r="F130" i="34"/>
  <c r="F127" i="34"/>
  <c r="B5847" i="106"/>
  <c r="D5847" i="106" s="1"/>
  <c r="B5752" i="106"/>
  <c r="D5752" i="106" s="1"/>
  <c r="B5599" i="106"/>
  <c r="D5599" i="106" s="1"/>
  <c r="H173" i="5"/>
  <c r="B5906" i="106" s="1"/>
  <c r="D5906" i="106" s="1"/>
  <c r="H109" i="5"/>
  <c r="B6025" i="106" s="1"/>
  <c r="D6025" i="106" s="1"/>
  <c r="F106" i="34"/>
  <c r="D7" i="7"/>
  <c r="B1763" i="106" s="1"/>
  <c r="D1763" i="106" s="1"/>
  <c r="H4" i="4"/>
  <c r="B2655" i="106" s="1"/>
  <c r="D2655" i="106" s="1"/>
  <c r="B1746" i="106"/>
  <c r="D1746" i="106" s="1"/>
  <c r="D17" i="7"/>
  <c r="B4104" i="106" s="1"/>
  <c r="D4104" i="106" s="1"/>
  <c r="D12" i="7"/>
  <c r="B1769" i="106" s="1"/>
  <c r="D1769" i="106" s="1"/>
  <c r="D11" i="7"/>
  <c r="B1768" i="106" s="1"/>
  <c r="D1768" i="106" s="1"/>
  <c r="D15" i="7"/>
  <c r="B1772" i="106" s="1"/>
  <c r="D1772" i="106" s="1"/>
  <c r="B3619" i="106" l="1"/>
  <c r="D3619" i="106" s="1"/>
  <c r="C352" i="29"/>
  <c r="B3170" i="106"/>
  <c r="D3170" i="106" s="1"/>
  <c r="H76" i="4"/>
  <c r="B3298" i="106" s="1"/>
  <c r="D3298" i="106" s="1"/>
  <c r="F21" i="8"/>
  <c r="B3689" i="106"/>
  <c r="D3689" i="106" s="1"/>
  <c r="H6" i="4"/>
  <c r="B2656" i="106" s="1"/>
  <c r="D2656" i="106" s="1"/>
  <c r="D109" i="5"/>
  <c r="B5356" i="106" s="1"/>
  <c r="D5356" i="106" s="1"/>
  <c r="C172" i="5"/>
  <c r="B5214" i="106" s="1"/>
  <c r="D5214" i="106" s="1"/>
  <c r="K274" i="5"/>
  <c r="F111" i="34"/>
  <c r="D22" i="37"/>
  <c r="K28" i="118"/>
  <c r="O27" i="118" s="1"/>
  <c r="O29" i="118" s="1"/>
  <c r="G14" i="4"/>
  <c r="B2609" i="106" s="1"/>
  <c r="D2609" i="106" s="1"/>
  <c r="I173" i="5"/>
  <c r="B4216" i="106" s="1"/>
  <c r="D4216" i="106" s="1"/>
  <c r="F172" i="5"/>
  <c r="B5644" i="106" s="1"/>
  <c r="D5644" i="106" s="1"/>
  <c r="G109" i="5"/>
  <c r="B6024" i="106" s="1"/>
  <c r="D6024" i="106" s="1"/>
  <c r="L342" i="29"/>
  <c r="F70" i="34"/>
  <c r="F36" i="34"/>
  <c r="F34" i="34"/>
  <c r="E38" i="108"/>
  <c r="D7245" i="106"/>
  <c r="B7242" i="106"/>
  <c r="D7242" i="106" s="1"/>
  <c r="J41" i="3"/>
  <c r="D11" i="37"/>
  <c r="B4268" i="106"/>
  <c r="D4268" i="106" s="1"/>
  <c r="B3565" i="106"/>
  <c r="D3565" i="106" s="1"/>
  <c r="K41" i="3"/>
  <c r="C129" i="29"/>
  <c r="B1223" i="106"/>
  <c r="D1223" i="106" s="1"/>
  <c r="D6103" i="106"/>
  <c r="K285" i="29"/>
  <c r="G15" i="145"/>
  <c r="L13" i="11"/>
  <c r="B2060" i="106" s="1"/>
  <c r="D2060" i="106" s="1"/>
  <c r="L15" i="11"/>
  <c r="B3459" i="106" s="1"/>
  <c r="D3459" i="106" s="1"/>
  <c r="K26" i="12"/>
  <c r="B7743" i="106" s="1"/>
  <c r="D7743" i="106" s="1"/>
  <c r="D69" i="36"/>
  <c r="F19" i="7"/>
  <c r="B1807" i="106" s="1"/>
  <c r="D1807" i="106" s="1"/>
  <c r="L312" i="29"/>
  <c r="K350" i="29"/>
  <c r="G352" i="29"/>
  <c r="C342" i="29"/>
  <c r="B7216" i="106" s="1"/>
  <c r="D7216" i="106" s="1"/>
  <c r="B1410" i="106"/>
  <c r="D1410" i="106" s="1"/>
  <c r="G4" i="4"/>
  <c r="B2603" i="106" s="1"/>
  <c r="D2603" i="106" s="1"/>
  <c r="E29" i="108"/>
  <c r="G29" i="108"/>
  <c r="K184" i="29"/>
  <c r="F13" i="4" s="1"/>
  <c r="B2596" i="106" s="1"/>
  <c r="D2596" i="106" s="1"/>
  <c r="B1329" i="106"/>
  <c r="D1329" i="106" s="1"/>
  <c r="F61" i="34"/>
  <c r="D4" i="4"/>
  <c r="B2564" i="106" s="1"/>
  <c r="D2564" i="106" s="1"/>
  <c r="E28" i="108"/>
  <c r="F28" i="108"/>
  <c r="G30" i="108"/>
  <c r="F136" i="34"/>
  <c r="C173" i="5"/>
  <c r="B5223" i="106" s="1"/>
  <c r="D5223" i="106" s="1"/>
  <c r="B5096" i="106"/>
  <c r="D5096" i="106" s="1"/>
  <c r="C109" i="5"/>
  <c r="B5121" i="106" s="1"/>
  <c r="D5121" i="106" s="1"/>
  <c r="D4" i="7"/>
  <c r="B1760" i="106" s="1"/>
  <c r="D1760" i="106" s="1"/>
  <c r="B5066" i="106"/>
  <c r="D5066" i="106"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F73" i="34" l="1"/>
  <c r="G15" i="4"/>
  <c r="B6032" i="106" s="1"/>
  <c r="D6032" i="106" s="1"/>
  <c r="B3568" i="106"/>
  <c r="D3568" i="106" s="1"/>
  <c r="D52" i="36"/>
  <c r="B1879" i="106"/>
  <c r="D1879" i="106" s="1"/>
  <c r="H22" i="37"/>
  <c r="F275" i="5"/>
  <c r="B3621" i="106"/>
  <c r="D3621" i="106" s="1"/>
  <c r="C367" i="29"/>
  <c r="B3622" i="106" s="1"/>
  <c r="D3622" i="106" s="1"/>
  <c r="H367" i="29"/>
  <c r="B3660" i="106" s="1"/>
  <c r="D3660" i="106" s="1"/>
  <c r="L16" i="11"/>
  <c r="B2061" i="106" s="1"/>
  <c r="D2061" i="106" s="1"/>
  <c r="L114" i="29"/>
  <c r="B3649" i="106"/>
  <c r="D3649" i="106" s="1"/>
  <c r="G367" i="29"/>
  <c r="B3650" i="106" s="1"/>
  <c r="D3650" i="106" s="1"/>
  <c r="B3670" i="106"/>
  <c r="D3670" i="106" s="1"/>
  <c r="K352" i="29"/>
  <c r="K342" i="29"/>
  <c r="F13" i="34" s="1"/>
  <c r="D19" i="7"/>
  <c r="B1775" i="106" s="1"/>
  <c r="D1775" i="106" s="1"/>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K13" i="4"/>
  <c r="B3572" i="106" s="1"/>
  <c r="D3572" i="106" s="1"/>
  <c r="B3672" i="106"/>
  <c r="D3672" i="106" s="1"/>
  <c r="K367" i="29"/>
  <c r="J17" i="4"/>
  <c r="B6227" i="106" s="1"/>
  <c r="D6227" i="106" s="1"/>
  <c r="F8" i="4"/>
  <c r="D8" i="14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J20" i="4" l="1"/>
  <c r="F10" i="4"/>
  <c r="B4125" i="106" s="1"/>
  <c r="D4125"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<sst xmlns="http://schemas.openxmlformats.org/spreadsheetml/2006/main" count="5059" uniqueCount="2129">
  <si>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</si>
  <si>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</si>
  <si>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</si>
  <si>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</si>
  <si>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</si>
  <si>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</si>
  <si>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</si>
  <si>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</si>
  <si>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</si>
  <si>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</si>
  <si>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</si>
  <si>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</si>
  <si>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</si>
  <si>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</si>
  <si>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</si>
  <si>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</si>
  <si>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</si>
  <si>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</si>
  <si>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</si>
  <si>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</si>
  <si>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</si>
  <si>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</si>
  <si>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</si>
  <si>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</si>
  <si>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</si>
  <si>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</si>
  <si>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</si>
  <si>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</si>
  <si>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</si>
  <si>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</si>
  <si>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</si>
  <si>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</si>
  <si>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</si>
  <si>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</si>
  <si>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</si>
  <si>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</si>
  <si>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</si>
  <si>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</si>
  <si>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</si>
  <si>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</si>
  <si>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</si>
  <si>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</si>
  <si>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</si>
  <si>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</si>
  <si>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</si>
  <si>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</si>
  <si>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</si>
  <si>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</si>
  <si>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</si>
  <si>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</si>
  <si>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</si>
  <si>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</si>
  <si>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</si>
  <si>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</si>
  <si>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</si>
  <si>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</si>
  <si>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</si>
  <si>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</si>
  <si>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</si>
  <si>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</si>
  <si>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</si>
  <si>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</si>
  <si>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</si>
  <si>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</si>
  <si>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</si>
  <si>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</si>
  <si>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</si>
  <si>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</si>
  <si>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</si>
  <si>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</si>
  <si>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</si>
  <si>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</si>
  <si>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</si>
  <si>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</si>
  <si>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</si>
  <si>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</si>
  <si>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</si>
  <si>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</si>
  <si>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</si>
  <si>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</si>
  <si>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</si>
  <si>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</si>
  <si>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</si>
  <si>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</si>
  <si>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</si>
  <si>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</si>
  <si>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</si>
  <si>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</si>
  <si>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</si>
  <si>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</si>
  <si>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</si>
  <si>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</si>
  <si>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</si>
  <si>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</si>
  <si>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</si>
  <si>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</si>
  <si>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</si>
  <si>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</si>
  <si>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</si>
  <si>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</si>
  <si>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</si>
  <si>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</si>
  <si>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</si>
  <si>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</si>
  <si>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</si>
  <si>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</si>
  <si>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</si>
  <si>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</si>
  <si>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</si>
  <si>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</si>
  <si>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</si>
  <si>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</si>
  <si>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</si>
  <si>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</si>
  <si>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</si>
  <si>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</si>
  <si>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</si>
  <si>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</si>
  <si>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</si>
  <si>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</si>
  <si>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</si>
  <si>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</si>
  <si>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</si>
  <si>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</si>
  <si>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</si>
  <si>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</si>
  <si>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</si>
  <si>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</si>
  <si>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</si>
  <si>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</si>
  <si>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</si>
  <si>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</si>
  <si>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</si>
  <si>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</si>
  <si>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</si>
  <si>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</si>
  <si>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</si>
  <si>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</si>
  <si>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</si>
  <si>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</si>
  <si>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</si>
  <si>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</si>
  <si>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</si>
  <si>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</si>
  <si>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</si>
  <si>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</si>
  <si>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</si>
  <si>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</si>
  <si>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</si>
  <si>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</si>
  <si>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</si>
  <si>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</si>
  <si>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</si>
  <si>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</si>
  <si>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</si>
  <si>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</si>
  <si>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</si>
  <si>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</si>
  <si>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</si>
  <si>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</si>
  <si>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</si>
  <si>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</si>
  <si>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</si>
  <si>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</si>
  <si>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</si>
  <si>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</si>
  <si>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</si>
  <si>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</si>
  <si>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</si>
  <si>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</si>
  <si>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</si>
  <si>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</si>
  <si>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</si>
  <si>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</si>
  <si>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</si>
  <si>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</si>
  <si>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</si>
  <si>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</si>
  <si>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</si>
  <si>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</si>
  <si>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</si>
  <si>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</si>
  <si>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</si>
  <si>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</si>
  <si>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</si>
  <si>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</si>
  <si>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</si>
  <si>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</si>
  <si>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</si>
  <si>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</si>
  <si>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</si>
  <si>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</si>
  <si>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</si>
  <si>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</si>
  <si>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</si>
  <si>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</si>
  <si>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</si>
  <si>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</si>
  <si>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</si>
  <si>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</si>
  <si>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</si>
  <si>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</si>
  <si>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</si>
  <si>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</si>
  <si>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</si>
  <si>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</si>
  <si>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</si>
  <si>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</si>
  <si>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</si>
  <si>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</si>
  <si>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</si>
  <si>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</si>
  <si>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</si>
  <si>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</si>
  <si>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</si>
  <si>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</si>
  <si>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</si>
  <si>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</si>
  <si>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</si>
  <si>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</si>
  <si>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</si>
  <si>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</si>
  <si>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</si>
  <si>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</si>
  <si>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</si>
  <si>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</si>
  <si>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</si>
  <si>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</si>
  <si>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</si>
  <si>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</si>
  <si>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</si>
  <si>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</si>
  <si>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</si>
  <si>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</si>
  <si>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</si>
  <si>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</si>
  <si>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</si>
  <si>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</si>
  <si>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</si>
  <si>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</si>
  <si>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</si>
  <si>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</si>
  <si>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</si>
  <si>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</si>
  <si>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</si>
  <si>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</si>
  <si>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</si>
  <si>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</si>
  <si>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</si>
  <si>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</si>
  <si>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</si>
  <si>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</si>
  <si>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</si>
  <si>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</si>
  <si>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</si>
  <si>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</si>
  <si>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</si>
  <si>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</si>
  <si>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</si>
  <si>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</si>
  <si>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</si>
  <si>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</si>
  <si>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</si>
  <si>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</si>
  <si>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</si>
  <si>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</si>
  <si>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</si>
  <si>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</si>
  <si>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</si>
  <si>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</si>
  <si>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</si>
  <si>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</si>
  <si>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</si>
  <si>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</si>
  <si>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</si>
  <si>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</si>
  <si>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</si>
  <si>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</si>
  <si>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</si>
  <si>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</si>
  <si>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</si>
  <si>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</si>
  <si>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</si>
  <si>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</si>
  <si>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</si>
  <si>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</si>
  <si>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</si>
  <si>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</si>
  <si>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</si>
  <si>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</si>
  <si>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</si>
  <si>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</si>
  <si>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</si>
  <si>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</si>
  <si>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</si>
  <si>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</si>
  <si>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</si>
  <si>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</si>
  <si>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</si>
  <si>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</si>
  <si>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</si>
  <si>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</si>
  <si>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</si>
  <si>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</si>
  <si>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</si>
  <si>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</si>
  <si>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</si>
  <si>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</si>
  <si>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</si>
  <si>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</si>
  <si>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</si>
  <si>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</si>
  <si>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</si>
  <si>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</si>
  <si>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</si>
  <si>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</si>
  <si>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</si>
  <si>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</si>
  <si>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</si>
  <si>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</si>
  <si>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</si>
  <si>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</si>
  <si>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</si>
  <si>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</si>
  <si>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</si>
  <si>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</si>
  <si>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</si>
  <si>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</si>
  <si>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</si>
  <si>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</si>
  <si>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</si>
  <si>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</si>
  <si>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</si>
  <si>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</si>
  <si>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</si>
  <si>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</si>
  <si>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</si>
  <si>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</si>
  <si>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</si>
  <si>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</si>
  <si>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</si>
  <si>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</si>
  <si>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</si>
  <si>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</si>
  <si>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</si>
  <si>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</si>
  <si>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</si>
  <si>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</si>
  <si>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</si>
  <si>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</si>
  <si>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</si>
  <si>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</si>
  <si>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</si>
  <si>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</si>
  <si>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</si>
  <si>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</si>
  <si>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</si>
  <si>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</si>
  <si>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</si>
  <si>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</si>
  <si>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</si>
  <si>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</si>
  <si>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</si>
  <si>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</si>
  <si>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</si>
  <si>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</si>
  <si>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</si>
  <si>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</si>
  <si>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</si>
  <si>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</si>
  <si>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</si>
  <si>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</si>
  <si>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</si>
  <si>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</si>
  <si>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</si>
  <si>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</si>
  <si>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</si>
  <si>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</si>
  <si>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</si>
  <si>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</si>
  <si>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</si>
  <si>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</si>
  <si>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</si>
  <si>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</si>
  <si>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</si>
  <si>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</si>
  <si>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</si>
  <si>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</si>
  <si>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</si>
  <si>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</si>
  <si>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</si>
  <si>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</si>
  <si>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</si>
  <si>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</si>
  <si>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</si>
  <si>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</si>
  <si>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</si>
  <si>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</si>
  <si>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</si>
  <si>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</si>
  <si>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</si>
  <si>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</si>
  <si>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</si>
  <si>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</si>
  <si>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</si>
  <si>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</si>
  <si>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</si>
  <si>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</si>
  <si>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</si>
  <si>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</si>
  <si>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</si>
  <si>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</si>
  <si>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</si>
  <si>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</si>
  <si>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</si>
  <si>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</si>
  <si>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</si>
  <si>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</si>
  <si>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</si>
  <si>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</si>
  <si>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</si>
  <si>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</si>
  <si>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</si>
  <si>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</si>
  <si>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</si>
  <si>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</si>
  <si>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</si>
  <si>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</si>
  <si>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</si>
  <si>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</si>
  <si>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</si>
  <si>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</si>
  <si>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</si>
  <si>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</si>
  <si>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</si>
  <si>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</si>
  <si>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</si>
  <si>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</si>
  <si>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</si>
  <si>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</si>
  <si>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</si>
  <si>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</si>
  <si>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</si>
  <si>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</si>
  <si>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</si>
  <si>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</si>
  <si>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</si>
  <si>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</si>
  <si>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</si>
  <si>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</si>
  <si>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</si>
  <si>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</si>
  <si>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</si>
  <si>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</si>
  <si>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</si>
  <si>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</si>
  <si>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</si>
  <si>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</si>
  <si>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</si>
  <si>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</si>
  <si>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</si>
  <si>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</si>
  <si>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</si>
  <si>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</si>
  <si>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</si>
  <si>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</si>
  <si>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</si>
  <si>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</si>
  <si>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</si>
  <si>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</si>
  <si>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</si>
  <si>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</si>
  <si>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</si>
  <si>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</si>
  <si>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</si>
  <si>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</si>
  <si>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</si>
  <si>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</si>
  <si>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</si>
  <si>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</si>
  <si>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</si>
  <si>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</si>
  <si>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</si>
  <si>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</si>
  <si>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</si>
  <si>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</si>
  <si>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</si>
  <si>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</si>
  <si>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</si>
  <si>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</si>
  <si>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</si>
  <si>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</si>
  <si>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</si>
  <si>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</si>
  <si>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</si>
  <si>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</si>
  <si>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</si>
  <si>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</si>
  <si>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</si>
  <si>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</si>
  <si>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</si>
  <si>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</si>
  <si>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</si>
  <si>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</si>
  <si>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</si>
  <si>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</si>
  <si>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</si>
  <si>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</si>
  <si>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</si>
  <si>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</si>
  <si>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</si>
  <si>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</si>
  <si>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</si>
  <si>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</si>
  <si>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</si>
  <si>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</si>
  <si>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</si>
  <si>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</si>
  <si>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</si>
  <si>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</si>
  <si>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</si>
  <si>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</si>
  <si>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</si>
  <si>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</si>
  <si>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</si>
  <si>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</si>
  <si>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</si>
  <si>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</si>
  <si>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</si>
  <si>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</si>
  <si>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</si>
  <si>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</si>
  <si>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</si>
  <si>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</si>
  <si>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</si>
  <si>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</si>
  <si>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</si>
  <si>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</si>
  <si>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</si>
  <si>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</si>
  <si>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</si>
  <si>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</si>
  <si>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</si>
  <si>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</si>
  <si>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</si>
  <si>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</si>
  <si>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</si>
  <si>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</si>
  <si>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</si>
  <si>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</si>
  <si>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</si>
  <si>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</si>
  <si>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</si>
  <si>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</si>
  <si>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</si>
  <si>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</si>
  <si>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</si>
  <si>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</si>
  <si>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</si>
  <si>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</si>
  <si>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</si>
  <si>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</si>
  <si>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</si>
  <si>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</si>
  <si>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</si>
  <si>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</si>
  <si>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</si>
  <si>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</si>
  <si>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</si>
  <si>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</si>
  <si>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</si>
  <si>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</si>
  <si>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</si>
  <si>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</si>
  <si>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</si>
  <si>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</si>
  <si>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</si>
  <si>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</si>
  <si>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</si>
  <si>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</si>
  <si>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</si>
  <si>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</si>
  <si>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</si>
  <si>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</si>
  <si>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</si>
  <si>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</si>
  <si>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</si>
  <si>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</si>
  <si>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</si>
  <si>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</si>
  <si>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</si>
  <si>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</si>
  <si>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</si>
  <si>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</si>
  <si>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</si>
  <si>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</si>
  <si>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</si>
  <si>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</si>
  <si>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</si>
  <si>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</si>
  <si>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</si>
  <si>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</si>
  <si>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</si>
  <si>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</si>
  <si>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</si>
  <si>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</si>
  <si>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</si>
  <si>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</si>
  <si>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</si>
  <si>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</si>
  <si>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</si>
  <si>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</si>
  <si>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</si>
  <si>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</si>
  <si>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</si>
  <si>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</si>
  <si>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</si>
  <si>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</si>
  <si>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</si>
  <si>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</si>
  <si>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</si>
  <si>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</si>
  <si>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</si>
  <si>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</si>
  <si>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</si>
  <si>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</si>
  <si>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</si>
  <si>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</si>
  <si>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</si>
  <si>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</si>
  <si>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</si>
  <si>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</si>
  <si>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</si>
  <si>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</si>
  <si>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</si>
  <si>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</si>
  <si>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</si>
  <si>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</si>
  <si>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</si>
  <si>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</si>
  <si>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</si>
  <si>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</si>
  <si>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</si>
  <si>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</si>
  <si>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</si>
  <si>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</si>
  <si>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</si>
  <si>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</si>
  <si>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</si>
  <si>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</si>
  <si>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</si>
  <si>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</si>
  <si>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</si>
  <si>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</si>
  <si>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</si>
  <si>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</si>
  <si>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</si>
  <si>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</si>
  <si>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</si>
  <si>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</si>
  <si>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</si>
  <si>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</si>
  <si>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</si>
  <si>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</si>
  <si>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</si>
  <si>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</si>
  <si>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</si>
  <si>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</si>
  <si>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</si>
  <si>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</si>
  <si>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</si>
  <si>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</si>
  <si>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</si>
  <si>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</si>
  <si>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</si>
  <si>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</si>
  <si>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</si>
  <si>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</si>
  <si>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</si>
  <si>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</si>
  <si>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</si>
  <si>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</si>
  <si>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</si>
  <si>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</si>
  <si>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</si>
  <si>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</si>
  <si>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</si>
  <si>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</si>
  <si>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</si>
  <si>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</si>
  <si>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</si>
  <si>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</si>
  <si>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</si>
  <si>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</si>
  <si>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</si>
  <si>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</si>
  <si>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</si>
  <si>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</si>
  <si>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</si>
  <si>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</si>
  <si>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</si>
  <si>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</si>
  <si>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</si>
  <si>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</si>
  <si>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</si>
  <si>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</si>
  <si>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</si>
  <si>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</si>
  <si>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</si>
  <si>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</si>
  <si>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</si>
  <si>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</si>
  <si>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</si>
  <si>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</si>
  <si>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</si>
  <si>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</si>
  <si>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</si>
  <si>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</si>
  <si>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</si>
  <si>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</si>
  <si>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</si>
  <si>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</si>
  <si>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</si>
  <si>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</si>
  <si>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</si>
  <si>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</si>
  <si>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</si>
  <si>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</si>
  <si>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</si>
  <si>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</si>
  <si>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</si>
  <si>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</si>
  <si>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</si>
  <si>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</si>
  <si>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</si>
  <si>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</si>
  <si>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</si>
  <si>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</si>
  <si>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</si>
  <si>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</si>
  <si>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</si>
  <si>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</si>
  <si>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</si>
  <si>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</si>
  <si>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</si>
  <si>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</si>
  <si>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</si>
  <si>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</si>
  <si>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</si>
  <si>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</si>
  <si>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</si>
  <si>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</si>
  <si>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</si>
  <si>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</si>
  <si>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</si>
  <si>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</si>
  <si>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</si>
  <si>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</si>
  <si>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</si>
  <si>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</si>
  <si>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</si>
  <si>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</si>
  <si>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</si>
  <si>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</si>
  <si>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</si>
  <si>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</si>
  <si>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</si>
  <si>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</si>
  <si>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</si>
  <si>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</si>
  <si>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</si>
  <si>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</si>
  <si>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</si>
  <si>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</si>
  <si>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</si>
  <si>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</si>
  <si>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</si>
  <si>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</si>
  <si>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</si>
  <si>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</si>
  <si>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</si>
  <si>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</si>
  <si>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</si>
  <si>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</si>
  <si>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</si>
  <si>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</si>
  <si>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</si>
  <si>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</si>
  <si>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</si>
  <si>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</si>
  <si>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</si>
  <si>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</si>
  <si>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</si>
  <si>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</si>
  <si>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</si>
  <si>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</si>
  <si>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</si>
  <si>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</si>
  <si>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</si>
  <si>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</si>
  <si>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</si>
  <si>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</si>
  <si>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</si>
  <si>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</si>
  <si>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</si>
  <si>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</si>
  <si>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</si>
  <si>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</si>
  <si>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</si>
  <si>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</si>
  <si>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</si>
  <si>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</si>
  <si>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</si>
  <si>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</si>
  <si>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</si>
  <si>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</si>
  <si>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</si>
  <si>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</si>
  <si>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</si>
  <si>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</si>
  <si>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</si>
  <si>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</si>
  <si>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</si>
  <si>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</si>
  <si>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</si>
  <si>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</si>
  <si>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</si>
  <si>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</si>
  <si>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</si>
  <si>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</si>
  <si>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</si>
  <si>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</si>
  <si>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</si>
  <si>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</si>
  <si>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</si>
  <si>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</si>
  <si>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</si>
  <si>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</si>
  <si>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</si>
  <si>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</si>
  <si>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</si>
  <si>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</si>
  <si>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</si>
  <si>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</si>
  <si>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</si>
  <si>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</si>
  <si>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</si>
  <si>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</si>
  <si>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</si>
  <si>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</si>
  <si>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</si>
  <si>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</si>
  <si>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</si>
  <si>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</si>
  <si>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</si>
  <si>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</si>
  <si>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</si>
  <si>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</si>
  <si>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</si>
  <si>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</si>
  <si>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</si>
  <si>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</si>
  <si>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</si>
  <si>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</si>
  <si>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</si>
  <si>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</si>
  <si>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</si>
  <si>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</si>
  <si>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</si>
  <si>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</si>
  <si>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</si>
  <si>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</si>
  <si>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</si>
  <si>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</si>
  <si>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</si>
  <si>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</si>
  <si>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</si>
  <si>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</si>
  <si>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</si>
  <si>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</si>
  <si>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</si>
  <si>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</si>
  <si>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</si>
  <si>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</si>
  <si>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</si>
  <si>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</si>
  <si>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</si>
  <si>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</si>
  <si>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</si>
  <si>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</si>
  <si>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</si>
  <si>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</si>
  <si>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</si>
  <si>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</si>
  <si>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</si>
  <si>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</si>
  <si>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</si>
  <si>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</si>
  <si>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</si>
  <si>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</si>
  <si>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</si>
  <si>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</si>
  <si>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</si>
  <si>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</si>
  <si>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</si>
  <si>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</si>
  <si>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</si>
  <si>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</si>
  <si>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</si>
  <si>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</si>
  <si>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</si>
  <si>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</si>
  <si>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</si>
  <si>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</si>
  <si>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</si>
  <si>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</si>
  <si>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</si>
  <si>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</si>
  <si>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</si>
  <si>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</si>
  <si>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</si>
  <si>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</si>
  <si>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</si>
  <si>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</si>
  <si>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</si>
  <si>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</si>
  <si>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</si>
  <si>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</si>
  <si>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</si>
  <si>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</si>
  <si>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</si>
  <si>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</si>
  <si>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</si>
  <si>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</si>
  <si>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</si>
  <si>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</si>
  <si>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</si>
  <si>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</si>
  <si>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</si>
  <si>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</si>
  <si>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</si>
  <si>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</si>
  <si>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</si>
  <si>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</si>
  <si>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</si>
  <si>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</si>
  <si>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</si>
  <si>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</si>
  <si>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</si>
  <si>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</si>
  <si>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</si>
  <si>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</si>
  <si>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</si>
  <si>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</si>
  <si>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</si>
  <si>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</si>
  <si>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</si>
  <si>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</si>
  <si>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</si>
  <si>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</si>
  <si>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</si>
  <si>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</si>
  <si>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</si>
  <si>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</si>
  <si>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</si>
  <si>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</si>
  <si>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</si>
  <si>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</si>
  <si>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</si>
  <si>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</si>
  <si>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</si>
  <si>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</si>
  <si>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</si>
  <si>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</si>
  <si>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</si>
  <si>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</si>
  <si>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</si>
  <si>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</si>
  <si>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</si>
  <si>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</si>
  <si>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</si>
  <si>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</si>
  <si>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</si>
  <si>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</si>
  <si>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</si>
  <si>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</si>
  <si>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</si>
  <si>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</si>
  <si>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</si>
  <si>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</si>
  <si>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</si>
  <si>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</si>
  <si>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</si>
  <si>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</si>
  <si>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</si>
  <si>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</si>
  <si>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</si>
  <si>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</si>
  <si>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</si>
  <si>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</si>
  <si>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</si>
  <si>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</si>
  <si>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</si>
  <si>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</si>
  <si>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</si>
  <si>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</si>
  <si>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</si>
  <si>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</si>
  <si>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</si>
  <si>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</si>
  <si>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</si>
  <si>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</si>
  <si>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</si>
  <si>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</si>
  <si>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</si>
  <si>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</si>
  <si>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</si>
  <si>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</si>
  <si>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</si>
  <si>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</si>
  <si>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</si>
  <si>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</si>
  <si>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</si>
  <si>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</si>
  <si>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</si>
  <si>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</si>
  <si>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</si>
  <si>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</si>
  <si>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</si>
  <si>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</si>
  <si>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</si>
  <si>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</si>
  <si>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</si>
  <si>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</si>
  <si>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</si>
  <si>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</si>
  <si>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</si>
  <si>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</si>
  <si>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</si>
  <si>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</si>
  <si>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</si>
  <si>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</si>
  <si>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</si>
  <si>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</si>
  <si>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</si>
  <si>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</si>
  <si>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</si>
  <si>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</si>
  <si>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</si>
  <si>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</si>
  <si>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</si>
  <si>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</si>
  <si>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</si>
  <si>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</si>
  <si>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</si>
  <si>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</si>
  <si>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</si>
  <si>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</si>
  <si>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</si>
  <si>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</si>
  <si>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</si>
  <si>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</si>
  <si>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</si>
  <si>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</si>
  <si>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</si>
  <si>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</si>
  <si>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</si>
  <si>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</si>
  <si>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</si>
  <si>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</si>
  <si>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</si>
  <si>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</si>
  <si>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</si>
  <si>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</si>
  <si>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</si>
  <si>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</si>
  <si>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</si>
  <si>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</si>
  <si>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</si>
  <si>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</si>
  <si>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</si>
  <si>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</si>
  <si>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</si>
  <si>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</si>
  <si>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</si>
  <si>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</si>
  <si>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</si>
  <si>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</si>
  <si>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</si>
  <si>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</si>
  <si>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</si>
  <si>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</si>
  <si>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</si>
  <si>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</si>
  <si>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</si>
  <si>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</si>
  <si>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</si>
  <si>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</si>
  <si>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</si>
  <si>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</si>
  <si>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</si>
  <si>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</si>
  <si>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</si>
  <si>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</si>
  <si>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</si>
  <si>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</si>
  <si>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</si>
  <si>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</si>
  <si>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</si>
  <si>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</si>
  <si>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</si>
  <si>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</si>
  <si>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</si>
  <si>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</si>
  <si>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</si>
  <si>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</si>
  <si>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</si>
  <si>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</si>
  <si>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</si>
  <si>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</si>
  <si>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</si>
  <si>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</si>
  <si>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</si>
  <si>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</si>
  <si>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</si>
  <si>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</si>
  <si>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</si>
  <si>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</si>
  <si>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</si>
  <si>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</si>
  <si>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</si>
  <si>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</si>
  <si>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</si>
  <si>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</si>
  <si>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</si>
  <si>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</si>
  <si>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</si>
  <si>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</si>
  <si>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</si>
  <si>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</si>
  <si>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</si>
  <si>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</si>
  <si>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</si>
  <si>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</si>
  <si>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</si>
  <si>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</si>
  <si>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</si>
  <si>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</si>
  <si>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</si>
  <si>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</si>
  <si>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</si>
  <si>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</si>
  <si>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</si>
  <si>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</si>
  <si>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</si>
  <si>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</si>
  <si>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</si>
  <si>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</si>
  <si>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</si>
  <si>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</si>
  <si>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</si>
  <si>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</si>
  <si>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</si>
  <si>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</si>
  <si>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</si>
  <si>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</si>
  <si>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</si>
  <si>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</si>
  <si>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</si>
  <si>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</si>
  <si>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</si>
  <si>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</si>
  <si>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</si>
  <si>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</si>
  <si>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</si>
  <si>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</si>
  <si>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</si>
  <si>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</si>
  <si>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</si>
  <si>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</si>
  <si>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</si>
  <si>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</si>
  <si>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</si>
  <si>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</si>
  <si>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</si>
  <si>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</si>
  <si>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</si>
  <si>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</si>
  <si>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</si>
  <si>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</si>
  <si>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</si>
  <si>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</si>
  <si>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</si>
  <si>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</si>
  <si>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</si>
  <si>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</si>
  <si>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</si>
  <si>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</si>
  <si>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</si>
  <si>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</si>
  <si>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</si>
  <si>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</si>
  <si>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</si>
  <si>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</si>
  <si>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</si>
  <si>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</si>
  <si>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</si>
  <si>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</si>
  <si>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</si>
  <si>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</si>
  <si>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</si>
  <si>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</si>
  <si>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</si>
  <si>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</si>
  <si>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</si>
  <si>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</si>
  <si>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</si>
  <si>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</si>
  <si>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</si>
  <si>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</si>
  <si>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</si>
  <si>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</si>
  <si>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</si>
  <si>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</si>
  <si>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</si>
  <si>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</si>
  <si>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</si>
  <si>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</si>
  <si>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</si>
  <si>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</si>
  <si>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</si>
  <si>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</si>
  <si>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</si>
  <si>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</si>
  <si>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</si>
  <si>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</si>
  <si>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</si>
  <si>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</si>
  <si>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</si>
  <si>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</si>
  <si>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</si>
  <si>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</si>
  <si>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</si>
  <si>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</si>
  <si>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</si>
  <si>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</si>
  <si>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</si>
  <si>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</si>
  <si>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</si>
  <si>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</si>
  <si>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</si>
  <si>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</si>
  <si>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</si>
  <si>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</si>
  <si>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</si>
  <si>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</si>
  <si>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</si>
  <si>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</si>
  <si>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</si>
  <si>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</si>
  <si>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</si>
  <si>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</si>
  <si>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</si>
  <si>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</si>
  <si>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</si>
  <si>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</si>
  <si>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</si>
  <si>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</si>
  <si>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</si>
  <si>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</si>
  <si>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</si>
  <si>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</si>
  <si>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</si>
  <si>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</si>
  <si>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</si>
  <si>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</si>
  <si>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</si>
  <si>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</si>
  <si>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</si>
  <si>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</si>
  <si>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</si>
  <si>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</si>
  <si>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</si>
  <si>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</si>
  <si>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</si>
  <si>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</si>
  <si>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</si>
  <si>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</si>
  <si>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</si>
  <si>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</si>
  <si>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</si>
  <si>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</si>
  <si>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</si>
  <si>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</si>
  <si>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</si>
  <si>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</si>
  <si>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</si>
  <si>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</si>
  <si>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</si>
  <si>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</si>
  <si>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</si>
  <si>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</si>
  <si>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</si>
  <si>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</si>
  <si>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</si>
  <si>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</si>
  <si>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</si>
  <si>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</si>
  <si>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</si>
  <si>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</si>
  <si>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</si>
  <si>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</si>
  <si>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</si>
  <si>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</si>
  <si>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</si>
  <si>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</si>
  <si>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</si>
  <si>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</si>
  <si>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</si>
  <si>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</si>
  <si>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</si>
  <si>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</si>
  <si>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</si>
  <si>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</si>
  <si>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</si>
  <si>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</si>
  <si>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</si>
  <si>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</si>
  <si>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</si>
  <si>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</si>
  <si>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</si>
  <si>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</si>
  <si>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</si>
  <si>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</si>
  <si>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</si>
  <si>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</si>
  <si>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</si>
  <si>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</si>
  <si>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</si>
  <si>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</si>
  <si>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</si>
  <si>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</si>
  <si>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</si>
  <si>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</si>
  <si>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</si>
  <si>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</si>
  <si>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</si>
  <si>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</si>
  <si>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</si>
  <si>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</si>
  <si>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</si>
  <si>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</si>
  <si>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</si>
  <si>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</si>
  <si>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</si>
  <si>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</si>
  <si>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</si>
  <si>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</si>
  <si>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</si>
  <si>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</si>
  <si>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</si>
  <si>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</si>
  <si>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</si>
  <si>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</si>
  <si>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</si>
  <si>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</si>
  <si>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</si>
  <si>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</si>
  <si>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</si>
  <si>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</si>
  <si>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</si>
  <si>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</si>
  <si>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</si>
  <si>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</si>
  <si>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</si>
  <si>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</si>
  <si>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</si>
  <si>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</si>
  <si>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</si>
  <si>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</si>
  <si>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</si>
  <si>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</si>
  <si>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</si>
  <si>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</si>
  <si>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</si>
  <si>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</si>
  <si>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</si>
  <si>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</si>
  <si>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</si>
  <si>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</si>
  <si>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</si>
  <si>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</si>
  <si>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</si>
  <si>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</si>
  <si>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</si>
  <si>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</si>
  <si>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</si>
  <si>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</si>
  <si>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</si>
  <si>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</si>
  <si>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</si>
  <si>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</si>
  <si>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</si>
  <si>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</si>
  <si>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</si>
  <si>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</si>
  <si>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</si>
  <si>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</si>
  <si>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</si>
  <si>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</si>
  <si>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</si>
  <si>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</si>
  <si>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</si>
  <si>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</si>
  <si>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</si>
  <si>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</si>
  <si>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</si>
  <si>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</si>
  <si>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</si>
  <si>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</si>
  <si>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</si>
  <si>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</si>
  <si>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</si>
  <si>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</si>
  <si>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</si>
  <si>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</si>
  <si>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</si>
  <si>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</si>
  <si>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</si>
  <si>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</si>
  <si>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</si>
  <si>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</si>
  <si>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</si>
  <si>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</si>
  <si>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</si>
  <si>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</si>
  <si>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</si>
  <si>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</si>
  <si>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</si>
  <si>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</si>
  <si>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</si>
  <si>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</si>
  <si>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</si>
  <si>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</si>
  <si>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</si>
  <si>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</si>
  <si>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</si>
  <si>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</si>
  <si>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</si>
  <si>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</si>
  <si>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</si>
  <si>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</si>
  <si>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</si>
  <si>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</si>
  <si>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</si>
  <si>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</si>
  <si>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</si>
  <si>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</si>
  <si>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</si>
  <si>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</si>
  <si>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</si>
  <si>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</si>
  <si>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</si>
  <si>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</si>
  <si>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</si>
  <si>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</si>
  <si>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</si>
  <si>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</si>
  <si>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</si>
  <si>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</si>
  <si>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</si>
  <si>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</si>
  <si>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</si>
  <si>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</si>
  <si>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</si>
  <si>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</si>
  <si>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</si>
  <si>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</si>
  <si>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</si>
  <si>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</si>
  <si>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</si>
  <si>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</si>
  <si>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</si>
  <si>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</si>
  <si>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</si>
  <si>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</si>
  <si>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</si>
  <si>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</si>
  <si>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</si>
  <si>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</si>
  <si>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</si>
  <si>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</si>
  <si>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</si>
  <si>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</si>
  <si>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</si>
  <si>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</si>
  <si>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</si>
  <si>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</si>
  <si>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</si>
  <si>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</si>
  <si>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</si>
  <si>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</si>
  <si>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</si>
  <si>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</si>
  <si>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</si>
  <si>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</si>
  <si>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</si>
  <si>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</si>
  <si>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</si>
  <si>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</si>
  <si>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</si>
  <si>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</si>
  <si>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</si>
  <si>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</si>
  <si>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</si>
  <si>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</si>
  <si>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</si>
  <si>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</si>
  <si>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</si>
  <si>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</si>
  <si>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</si>
  <si>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</si>
  <si>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</si>
  <si>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</si>
  <si>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</si>
  <si>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</si>
  <si>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</si>
  <si>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</si>
  <si>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</si>
  <si>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</si>
  <si>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</si>
  <si>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</si>
  <si>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</si>
  <si>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</si>
  <si>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</si>
  <si>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</si>
  <si>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</si>
  <si>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</si>
  <si>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</si>
  <si>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</si>
  <si>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</si>
  <si>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</si>
  <si>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</si>
  <si>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</si>
  <si>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</si>
  <si>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</si>
  <si>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</si>
  <si>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</si>
  <si>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</si>
  <si>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</si>
  <si>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</si>
  <si>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</si>
  <si>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</si>
  <si>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</si>
  <si>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</si>
  <si>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</si>
  <si>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</si>
  <si>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</si>
  <si>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</si>
  <si>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</si>
  <si>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</si>
  <si>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</si>
  <si>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</si>
  <si>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</si>
  <si>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</si>
  <si>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</si>
  <si>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</si>
  <si>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</si>
  <si>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</si>
  <si>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</si>
  <si>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</si>
  <si>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</si>
  <si>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</si>
  <si>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</si>
  <si>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</si>
  <si>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</si>
  <si>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</si>
  <si>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</si>
  <si>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</si>
  <si>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</si>
  <si>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</si>
  <si>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</si>
  <si>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</si>
  <si>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</si>
  <si>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</si>
  <si>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</si>
  <si>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</si>
  <si>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</si>
  <si>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</si>
  <si>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</si>
  <si>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</si>
  <si>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</si>
  <si>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</si>
  <si>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</si>
  <si>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</si>
  <si>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</si>
  <si>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</si>
  <si>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</si>
  <si>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</si>
  <si>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</si>
  <si>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</si>
  <si>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</si>
  <si>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</si>
  <si>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</si>
  <si>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</si>
  <si>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</si>
  <si>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</si>
  <si>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</si>
  <si>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</si>
  <si>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</si>
  <si>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</si>
  <si>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</si>
  <si>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</si>
  <si>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</si>
  <si>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</si>
  <si>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</si>
  <si>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</si>
  <si>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</si>
  <si>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</si>
  <si>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</si>
  <si>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</si>
  <si>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</si>
  <si>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</si>
  <si>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</si>
  <si>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</si>
  <si>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</si>
  <si>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</si>
  <si>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</si>
  <si>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</si>
  <si>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</si>
  <si>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</si>
  <si>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</si>
  <si>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</si>
  <si>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</si>
  <si>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</si>
  <si>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</si>
  <si>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</si>
  <si>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</si>
  <si>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</si>
  <si>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</si>
  <si>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</si>
  <si>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</si>
  <si>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</si>
  <si>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</si>
  <si>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</si>
  <si>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</si>
  <si>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</si>
  <si>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</si>
  <si>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</si>
  <si>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</si>
  <si>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</si>
  <si>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</si>
  <si>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</si>
  <si>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</si>
  <si>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</si>
  <si>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</si>
  <si>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</si>
  <si>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</si>
  <si>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</si>
  <si>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</si>
  <si>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</si>
  <si>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</si>
  <si>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</si>
  <si>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</si>
  <si>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</si>
  <si>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</si>
  <si>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</si>
  <si>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</si>
  <si>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</si>
  <si>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</si>
  <si>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</si>
  <si>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</si>
  <si>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</si>
  <si>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</si>
  <si>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</si>
  <si>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</si>
  <si>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</si>
  <si>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</si>
  <si>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</si>
  <si>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</si>
  <si>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</si>
  <si>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</si>
  <si>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</si>
  <si>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</si>
  <si>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</si>
  <si>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</si>
  <si>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</si>
  <si>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</si>
  <si>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</si>
  <si>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</si>
  <si>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</si>
  <si>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</si>
  <si>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</si>
  <si>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</si>
  <si>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</si>
  <si>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</si>
  <si>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</si>
  <si>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</si>
  <si>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</si>
  <si>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</si>
  <si>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</si>
  <si>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</si>
  <si>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</si>
  <si>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</si>
  <si>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</si>
  <si>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</si>
  <si>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</si>
  <si>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</si>
  <si>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</si>
  <si>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</si>
  <si>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</si>
  <si>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</si>
  <si>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</si>
  <si>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</si>
  <si>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</si>
  <si>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</si>
  <si>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</si>
  <si>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</si>
  <si>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</si>
  <si>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</si>
  <si>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</si>
  <si>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</si>
  <si>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</si>
  <si>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</si>
  <si>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</si>
  <si>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</si>
  <si>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</si>
  <si>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</si>
  <si>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</si>
  <si>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</si>
  <si>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</si>
  <si>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</si>
  <si>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</si>
  <si>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</si>
  <si>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</si>
  <si>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</si>
  <si>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</si>
  <si>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</si>
  <si>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</si>
  <si>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</si>
  <si>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</si>
  <si>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</si>
  <si>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</si>
  <si>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</si>
  <si>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</si>
  <si>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</si>
  <si>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</si>
  <si>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</si>
  <si>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</si>
  <si>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</si>
  <si>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</si>
  <si>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</si>
  <si>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</si>
  <si>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</si>
  <si>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</si>
  <si>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</si>
  <si>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</si>
  <si>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</si>
  <si>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</si>
  <si>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</si>
  <si>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</si>
  <si>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</si>
  <si>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</si>
  <si>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</si>
  <si>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</si>
  <si>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</si>
  <si>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</si>
  <si>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</si>
  <si>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</si>
  <si>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</si>
  <si>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</si>
  <si>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</si>
  <si>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</si>
  <si>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</si>
  <si>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</si>
  <si>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</si>
  <si>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</si>
  <si>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</si>
  <si>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</si>
  <si>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</si>
  <si>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</si>
  <si>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</si>
  <si>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</si>
  <si>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</si>
  <si>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</si>
  <si>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</si>
  <si>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</si>
  <si>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</si>
  <si>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</si>
  <si>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</si>
  <si>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</si>
  <si>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</si>
  <si>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</si>
  <si>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</si>
  <si>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</si>
  <si>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</si>
  <si>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</si>
  <si>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</si>
  <si>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</si>
  <si>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</si>
  <si>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</si>
  <si>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</si>
  <si>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</si>
  <si>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</si>
  <si>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</si>
  <si>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</si>
  <si>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</si>
  <si>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</si>
  <si>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</si>
  <si>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</si>
  <si>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</si>
  <si>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</si>
  <si>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</si>
  <si>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</si>
  <si>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</si>
  <si>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</si>
  <si>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</si>
  <si>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</si>
  <si>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</si>
  <si>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</si>
  <si>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</si>
  <si>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</si>
  <si>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</si>
  <si>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</si>
  <si>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</si>
  <si>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</si>
  <si>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</si>
  <si>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</si>
  <si>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</si>
  <si>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</si>
  <si>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</si>
  <si>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</si>
  <si>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</si>
  <si>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</si>
  <si>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</si>
  <si>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</si>
  <si>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</si>
  <si>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</si>
  <si>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</si>
  <si>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</si>
  <si>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</si>
  <si>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</si>
  <si>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</si>
  <si>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</si>
  <si>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</si>
  <si>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</si>
  <si>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</si>
  <si>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</si>
  <si>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</si>
  <si>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</si>
  <si>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</si>
  <si>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</si>
  <si>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</si>
  <si>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</si>
  <si>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</si>
  <si>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</si>
  <si>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</si>
  <si>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</si>
  <si>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</si>
  <si>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</si>
  <si>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</si>
  <si>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</si>
  <si>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</si>
  <si>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</si>
  <si>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</si>
  <si>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</si>
  <si>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</si>
  <si>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</si>
  <si>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</si>
  <si>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</si>
  <si>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</si>
  <si>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</si>
  <si>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</si>
  <si>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</si>
  <si>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</si>
  <si>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</si>
  <si>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</si>
  <si>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</si>
  <si>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</si>
  <si>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</si>
  <si>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</si>
  <si>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</si>
  <si>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</si>
  <si>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</si>
  <si>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</si>
  <si>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</si>
  <si>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</si>
  <si>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</si>
  <si>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</si>
  <si>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</si>
  <si>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</si>
  <si>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</si>
  <si>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</si>
  <si>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</si>
  <si>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</si>
  <si>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</si>
  <si>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</si>
  <si>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</si>
  <si>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</si>
  <si>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</si>
  <si>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</si>
  <si>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</si>
  <si>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</si>
  <si>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</si>
  <si>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</si>
  <si>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</si>
  <si>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</si>
  <si>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</si>
  <si>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</si>
  <si>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</si>
  <si>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</si>
  <si>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</si>
  <si>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</si>
  <si>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</si>
  <si>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</si>
  <si>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</si>
  <si>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</si>
  <si>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</si>
  <si>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</si>
  <si>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</si>
  <si>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</si>
  <si>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</si>
  <si>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</si>
  <si>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</si>
  <si>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</si>
  <si>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</si>
  <si>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</si>
  <si>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</si>
  <si>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</si>
  <si>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</si>
  <si>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</si>
  <si>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</si>
  <si>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</si>
  <si>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</si>
  <si>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</si>
  <si>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</si>
  <si>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</si>
  <si>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</si>
  <si>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</si>
  <si>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</si>
  <si>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</si>
  <si>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</si>
  <si>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</si>
  <si>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</si>
  <si>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</si>
  <si>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</si>
  <si>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</si>
  <si>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</si>
  <si>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</si>
  <si>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</si>
  <si>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</si>
  <si>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</si>
  <si>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</si>
  <si>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</si>
  <si>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</si>
  <si>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</si>
  <si>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</si>
  <si>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</si>
  <si>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</si>
  <si>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</si>
  <si>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</si>
  <si>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</si>
  <si>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</si>
  <si>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</si>
  <si>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</si>
  <si>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</si>
  <si>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</si>
  <si>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</si>
  <si>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</si>
  <si>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</si>
  <si>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</si>
  <si>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</si>
  <si>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</si>
  <si>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</si>
  <si>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</si>
  <si>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</si>
  <si>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</si>
  <si>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</si>
  <si>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</si>
  <si>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</si>
  <si>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</si>
  <si>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</si>
  <si>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</si>
  <si>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</si>
  <si>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</si>
  <si>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</si>
  <si>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</si>
  <si>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</si>
  <si>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</si>
  <si>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</si>
  <si>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</si>
  <si>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</si>
  <si>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</si>
  <si>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</si>
  <si>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</si>
  <si>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</si>
  <si>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</si>
  <si>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</si>
  <si>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</si>
  <si>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</si>
  <si>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</si>
  <si>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</si>
  <si>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</si>
  <si>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</si>
  <si>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</si>
  <si>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</si>
  <si>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</si>
  <si>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</si>
  <si>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</si>
  <si>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</si>
  <si>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</si>
  <si>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</si>
  <si>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</si>
  <si>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</si>
  <si>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</si>
  <si>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</si>
  <si>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</si>
  <si>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</si>
  <si>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</si>
  <si>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</si>
  <si>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</si>
  <si>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</si>
  <si>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</si>
  <si>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</si>
  <si>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</si>
  <si>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</si>
  <si>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</si>
  <si>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</si>
  <si>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</si>
  <si>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</si>
  <si>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</si>
  <si>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</si>
  <si>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</si>
  <si>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</si>
  <si>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</si>
  <si>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</si>
  <si>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</si>
  <si>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</si>
  <si>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</si>
  <si>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</si>
  <si>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</si>
  <si>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</si>
  <si>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</si>
  <si>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</si>
  <si>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</si>
  <si>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</si>
  <si>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</si>
  <si>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</si>
  <si>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</si>
  <si>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</si>
  <si>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</si>
  <si>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</si>
  <si>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</si>
  <si>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</si>
  <si>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</si>
  <si>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</si>
  <si>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</si>
  <si>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</si>
  <si>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</si>
  <si>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</si>
  <si>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</si>
  <si>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</si>
  <si>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</si>
  <si>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</si>
  <si>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</si>
  <si>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</si>
  <si>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</si>
  <si>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</si>
  <si>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</si>
  <si>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</si>
  <si>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</si>
  <si>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</si>
  <si>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</si>
  <si>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</si>
  <si>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</si>
  <si>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</si>
  <si>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</si>
  <si>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</si>
  <si>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IROQUOIS</t>
  </si>
  <si>
    <t>208 S CHICAGO</t>
  </si>
  <si>
    <t>MILFORD</t>
  </si>
  <si>
    <t>Dr Dale Hastings</t>
  </si>
  <si>
    <t>drdaleh@mpsk12.org</t>
  </si>
  <si>
    <t>815-889-5176</t>
  </si>
  <si>
    <t>815-889-5221</t>
  </si>
  <si>
    <t>RUSSELL LEIGH &amp; ASSOCIATES</t>
  </si>
  <si>
    <t>RUSS LEIGH</t>
  </si>
  <si>
    <t>228 E MAIN ST</t>
  </si>
  <si>
    <t>HOOPESTON</t>
  </si>
  <si>
    <t>IL</t>
  </si>
  <si>
    <t>217-283-9336</t>
  </si>
  <si>
    <t>217-283-9736</t>
  </si>
  <si>
    <t>065.018319</t>
  </si>
  <si>
    <t>admin@russleigh.com</t>
  </si>
  <si>
    <t>Russell Leigh &amp; Associates</t>
  </si>
  <si>
    <t>2006 LIFE SAFETY BONDS</t>
  </si>
  <si>
    <t>QUALIFIED ZONE ACADEMY BONDS</t>
  </si>
  <si>
    <t>QZAB BONDS</t>
  </si>
  <si>
    <t>2015 GO SCHOOL BONDS</t>
  </si>
  <si>
    <t>2016 GO SCHOOL BONDS</t>
  </si>
  <si>
    <t>2017 GO SCHOOL BONDS</t>
  </si>
  <si>
    <t>No applicable contracts paid in current year.</t>
  </si>
  <si>
    <t>IROQUOIS SPECIAL EDUCATION ASSOCIATION</t>
  </si>
  <si>
    <t>Page 8 - Acct 8990 - Other Uses Not Classified Elsewhere</t>
  </si>
  <si>
    <t>Col 70 - Working Cash</t>
  </si>
  <si>
    <t>Bond Service Fees - $2,000</t>
  </si>
  <si>
    <t>Page 10 - Acct 1719 - Admission - Other</t>
  </si>
  <si>
    <t>Col 10 - Educational</t>
  </si>
  <si>
    <t>Other School Admissions - $6,148</t>
  </si>
  <si>
    <t>Page 11 - Acct 1999 - Other Local Revenues</t>
  </si>
  <si>
    <t>Refunds &amp; Reimbursements - $102,221</t>
  </si>
  <si>
    <t>Col 20 - Operations &amp; Maintenance</t>
  </si>
  <si>
    <t>Refunds &amp; Reimbursements - $7,550</t>
  </si>
  <si>
    <t>E-Rate Money - $53,350</t>
  </si>
  <si>
    <t>Col 40 - Transportation</t>
  </si>
  <si>
    <t>Refunds &amp; Reimbursements - $640</t>
  </si>
  <si>
    <t>Col 80 - Tort</t>
  </si>
  <si>
    <t>Refunds &amp; Reimbursements - $3,615</t>
  </si>
  <si>
    <t>Page 11 - Acct 3099 - Other Unrestricted Grants-in-Aid from State Sources</t>
  </si>
  <si>
    <t>Reorganization Incentive - $98,329</t>
  </si>
  <si>
    <t>Page 12 - Acct 3999 - Other Restricted Revenue from State Sources</t>
  </si>
  <si>
    <t>CTEIG Reimbursement - $29,841</t>
  </si>
  <si>
    <t>State Library Grant - $750</t>
  </si>
  <si>
    <t>Page 12 - Acct 4999 - Other Restricted Revenue from Federal Sources</t>
  </si>
  <si>
    <t>REAP Grant - $10,393</t>
  </si>
  <si>
    <t>Page 16 - Acct 4190 - Other Payments to In-State Gov't Units</t>
  </si>
  <si>
    <t>Pre School Flow Through Money - $455,300</t>
  </si>
  <si>
    <t>AUDITCHECK Tab - #13 Contracts Paid Error</t>
  </si>
  <si>
    <t>Milford Area PSD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</si>
</sst>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32038124026</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2128</v>
      </c>
      <c r="B17" s="2033"/>
      <c r="C17" s="2033"/>
      <c r="D17" s="2033"/>
      <c r="E17" s="2033"/>
      <c r="F17" s="2033"/>
      <c r="G17" s="2033"/>
      <c r="H17" s="2034"/>
      <c r="T17" s="2019" t="s">
        <v>2087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2088</v>
      </c>
      <c r="U19" s="2000"/>
      <c r="V19" s="2000"/>
      <c r="W19" s="2001"/>
      <c r="X19" s="2017" t="s">
        <v>2089</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2090</v>
      </c>
      <c r="U21" s="1968"/>
      <c r="V21" s="1968"/>
      <c r="W21" s="1968"/>
      <c r="X21" s="1981" t="s">
        <v>2091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2092</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60953</v>
      </c>
      <c r="B25" s="2000"/>
      <c r="C25" s="2000"/>
      <c r="D25" s="2000"/>
      <c r="E25" s="2000"/>
      <c r="F25" s="2000"/>
      <c r="G25" s="2000"/>
      <c r="H25" s="2001"/>
      <c r="I25" s="113"/>
      <c r="J25" s="2067"/>
      <c r="K25" s="2067"/>
      <c r="L25" s="2067"/>
      <c r="M25" s="2067"/>
      <c r="N25" s="2067"/>
      <c r="O25" s="2067"/>
      <c r="P25" s="2067"/>
      <c r="Q25" s="2067"/>
      <c r="R25" s="2067"/>
      <c r="S25" s="2068"/>
      <c r="T25" s="1959" t="s">
        <v>2093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2083</v>
      </c>
      <c r="B42" s="2050"/>
      <c r="C42" s="2051"/>
      <c r="D42" s="2064" t="s">
        <v>2084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84991684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3.1899999999999998E-2</v>
      </c>
      <c r="E10" s="356" t="s">
        <v>1062</v>
      </c>
      <c r="F10" s="355">
        <v>7.4999999999999997E-3</v>
      </c>
      <c r="G10" s="356" t="s">
        <v>1062</v>
      </c>
      <c r="H10" s="355">
        <v>2.3999999999999998E-3</v>
      </c>
      <c r="I10" s="356" t="s">
        <v>1063</v>
      </c>
      <c r="J10" s="1754">
        <f>ROUND(D10+F10+H10,5)</f>
        <v>4.1799999999999997E-2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7615695</v>
      </c>
      <c r="E16" s="356"/>
      <c r="F16" s="1755">
        <f>SUM('Acct Summary 7-8'!C17,'Acct Summary 7-8'!D17,'Acct Summary 7-8'!F17)</f>
        <v>7101097</v>
      </c>
      <c r="G16" s="356"/>
      <c r="H16" s="1755">
        <f>SUM(D16-F16)</f>
        <v>514598</v>
      </c>
      <c r="I16" s="222"/>
      <c r="J16" s="1755">
        <f>SUM('Acct Summary 7-8'!C81,'Acct Summary 7-8'!D81,'Acct Summary 7-8'!F81,'Acct Summary 7-8'!I81)</f>
        <v>6226326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11728852.392000001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17990905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Milford Area PSD 124</v>
      </c>
      <c r="E7" s="391"/>
      <c r="G7" s="252"/>
      <c r="H7" s="387"/>
      <c r="I7" s="387"/>
      <c r="J7" s="387"/>
      <c r="K7" s="387"/>
      <c r="L7" s="329"/>
      <c r="M7" s="329"/>
      <c r="N7" s="329"/>
      <c r="O7" s="329"/>
      <c r="P7" s="329"/>
    </row>
    <row r="8" spans="1:18" ht="12.75" x14ac:dyDescent="0.2">
      <c r="A8" s="329"/>
      <c r="B8" s="329"/>
      <c r="C8" s="389" t="s">
        <v>1187</v>
      </c>
      <c r="D8" s="392">
        <f>COVER!A13</f>
        <v>32038124026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6226326</v>
      </c>
      <c r="I12" s="404"/>
      <c r="J12" s="404"/>
      <c r="K12" s="405">
        <f>TRUNC((H12/H13*100000),5)/100000</f>
        <v>0.81756504159999999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7615695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7101097</v>
      </c>
      <c r="I17" s="404"/>
      <c r="J17" s="416"/>
      <c r="K17" s="405">
        <f>TRUNC((H17/H18*100000),5)/100000</f>
        <v>0.93242927920000007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7615695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6226827</v>
      </c>
      <c r="I24" s="422"/>
      <c r="J24" s="422"/>
      <c r="K24" s="423">
        <f>TRUNC(((H24/H25*100000)/100000),2)</f>
        <v>315.67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19725.26944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3019754.5325199999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17990905</v>
      </c>
      <c r="I32" s="420"/>
      <c r="J32" s="420"/>
      <c r="K32" s="423">
        <f>TRUNC(100-((((H32/H33*100))*100)/100),2)</f>
        <v>-53.39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11728852.392000001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2117573</v>
      </c>
      <c r="D4" s="466">
        <v>499289</v>
      </c>
      <c r="E4" s="466">
        <v>12488</v>
      </c>
      <c r="F4" s="466">
        <v>292639</v>
      </c>
      <c r="G4" s="466">
        <v>37296</v>
      </c>
      <c r="H4" s="466">
        <v>2568</v>
      </c>
      <c r="I4" s="466">
        <v>290910</v>
      </c>
      <c r="J4" s="467">
        <v>281439</v>
      </c>
      <c r="K4" s="466">
        <v>24290</v>
      </c>
      <c r="L4" s="466">
        <v>64440</v>
      </c>
      <c r="M4" s="468"/>
      <c r="N4" s="469"/>
    </row>
    <row r="5" spans="1:14" x14ac:dyDescent="0.2">
      <c r="A5" s="463" t="s">
        <v>1049</v>
      </c>
      <c r="B5" s="470">
        <v>120</v>
      </c>
      <c r="C5" s="465">
        <v>1270262</v>
      </c>
      <c r="D5" s="466">
        <v>130000</v>
      </c>
      <c r="E5" s="466"/>
      <c r="F5" s="466">
        <v>135140</v>
      </c>
      <c r="G5" s="466">
        <v>277131</v>
      </c>
      <c r="H5" s="466"/>
      <c r="I5" s="466">
        <v>1491014</v>
      </c>
      <c r="J5" s="467">
        <v>700000</v>
      </c>
      <c r="K5" s="471">
        <v>33000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3387835</v>
      </c>
      <c r="D13" s="1759">
        <f t="shared" ref="D13:L13" si="0">SUM(D4:D12)</f>
        <v>629289</v>
      </c>
      <c r="E13" s="1759">
        <f t="shared" si="0"/>
        <v>12488</v>
      </c>
      <c r="F13" s="1759">
        <f t="shared" si="0"/>
        <v>427779</v>
      </c>
      <c r="G13" s="1759">
        <f t="shared" si="0"/>
        <v>314427</v>
      </c>
      <c r="H13" s="1759">
        <f t="shared" si="0"/>
        <v>2568</v>
      </c>
      <c r="I13" s="1759">
        <f t="shared" si="0"/>
        <v>1781924</v>
      </c>
      <c r="J13" s="1759">
        <f t="shared" si="0"/>
        <v>981439</v>
      </c>
      <c r="K13" s="1759">
        <f t="shared" si="0"/>
        <v>57290</v>
      </c>
      <c r="L13" s="1759">
        <f t="shared" si="0"/>
        <v>64440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47992</v>
      </c>
      <c r="N16" s="484"/>
    </row>
    <row r="17" spans="1:14" s="485" customFormat="1" ht="12.75" customHeight="1" x14ac:dyDescent="0.2">
      <c r="A17" s="482" t="s">
        <v>1470</v>
      </c>
      <c r="B17" s="483">
        <v>230</v>
      </c>
      <c r="C17" s="477"/>
      <c r="D17" s="477"/>
      <c r="E17" s="477"/>
      <c r="F17" s="477"/>
      <c r="G17" s="477"/>
      <c r="H17" s="477"/>
      <c r="I17" s="477"/>
      <c r="J17" s="477"/>
      <c r="K17" s="477"/>
      <c r="L17" s="477"/>
      <c r="M17" s="467">
        <v>20349587</v>
      </c>
      <c r="N17" s="484"/>
    </row>
    <row r="18" spans="1:14" s="485" customFormat="1" ht="12.75" customHeight="1" x14ac:dyDescent="0.2">
      <c r="A18" s="482" t="s">
        <v>1471</v>
      </c>
      <c r="B18" s="483">
        <v>240</v>
      </c>
      <c r="C18" s="477"/>
      <c r="D18" s="477"/>
      <c r="E18" s="477"/>
      <c r="F18" s="477"/>
      <c r="G18" s="477"/>
      <c r="H18" s="477"/>
      <c r="I18" s="477"/>
      <c r="J18" s="477"/>
      <c r="K18" s="477"/>
      <c r="L18" s="477"/>
      <c r="M18" s="467">
        <v>4507643</v>
      </c>
      <c r="N18" s="484"/>
    </row>
    <row r="19" spans="1:14" s="485" customFormat="1" ht="12.75" customHeight="1" x14ac:dyDescent="0.2">
      <c r="A19" s="482" t="s">
        <v>1472</v>
      </c>
      <c r="B19" s="483">
        <v>250</v>
      </c>
      <c r="C19" s="477"/>
      <c r="D19" s="477"/>
      <c r="E19" s="477"/>
      <c r="F19" s="477"/>
      <c r="G19" s="477"/>
      <c r="H19" s="477"/>
      <c r="I19" s="477"/>
      <c r="J19" s="477"/>
      <c r="K19" s="477"/>
      <c r="L19" s="477"/>
      <c r="M19" s="467">
        <v>3201143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12488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17978417</v>
      </c>
    </row>
    <row r="23" spans="1:14" ht="13.5" customHeight="1" thickBot="1" x14ac:dyDescent="0.25">
      <c r="A23" s="1758" t="s">
        <v>664</v>
      </c>
      <c r="B23" s="1763"/>
      <c r="C23" s="468"/>
      <c r="D23" s="468"/>
      <c r="E23" s="468"/>
      <c r="F23" s="468"/>
      <c r="G23" s="468"/>
      <c r="H23" s="468"/>
      <c r="I23" s="468"/>
      <c r="J23" s="468"/>
      <c r="K23" s="468"/>
      <c r="L23" s="468"/>
      <c r="M23" s="1710">
        <f>SUM(M15:M22)</f>
        <v>28106365</v>
      </c>
      <c r="N23" s="1710">
        <f>SUM(N21:N22)</f>
        <v>17990905</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501</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64440</v>
      </c>
      <c r="M33" s="468"/>
      <c r="N33" s="469"/>
    </row>
    <row r="34" spans="1:14" ht="13.5" customHeight="1" thickBot="1" x14ac:dyDescent="0.25">
      <c r="A34" s="1760" t="s">
        <v>675</v>
      </c>
      <c r="B34" s="1761"/>
      <c r="C34" s="1762">
        <f>SUM(C25:C33)</f>
        <v>501</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64440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17990905</v>
      </c>
    </row>
    <row r="37" spans="1:14" ht="13.5" thickBot="1" x14ac:dyDescent="0.25">
      <c r="A37" s="1758" t="s">
        <v>674</v>
      </c>
      <c r="B37" s="1763"/>
      <c r="C37" s="477"/>
      <c r="D37" s="477"/>
      <c r="E37" s="477"/>
      <c r="F37" s="477"/>
      <c r="G37" s="477"/>
      <c r="H37" s="477"/>
      <c r="I37" s="477"/>
      <c r="J37" s="477"/>
      <c r="K37" s="477"/>
      <c r="L37" s="480"/>
      <c r="M37" s="468"/>
      <c r="N37" s="1710">
        <f>SUM(N36:N36)</f>
        <v>17990905</v>
      </c>
    </row>
    <row r="38" spans="1:14" s="329" customFormat="1" ht="13.5" customHeight="1" thickTop="1" x14ac:dyDescent="0.2">
      <c r="A38" s="496" t="s">
        <v>440</v>
      </c>
      <c r="B38" s="483">
        <v>714</v>
      </c>
      <c r="C38" s="466"/>
      <c r="D38" s="466"/>
      <c r="E38" s="466"/>
      <c r="F38" s="466"/>
      <c r="G38" s="466">
        <v>314427</v>
      </c>
      <c r="H38" s="466"/>
      <c r="I38" s="466"/>
      <c r="J38" s="467"/>
      <c r="K38" s="466"/>
      <c r="L38" s="481"/>
      <c r="M38" s="497"/>
      <c r="N38" s="497"/>
    </row>
    <row r="39" spans="1:14" s="329" customFormat="1" ht="13.5" customHeight="1" x14ac:dyDescent="0.2">
      <c r="A39" s="496" t="s">
        <v>360</v>
      </c>
      <c r="B39" s="483">
        <v>730</v>
      </c>
      <c r="C39" s="466">
        <v>3387334</v>
      </c>
      <c r="D39" s="466">
        <v>629289</v>
      </c>
      <c r="E39" s="466">
        <v>12488</v>
      </c>
      <c r="F39" s="466">
        <v>427779</v>
      </c>
      <c r="G39" s="466"/>
      <c r="H39" s="466">
        <v>2568</v>
      </c>
      <c r="I39" s="466">
        <v>1781924</v>
      </c>
      <c r="J39" s="467">
        <v>981439</v>
      </c>
      <c r="K39" s="466">
        <v>57290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28106365</v>
      </c>
      <c r="N40" s="497"/>
    </row>
    <row r="41" spans="1:14" ht="13.5" customHeight="1" thickBot="1" x14ac:dyDescent="0.25">
      <c r="A41" s="1758" t="s">
        <v>676</v>
      </c>
      <c r="B41" s="1728"/>
      <c r="C41" s="1710">
        <f>(SUM(C34,C37,C38,C39))</f>
        <v>3387835</v>
      </c>
      <c r="D41" s="1710">
        <f t="shared" ref="D41:L41" si="2">SUM(D34,D37,D38:D39)</f>
        <v>629289</v>
      </c>
      <c r="E41" s="1710">
        <f t="shared" si="2"/>
        <v>12488</v>
      </c>
      <c r="F41" s="1710">
        <f t="shared" si="2"/>
        <v>427779</v>
      </c>
      <c r="G41" s="1710">
        <f t="shared" si="2"/>
        <v>314427</v>
      </c>
      <c r="H41" s="1710">
        <f t="shared" si="2"/>
        <v>2568</v>
      </c>
      <c r="I41" s="1710">
        <f t="shared" si="2"/>
        <v>1781924</v>
      </c>
      <c r="J41" s="1710">
        <f t="shared" si="2"/>
        <v>981439</v>
      </c>
      <c r="K41" s="1710">
        <f t="shared" si="2"/>
        <v>57290</v>
      </c>
      <c r="L41" s="1710">
        <f t="shared" si="2"/>
        <v>64440</v>
      </c>
      <c r="M41" s="1710">
        <f>SUM(M40)</f>
        <v>28106365</v>
      </c>
      <c r="N41" s="1710">
        <f>SUM(N37)</f>
        <v>17990905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activeCell="C19" sqref="C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3198827</v>
      </c>
      <c r="D4" s="1764">
        <f>'Revenues 9-14'!D109</f>
        <v>685386</v>
      </c>
      <c r="E4" s="1764">
        <f>'Revenues 9-14'!E109</f>
        <v>1096795</v>
      </c>
      <c r="F4" s="1764">
        <f>'Revenues 9-14'!F109</f>
        <v>199379</v>
      </c>
      <c r="G4" s="1764">
        <f>'Revenues 9-14'!G109</f>
        <v>225800</v>
      </c>
      <c r="H4" s="1764">
        <f>'Revenues 9-14'!H109</f>
        <v>5692</v>
      </c>
      <c r="I4" s="1764">
        <f>'Revenues 9-14'!I109</f>
        <v>51365</v>
      </c>
      <c r="J4" s="1764">
        <f>'Revenues 9-14'!J109</f>
        <v>704150</v>
      </c>
      <c r="K4" s="1764">
        <f>'Revenues 9-14'!K109</f>
        <v>43497</v>
      </c>
      <c r="L4" s="347"/>
    </row>
    <row r="5" spans="1:13" ht="15.75" customHeight="1" x14ac:dyDescent="0.2">
      <c r="A5" s="1598" t="s">
        <v>1580</v>
      </c>
      <c r="B5" s="1599">
        <v>2000</v>
      </c>
      <c r="C5" s="1765">
        <f>'Revenues 9-14'!C114</f>
        <v>842600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1855807</v>
      </c>
      <c r="D6" s="1765">
        <f>'Revenues 9-14'!D173</f>
        <v>0</v>
      </c>
      <c r="E6" s="1765">
        <f>'Revenues 9-14'!E173</f>
        <v>0</v>
      </c>
      <c r="F6" s="1765">
        <f>'Revenues 9-14'!F173</f>
        <v>294680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487651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6384885</v>
      </c>
      <c r="D8" s="1710">
        <f t="shared" ref="D8:K8" si="0">SUM(D4:D7)</f>
        <v>685386</v>
      </c>
      <c r="E8" s="1710">
        <f t="shared" si="0"/>
        <v>1096795</v>
      </c>
      <c r="F8" s="1710">
        <f t="shared" si="0"/>
        <v>494059</v>
      </c>
      <c r="G8" s="1710">
        <f t="shared" si="0"/>
        <v>225800</v>
      </c>
      <c r="H8" s="1710">
        <f t="shared" si="0"/>
        <v>5692</v>
      </c>
      <c r="I8" s="1710">
        <f t="shared" si="0"/>
        <v>51365</v>
      </c>
      <c r="J8" s="1710">
        <f t="shared" si="0"/>
        <v>704150</v>
      </c>
      <c r="K8" s="1710">
        <f t="shared" si="0"/>
        <v>43497</v>
      </c>
      <c r="L8" s="347"/>
    </row>
    <row r="9" spans="1:13" ht="15.75" thickTop="1" x14ac:dyDescent="0.2">
      <c r="A9" s="514" t="s">
        <v>1752</v>
      </c>
      <c r="B9" s="515">
        <v>3998</v>
      </c>
      <c r="C9" s="481">
        <v>2263209</v>
      </c>
      <c r="D9" s="516"/>
      <c r="E9" s="481"/>
      <c r="F9" s="481"/>
      <c r="G9" s="517"/>
      <c r="H9" s="481"/>
      <c r="I9" s="509" t="s">
        <v>1231</v>
      </c>
      <c r="J9" s="478"/>
      <c r="K9" s="481"/>
      <c r="L9" s="347"/>
    </row>
    <row r="10" spans="1:13" s="519" customFormat="1" ht="13.5" thickBot="1" x14ac:dyDescent="0.25">
      <c r="A10" s="1758" t="s">
        <v>1235</v>
      </c>
      <c r="B10" s="1731"/>
      <c r="C10" s="1710">
        <f>SUM(C8:C9)</f>
        <v>8648094</v>
      </c>
      <c r="D10" s="1710">
        <f t="shared" ref="D10:K10" si="1">SUM(D8:D9)</f>
        <v>685386</v>
      </c>
      <c r="E10" s="1710">
        <f t="shared" si="1"/>
        <v>1096795</v>
      </c>
      <c r="F10" s="1710">
        <f t="shared" si="1"/>
        <v>494059</v>
      </c>
      <c r="G10" s="1710">
        <f t="shared" si="1"/>
        <v>225800</v>
      </c>
      <c r="H10" s="1710">
        <f t="shared" si="1"/>
        <v>5692</v>
      </c>
      <c r="I10" s="1710">
        <f t="shared" si="1"/>
        <v>51365</v>
      </c>
      <c r="J10" s="1710">
        <f t="shared" si="1"/>
        <v>704150</v>
      </c>
      <c r="K10" s="1710">
        <f t="shared" si="1"/>
        <v>43497</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3537921</v>
      </c>
      <c r="D12" s="520" t="s">
        <v>1231</v>
      </c>
      <c r="E12" s="468" t="s">
        <v>1231</v>
      </c>
      <c r="F12" s="468" t="s">
        <v>1231</v>
      </c>
      <c r="G12" s="1764">
        <f>'Expenditures 15-22'!K229</f>
        <v>53102</v>
      </c>
      <c r="H12" s="521"/>
      <c r="I12" s="468" t="s">
        <v>1231</v>
      </c>
      <c r="J12" s="468" t="s">
        <v>1231</v>
      </c>
      <c r="K12" s="521" t="s">
        <v>1231</v>
      </c>
      <c r="L12" s="347"/>
    </row>
    <row r="13" spans="1:13" ht="15.75" customHeight="1" x14ac:dyDescent="0.2">
      <c r="A13" s="1598" t="s">
        <v>477</v>
      </c>
      <c r="B13" s="1600">
        <v>2000</v>
      </c>
      <c r="C13" s="1765">
        <f>'Expenditures 15-22'!K74</f>
        <v>1130457</v>
      </c>
      <c r="D13" s="1765">
        <f>'Expenditures 15-22'!K129</f>
        <v>885947</v>
      </c>
      <c r="E13" s="469" t="s">
        <v>1231</v>
      </c>
      <c r="F13" s="1765">
        <f>'Expenditures 15-22'!K184</f>
        <v>363327</v>
      </c>
      <c r="G13" s="1765">
        <f>'Expenditures 15-22'!K279</f>
        <v>129664</v>
      </c>
      <c r="H13" s="1765">
        <f>'Expenditures 15-22'!K303</f>
        <v>3903604</v>
      </c>
      <c r="I13" s="468" t="s">
        <v>1231</v>
      </c>
      <c r="J13" s="1765">
        <f>'Expenditures 15-22'!K330</f>
        <v>636295</v>
      </c>
      <c r="K13" s="1769">
        <f>'Expenditures 15-22'!K352</f>
        <v>550000</v>
      </c>
      <c r="L13" s="347"/>
    </row>
    <row r="14" spans="1:13" ht="15.75" customHeight="1" x14ac:dyDescent="0.2">
      <c r="A14" s="1598" t="s">
        <v>469</v>
      </c>
      <c r="B14" s="1600">
        <v>3000</v>
      </c>
      <c r="C14" s="1765">
        <f>'Expenditures 15-22'!K75</f>
        <v>32599</v>
      </c>
      <c r="D14" s="1765">
        <f>'Expenditures 15-22'!K130</f>
        <v>0</v>
      </c>
      <c r="E14" s="520" t="s">
        <v>1231</v>
      </c>
      <c r="F14" s="1765">
        <f>'Expenditures 15-22'!K185</f>
        <v>0</v>
      </c>
      <c r="G14" s="1765">
        <f>'Expenditures 15-22'!K280</f>
        <v>4279</v>
      </c>
      <c r="H14" s="512"/>
      <c r="I14" s="468" t="s">
        <v>1231</v>
      </c>
      <c r="J14" s="468" t="s">
        <v>1231</v>
      </c>
      <c r="K14" s="512" t="s">
        <v>1231</v>
      </c>
      <c r="L14" s="347"/>
    </row>
    <row r="15" spans="1:13" ht="15.75" customHeight="1" x14ac:dyDescent="0.2">
      <c r="A15" s="1598" t="s">
        <v>109</v>
      </c>
      <c r="B15" s="1600">
        <v>4000</v>
      </c>
      <c r="C15" s="1765">
        <f>'Expenditures 15-22'!K102</f>
        <v>1078464</v>
      </c>
      <c r="D15" s="1765">
        <f>'Expenditures 15-22'!K139</f>
        <v>0</v>
      </c>
      <c r="E15" s="1765">
        <f>'Expenditures 15-22'!K160</f>
        <v>0</v>
      </c>
      <c r="F15" s="1765">
        <f>'Expenditures 15-22'!K196</f>
        <v>72382</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1092598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5779441</v>
      </c>
      <c r="D17" s="1710">
        <f t="shared" si="2"/>
        <v>885947</v>
      </c>
      <c r="E17" s="1710">
        <f t="shared" si="2"/>
        <v>1092598</v>
      </c>
      <c r="F17" s="1710">
        <f t="shared" si="2"/>
        <v>435709</v>
      </c>
      <c r="G17" s="1710">
        <f t="shared" si="2"/>
        <v>187045</v>
      </c>
      <c r="H17" s="1710">
        <f t="shared" si="2"/>
        <v>3903604</v>
      </c>
      <c r="I17" s="468"/>
      <c r="J17" s="1710">
        <f>SUM(J12:J16)</f>
        <v>636295</v>
      </c>
      <c r="K17" s="1710">
        <f>SUM(K12:K16)</f>
        <v>550000</v>
      </c>
      <c r="L17" s="347"/>
    </row>
    <row r="18" spans="1:12" ht="15" customHeight="1" thickTop="1" x14ac:dyDescent="0.2">
      <c r="A18" s="1766" t="s">
        <v>1753</v>
      </c>
      <c r="B18" s="1767">
        <v>4180</v>
      </c>
      <c r="C18" s="1764">
        <f t="shared" ref="C18:H18" si="3">C9</f>
        <v>2263209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8042650</v>
      </c>
      <c r="D19" s="1710">
        <f t="shared" si="4"/>
        <v>885947</v>
      </c>
      <c r="E19" s="1710">
        <f t="shared" si="4"/>
        <v>1092598</v>
      </c>
      <c r="F19" s="1710">
        <f t="shared" si="4"/>
        <v>435709</v>
      </c>
      <c r="G19" s="1710">
        <f t="shared" si="4"/>
        <v>187045</v>
      </c>
      <c r="H19" s="1710">
        <f t="shared" si="4"/>
        <v>3903604</v>
      </c>
      <c r="I19" s="468"/>
      <c r="J19" s="1710">
        <f>SUM(J17:J18)</f>
        <v>636295</v>
      </c>
      <c r="K19" s="1710">
        <f>SUM(K17:K18)</f>
        <v>550000</v>
      </c>
      <c r="L19" s="347"/>
    </row>
    <row r="20" spans="1:12" ht="16.5" thickTop="1" thickBot="1" x14ac:dyDescent="0.25">
      <c r="A20" s="2145" t="s">
        <v>1754</v>
      </c>
      <c r="B20" s="2146"/>
      <c r="C20" s="1768">
        <f>C8-C17</f>
        <v>605444</v>
      </c>
      <c r="D20" s="1768">
        <f t="shared" ref="D20:K20" si="5">D8-D17</f>
        <v>-200561</v>
      </c>
      <c r="E20" s="1768">
        <f t="shared" si="5"/>
        <v>4197</v>
      </c>
      <c r="F20" s="1768">
        <f t="shared" si="5"/>
        <v>58350</v>
      </c>
      <c r="G20" s="1768">
        <f t="shared" si="5"/>
        <v>38755</v>
      </c>
      <c r="H20" s="1768">
        <f t="shared" si="5"/>
        <v>-3897912</v>
      </c>
      <c r="I20" s="1768">
        <f t="shared" si="5"/>
        <v>51365</v>
      </c>
      <c r="J20" s="1768">
        <f t="shared" si="5"/>
        <v>67855</v>
      </c>
      <c r="K20" s="1768">
        <f t="shared" si="5"/>
        <v>-506503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200000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200000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200000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2000</v>
      </c>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202000</v>
      </c>
      <c r="J76" s="1725">
        <f t="shared" si="7"/>
        <v>0</v>
      </c>
      <c r="K76" s="1725">
        <f t="shared" si="7"/>
        <v>0</v>
      </c>
      <c r="L76" s="524"/>
    </row>
    <row r="77" spans="1:12" ht="14.25" thickTop="1" thickBot="1" x14ac:dyDescent="0.25">
      <c r="A77" s="2137" t="s">
        <v>1239</v>
      </c>
      <c r="B77" s="2138"/>
      <c r="C77" s="1725">
        <f t="shared" ref="C77:K77" si="8">C44-C76</f>
        <v>0</v>
      </c>
      <c r="D77" s="1725">
        <f t="shared" si="8"/>
        <v>200000</v>
      </c>
      <c r="E77" s="1725">
        <f t="shared" si="8"/>
        <v>0</v>
      </c>
      <c r="F77" s="1725">
        <f t="shared" si="8"/>
        <v>0</v>
      </c>
      <c r="G77" s="1725">
        <f t="shared" si="8"/>
        <v>0</v>
      </c>
      <c r="H77" s="1725">
        <f t="shared" si="8"/>
        <v>0</v>
      </c>
      <c r="I77" s="1725">
        <f t="shared" si="8"/>
        <v>-202000</v>
      </c>
      <c r="J77" s="1725">
        <f t="shared" si="8"/>
        <v>0</v>
      </c>
      <c r="K77" s="1725">
        <f t="shared" si="8"/>
        <v>0</v>
      </c>
      <c r="L77" s="347"/>
    </row>
    <row r="78" spans="1:12" ht="21.75" customHeight="1" thickTop="1" thickBot="1" x14ac:dyDescent="0.25">
      <c r="A78" s="2141" t="s">
        <v>618</v>
      </c>
      <c r="B78" s="2142"/>
      <c r="C78" s="1724">
        <f t="shared" ref="C78:K78" si="9">C20+C77</f>
        <v>605444</v>
      </c>
      <c r="D78" s="1724">
        <f t="shared" si="9"/>
        <v>-561</v>
      </c>
      <c r="E78" s="1724">
        <f t="shared" si="9"/>
        <v>4197</v>
      </c>
      <c r="F78" s="1724">
        <f t="shared" si="9"/>
        <v>58350</v>
      </c>
      <c r="G78" s="1724">
        <f t="shared" si="9"/>
        <v>38755</v>
      </c>
      <c r="H78" s="1724">
        <f t="shared" si="9"/>
        <v>-3897912</v>
      </c>
      <c r="I78" s="1724">
        <f t="shared" si="9"/>
        <v>-150635</v>
      </c>
      <c r="J78" s="1724">
        <f t="shared" si="9"/>
        <v>67855</v>
      </c>
      <c r="K78" s="1724">
        <f t="shared" si="9"/>
        <v>-506503</v>
      </c>
      <c r="L78" s="533"/>
    </row>
    <row r="79" spans="1:12" ht="13.5" thickTop="1" x14ac:dyDescent="0.2">
      <c r="A79" s="1516" t="s">
        <v>2071</v>
      </c>
      <c r="B79" s="534"/>
      <c r="C79" s="478">
        <v>2781890</v>
      </c>
      <c r="D79" s="535">
        <v>629850</v>
      </c>
      <c r="E79" s="535">
        <v>8291</v>
      </c>
      <c r="F79" s="535">
        <v>369429</v>
      </c>
      <c r="G79" s="535">
        <v>275672</v>
      </c>
      <c r="H79" s="535">
        <v>3900480</v>
      </c>
      <c r="I79" s="535">
        <v>1932559</v>
      </c>
      <c r="J79" s="535">
        <v>913584</v>
      </c>
      <c r="K79" s="535">
        <v>563793</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3387334</v>
      </c>
      <c r="D81" s="1710">
        <f>SUM(D78:D80)</f>
        <v>629289</v>
      </c>
      <c r="E81" s="1710">
        <f t="shared" ref="E81:K81" si="10">SUM(E78:E80)</f>
        <v>12488</v>
      </c>
      <c r="F81" s="1710">
        <f t="shared" si="10"/>
        <v>427779</v>
      </c>
      <c r="G81" s="1710">
        <f t="shared" si="10"/>
        <v>314427</v>
      </c>
      <c r="H81" s="1710">
        <f t="shared" si="10"/>
        <v>2568</v>
      </c>
      <c r="I81" s="1710">
        <f t="shared" si="10"/>
        <v>1781924</v>
      </c>
      <c r="J81" s="1710">
        <f t="shared" si="10"/>
        <v>981439</v>
      </c>
      <c r="K81" s="1710">
        <f t="shared" si="10"/>
        <v>57290</v>
      </c>
      <c r="L81" s="347"/>
    </row>
    <row r="82" spans="1:12" ht="0.75" customHeight="1" thickTop="1" thickBot="1" x14ac:dyDescent="0.25">
      <c r="A82" s="536" t="s">
        <v>361</v>
      </c>
      <c r="B82" s="537"/>
      <c r="C82" s="538">
        <f>(C81-C79)</f>
        <v>605444</v>
      </c>
      <c r="D82" s="538">
        <f t="shared" ref="D82:K82" si="11">(D81-D79)</f>
        <v>-561</v>
      </c>
      <c r="E82" s="538">
        <f t="shared" si="11"/>
        <v>4197</v>
      </c>
      <c r="F82" s="538">
        <f t="shared" si="11"/>
        <v>58350</v>
      </c>
      <c r="G82" s="538">
        <f t="shared" si="11"/>
        <v>38755</v>
      </c>
      <c r="H82" s="538">
        <f t="shared" si="11"/>
        <v>-3897912</v>
      </c>
      <c r="I82" s="538">
        <f t="shared" si="11"/>
        <v>-150635</v>
      </c>
      <c r="J82" s="538">
        <f t="shared" si="11"/>
        <v>67855</v>
      </c>
      <c r="K82" s="538">
        <f t="shared" si="11"/>
        <v>-506503</v>
      </c>
    </row>
    <row r="83" spans="1:12" ht="14.25" hidden="1" thickTop="1" thickBot="1" x14ac:dyDescent="0.25">
      <c r="A83" s="539" t="s">
        <v>362</v>
      </c>
      <c r="B83" s="464"/>
      <c r="C83" s="540">
        <f>C82/C81</f>
        <v>0.17873761489123896</v>
      </c>
      <c r="D83" s="540">
        <f t="shared" ref="D83:K83" si="12">D82/D81</f>
        <v>-8.9148229191992863E-4</v>
      </c>
      <c r="E83" s="540">
        <f t="shared" si="12"/>
        <v>0.33608263933376042</v>
      </c>
      <c r="F83" s="540">
        <f t="shared" si="12"/>
        <v>0.13640220768200403</v>
      </c>
      <c r="G83" s="540">
        <f t="shared" si="12"/>
        <v>0.12325595448228047</v>
      </c>
      <c r="H83" s="540">
        <f t="shared" si="12"/>
        <v>-1517.8785046728972</v>
      </c>
      <c r="I83" s="540">
        <f t="shared" si="12"/>
        <v>-8.4535030674708911E-2</v>
      </c>
      <c r="J83" s="540">
        <f t="shared" si="12"/>
        <v>6.913827553215228E-2</v>
      </c>
      <c r="K83" s="540">
        <f t="shared" si="12"/>
        <v>-8.8410368301623325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2615232</v>
      </c>
      <c r="D5" s="481">
        <v>614867</v>
      </c>
      <c r="E5" s="466">
        <v>1096795</v>
      </c>
      <c r="F5" s="548">
        <v>196759</v>
      </c>
      <c r="G5" s="466">
        <v>82755</v>
      </c>
      <c r="H5" s="466"/>
      <c r="I5" s="466">
        <v>40991</v>
      </c>
      <c r="J5" s="467">
        <v>695101</v>
      </c>
      <c r="K5" s="466">
        <v>40991</v>
      </c>
    </row>
    <row r="6" spans="1:12" ht="15" x14ac:dyDescent="0.2">
      <c r="A6" s="463" t="s">
        <v>1761</v>
      </c>
      <c r="B6" s="470">
        <v>1130</v>
      </c>
      <c r="C6" s="466">
        <v>40991</v>
      </c>
      <c r="D6" s="466"/>
      <c r="E6" s="475"/>
      <c r="F6" s="475"/>
      <c r="G6" s="468"/>
      <c r="H6" s="468"/>
      <c r="I6" s="468"/>
      <c r="J6" s="468"/>
      <c r="K6" s="468"/>
    </row>
    <row r="7" spans="1:12" x14ac:dyDescent="0.2">
      <c r="A7" s="463" t="s">
        <v>112</v>
      </c>
      <c r="B7" s="549">
        <v>1140</v>
      </c>
      <c r="C7" s="466">
        <v>32790</v>
      </c>
      <c r="D7" s="466"/>
      <c r="E7" s="468"/>
      <c r="F7" s="467"/>
      <c r="G7" s="467"/>
      <c r="H7" s="467"/>
      <c r="I7" s="468"/>
      <c r="J7" s="468"/>
      <c r="K7" s="468"/>
    </row>
    <row r="8" spans="1:12" x14ac:dyDescent="0.2">
      <c r="A8" s="463" t="s">
        <v>433</v>
      </c>
      <c r="B8" s="470">
        <v>1150</v>
      </c>
      <c r="C8" s="475"/>
      <c r="D8" s="475"/>
      <c r="E8" s="477"/>
      <c r="F8" s="477"/>
      <c r="G8" s="481">
        <v>132403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2689013</v>
      </c>
      <c r="D12" s="1729">
        <f t="shared" si="0"/>
        <v>614867</v>
      </c>
      <c r="E12" s="1729">
        <f t="shared" si="0"/>
        <v>1096795</v>
      </c>
      <c r="F12" s="1729">
        <f t="shared" si="0"/>
        <v>196759</v>
      </c>
      <c r="G12" s="1729">
        <f t="shared" si="0"/>
        <v>215158</v>
      </c>
      <c r="H12" s="1729">
        <f t="shared" si="0"/>
        <v>0</v>
      </c>
      <c r="I12" s="1729">
        <f t="shared" si="0"/>
        <v>40991</v>
      </c>
      <c r="J12" s="1729">
        <f t="shared" si="0"/>
        <v>695101</v>
      </c>
      <c r="K12" s="1710">
        <f t="shared" si="0"/>
        <v>40991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170613</v>
      </c>
      <c r="D16" s="466"/>
      <c r="E16" s="466"/>
      <c r="F16" s="466"/>
      <c r="G16" s="466">
        <v>8040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170613</v>
      </c>
      <c r="D18" s="1732">
        <f t="shared" ref="D18:K18" si="1">SUM(D14:D17)</f>
        <v>0</v>
      </c>
      <c r="E18" s="1732">
        <f t="shared" si="1"/>
        <v>0</v>
      </c>
      <c r="F18" s="1732">
        <f t="shared" si="1"/>
        <v>0</v>
      </c>
      <c r="G18" s="1732">
        <f t="shared" si="1"/>
        <v>8040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10779</v>
      </c>
      <c r="D65" s="466">
        <v>1919</v>
      </c>
      <c r="E65" s="466"/>
      <c r="F65" s="467">
        <v>1640</v>
      </c>
      <c r="G65" s="466">
        <v>2602</v>
      </c>
      <c r="H65" s="466">
        <v>5692</v>
      </c>
      <c r="I65" s="466">
        <v>10374</v>
      </c>
      <c r="J65" s="467">
        <v>5434</v>
      </c>
      <c r="K65" s="466">
        <v>2506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10779</v>
      </c>
      <c r="D67" s="1710">
        <f t="shared" ref="D67:K67" si="2">SUM(D65:D66)</f>
        <v>1919</v>
      </c>
      <c r="E67" s="1710">
        <f t="shared" si="2"/>
        <v>0</v>
      </c>
      <c r="F67" s="1710">
        <f t="shared" si="2"/>
        <v>1640</v>
      </c>
      <c r="G67" s="1710">
        <f t="shared" si="2"/>
        <v>2602</v>
      </c>
      <c r="H67" s="1710">
        <f t="shared" si="2"/>
        <v>5692</v>
      </c>
      <c r="I67" s="1710">
        <f t="shared" si="2"/>
        <v>10374</v>
      </c>
      <c r="J67" s="1710">
        <f t="shared" si="2"/>
        <v>5434</v>
      </c>
      <c r="K67" s="1710">
        <f t="shared" si="2"/>
        <v>2506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44049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5675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49724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28313</v>
      </c>
      <c r="D77" s="466"/>
      <c r="E77" s="468"/>
      <c r="F77" s="468"/>
      <c r="G77" s="468"/>
      <c r="H77" s="468"/>
      <c r="I77" s="468"/>
      <c r="J77" s="468"/>
      <c r="K77" s="468"/>
    </row>
    <row r="78" spans="1:11" ht="12.75" customHeight="1" x14ac:dyDescent="0.2">
      <c r="A78" s="463" t="s">
        <v>78</v>
      </c>
      <c r="B78" s="470">
        <v>1719</v>
      </c>
      <c r="C78" s="551">
        <v>6148</v>
      </c>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34461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27747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27747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5500</v>
      </c>
      <c r="E95" s="521"/>
      <c r="F95" s="521"/>
      <c r="G95" s="521"/>
      <c r="H95" s="521"/>
      <c r="I95" s="521"/>
      <c r="J95" s="521"/>
      <c r="K95" s="521"/>
    </row>
    <row r="96" spans="1:11" ht="12.75" customHeight="1" x14ac:dyDescent="0.2">
      <c r="A96" s="463" t="s">
        <v>409</v>
      </c>
      <c r="B96" s="470">
        <v>1920</v>
      </c>
      <c r="C96" s="551">
        <v>43003</v>
      </c>
      <c r="D96" s="551">
        <v>2200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17318</v>
      </c>
      <c r="D98" s="466"/>
      <c r="E98" s="512"/>
      <c r="F98" s="466">
        <v>340</v>
      </c>
      <c r="G98" s="512"/>
      <c r="H98" s="512"/>
      <c r="I98" s="510"/>
      <c r="J98" s="512"/>
      <c r="K98" s="512"/>
    </row>
    <row r="99" spans="1:12" ht="12.75" customHeight="1" x14ac:dyDescent="0.2">
      <c r="A99" s="463" t="s">
        <v>875</v>
      </c>
      <c r="B99" s="470">
        <v>1950</v>
      </c>
      <c r="C99" s="489">
        <v>53948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102221</v>
      </c>
      <c r="D107" s="466">
        <v>60900</v>
      </c>
      <c r="E107" s="466"/>
      <c r="F107" s="466">
        <v>640</v>
      </c>
      <c r="G107" s="466"/>
      <c r="H107" s="466"/>
      <c r="I107" s="466"/>
      <c r="J107" s="467">
        <v>3615</v>
      </c>
      <c r="K107" s="466"/>
    </row>
    <row r="108" spans="1:12" ht="12.75" customHeight="1" thickBot="1" x14ac:dyDescent="0.25">
      <c r="A108" s="1730" t="s">
        <v>508</v>
      </c>
      <c r="B108" s="1734"/>
      <c r="C108" s="1729">
        <f>SUM(C95:C107)</f>
        <v>216490</v>
      </c>
      <c r="D108" s="1729">
        <f t="shared" ref="D108:K108" si="3">SUM(D95:D107)</f>
        <v>68600</v>
      </c>
      <c r="E108" s="1729">
        <f t="shared" si="3"/>
        <v>0</v>
      </c>
      <c r="F108" s="1729">
        <f t="shared" si="3"/>
        <v>980</v>
      </c>
      <c r="G108" s="1729">
        <f t="shared" si="3"/>
        <v>0</v>
      </c>
      <c r="H108" s="1729">
        <f t="shared" si="3"/>
        <v>0</v>
      </c>
      <c r="I108" s="1729">
        <f t="shared" si="3"/>
        <v>0</v>
      </c>
      <c r="J108" s="1729">
        <f t="shared" si="3"/>
        <v>3615</v>
      </c>
      <c r="K108" s="1710">
        <f t="shared" si="3"/>
        <v>0</v>
      </c>
    </row>
    <row r="109" spans="1:12" ht="14.25" thickTop="1" thickBot="1" x14ac:dyDescent="0.25">
      <c r="A109" s="1735" t="s">
        <v>266</v>
      </c>
      <c r="B109" s="1736" t="s">
        <v>591</v>
      </c>
      <c r="C109" s="1737">
        <f t="shared" ref="C109:K109" si="4">SUM(C12,C18,C40,C63,C67,C75,C82,C93,C108,)</f>
        <v>3198827</v>
      </c>
      <c r="D109" s="1737">
        <f t="shared" si="4"/>
        <v>685386</v>
      </c>
      <c r="E109" s="1737">
        <f t="shared" si="4"/>
        <v>1096795</v>
      </c>
      <c r="F109" s="1737">
        <f t="shared" si="4"/>
        <v>199379</v>
      </c>
      <c r="G109" s="1737">
        <f t="shared" si="4"/>
        <v>225800</v>
      </c>
      <c r="H109" s="1737">
        <f t="shared" si="4"/>
        <v>5692</v>
      </c>
      <c r="I109" s="1737">
        <f t="shared" si="4"/>
        <v>51365</v>
      </c>
      <c r="J109" s="1737">
        <f t="shared" si="4"/>
        <v>704150</v>
      </c>
      <c r="K109" s="1724">
        <f t="shared" si="4"/>
        <v>43497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690300</v>
      </c>
      <c r="D111" s="481"/>
      <c r="E111" s="561"/>
      <c r="F111" s="481"/>
      <c r="G111" s="481"/>
      <c r="H111" s="561"/>
      <c r="I111" s="468"/>
      <c r="J111" s="468"/>
      <c r="K111" s="468"/>
    </row>
    <row r="112" spans="1:12" ht="12.75" customHeight="1" x14ac:dyDescent="0.2">
      <c r="A112" s="463" t="s">
        <v>878</v>
      </c>
      <c r="B112" s="470">
        <v>2200</v>
      </c>
      <c r="C112" s="551">
        <v>152300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842600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1643500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v>98329</v>
      </c>
      <c r="D120" s="466"/>
      <c r="E120" s="466"/>
      <c r="F120" s="466"/>
      <c r="G120" s="466"/>
      <c r="H120" s="466"/>
      <c r="I120" s="468"/>
      <c r="J120" s="467"/>
      <c r="K120" s="466"/>
    </row>
    <row r="121" spans="1:11" ht="12.6" customHeight="1" thickBot="1" x14ac:dyDescent="0.25">
      <c r="A121" s="1730" t="s">
        <v>509</v>
      </c>
      <c r="B121" s="1741"/>
      <c r="C121" s="1729">
        <f t="shared" ref="C121:H121" si="5">SUM(C117:C120)</f>
        <v>1741829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21995</v>
      </c>
      <c r="D124" s="561"/>
      <c r="E124" s="468"/>
      <c r="F124" s="548"/>
      <c r="G124" s="468"/>
      <c r="H124" s="468"/>
      <c r="I124" s="468"/>
      <c r="J124" s="468"/>
      <c r="K124" s="468"/>
    </row>
    <row r="125" spans="1:11" ht="12.75" customHeight="1" x14ac:dyDescent="0.2">
      <c r="A125" s="463" t="s">
        <v>1521</v>
      </c>
      <c r="B125" s="562">
        <v>3105</v>
      </c>
      <c r="C125" s="466">
        <v>42536</v>
      </c>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3360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713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68604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4114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4114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2460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8209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222323</v>
      </c>
      <c r="G151" s="467"/>
      <c r="H151" s="468"/>
      <c r="I151" s="468"/>
      <c r="J151" s="468"/>
      <c r="K151" s="468"/>
    </row>
    <row r="152" spans="1:11" ht="12.75" customHeight="1" x14ac:dyDescent="0.2">
      <c r="A152" s="463" t="s">
        <v>1117</v>
      </c>
      <c r="B152" s="562">
        <v>3510</v>
      </c>
      <c r="C152" s="551"/>
      <c r="D152" s="466"/>
      <c r="E152" s="561"/>
      <c r="F152" s="466">
        <v>72357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294680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30591</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113978</v>
      </c>
      <c r="D172" s="1744">
        <f t="shared" si="6"/>
        <v>0</v>
      </c>
      <c r="E172" s="1744">
        <f t="shared" si="6"/>
        <v>0</v>
      </c>
      <c r="F172" s="1744">
        <f t="shared" si="6"/>
        <v>294680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1855807</v>
      </c>
      <c r="D173" s="1737">
        <f>SUM(D121,D172)</f>
        <v>0</v>
      </c>
      <c r="E173" s="1737">
        <f>SUM(E121,E172)</f>
        <v>0</v>
      </c>
      <c r="F173" s="1737">
        <f t="shared" ref="F173:K173" si="7">SUM(F121,F172)</f>
        <v>294680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123778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24950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148728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288474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288474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8599</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8599</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31457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10393</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487651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487651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6384885</v>
      </c>
      <c r="D275" s="1737">
        <f t="shared" si="12"/>
        <v>685386</v>
      </c>
      <c r="E275" s="1737">
        <f t="shared" si="12"/>
        <v>1096795</v>
      </c>
      <c r="F275" s="1737">
        <f t="shared" si="12"/>
        <v>494059</v>
      </c>
      <c r="G275" s="1737">
        <f t="shared" si="12"/>
        <v>225800</v>
      </c>
      <c r="H275" s="1737">
        <f t="shared" si="12"/>
        <v>5692</v>
      </c>
      <c r="I275" s="1737">
        <f t="shared" si="12"/>
        <v>51365</v>
      </c>
      <c r="J275" s="1737">
        <f t="shared" si="12"/>
        <v>704150</v>
      </c>
      <c r="K275" s="1724">
        <f t="shared" si="12"/>
        <v>43497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1"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2036135</v>
      </c>
      <c r="D5" s="466">
        <v>498143</v>
      </c>
      <c r="E5" s="466">
        <v>49163</v>
      </c>
      <c r="F5" s="466">
        <v>35082</v>
      </c>
      <c r="G5" s="466">
        <v>11835</v>
      </c>
      <c r="H5" s="466">
        <v>535</v>
      </c>
      <c r="I5" s="467"/>
      <c r="J5" s="467"/>
      <c r="K5" s="1693">
        <f>SUM(C5:J5)</f>
        <v>2630893</v>
      </c>
      <c r="L5" s="466">
        <v>1826496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93857</v>
      </c>
      <c r="D7" s="467">
        <v>18381</v>
      </c>
      <c r="E7" s="467">
        <v>642</v>
      </c>
      <c r="F7" s="467">
        <v>1931</v>
      </c>
      <c r="G7" s="467"/>
      <c r="H7" s="467"/>
      <c r="I7" s="467"/>
      <c r="J7" s="467"/>
      <c r="K7" s="1693">
        <f t="shared" ref="K7:K32" si="0">SUM(C7:J7)</f>
        <v>114811</v>
      </c>
      <c r="L7" s="466">
        <v>1052035</v>
      </c>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99287</v>
      </c>
      <c r="D10" s="466">
        <v>28858</v>
      </c>
      <c r="E10" s="466">
        <v>51562</v>
      </c>
      <c r="F10" s="466">
        <v>26716</v>
      </c>
      <c r="G10" s="466">
        <v>69476</v>
      </c>
      <c r="H10" s="466"/>
      <c r="I10" s="467"/>
      <c r="J10" s="467"/>
      <c r="K10" s="1693">
        <f t="shared" si="0"/>
        <v>275899</v>
      </c>
      <c r="L10" s="466">
        <v>179132</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116378</v>
      </c>
      <c r="D13" s="466">
        <v>18741</v>
      </c>
      <c r="E13" s="466"/>
      <c r="F13" s="466">
        <v>8869</v>
      </c>
      <c r="G13" s="466">
        <v>600</v>
      </c>
      <c r="H13" s="466"/>
      <c r="I13" s="467"/>
      <c r="J13" s="467"/>
      <c r="K13" s="1693">
        <f t="shared" si="0"/>
        <v>144588</v>
      </c>
      <c r="L13" s="466">
        <v>207825</v>
      </c>
    </row>
    <row r="14" spans="1:14" x14ac:dyDescent="0.2">
      <c r="A14" s="1526" t="s">
        <v>1020</v>
      </c>
      <c r="B14" s="615">
        <v>1500</v>
      </c>
      <c r="C14" s="466">
        <v>176036</v>
      </c>
      <c r="D14" s="466">
        <v>10228</v>
      </c>
      <c r="E14" s="466">
        <v>38420</v>
      </c>
      <c r="F14" s="466">
        <v>94947</v>
      </c>
      <c r="G14" s="466">
        <v>23712</v>
      </c>
      <c r="H14" s="466">
        <v>6916</v>
      </c>
      <c r="I14" s="467"/>
      <c r="J14" s="467"/>
      <c r="K14" s="1693">
        <f t="shared" si="0"/>
        <v>350259</v>
      </c>
      <c r="L14" s="466">
        <v>344850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14521</v>
      </c>
      <c r="D17" s="467">
        <v>2910</v>
      </c>
      <c r="E17" s="467">
        <v>3466</v>
      </c>
      <c r="F17" s="467">
        <v>574</v>
      </c>
      <c r="G17" s="467"/>
      <c r="H17" s="467"/>
      <c r="I17" s="467"/>
      <c r="J17" s="467"/>
      <c r="K17" s="1693">
        <f t="shared" si="0"/>
        <v>21471</v>
      </c>
      <c r="L17" s="466">
        <v>22870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2536214</v>
      </c>
      <c r="D33" s="1692">
        <f t="shared" ref="D33:L33" si="1">SUM(D5:D32)</f>
        <v>577261</v>
      </c>
      <c r="E33" s="1692">
        <f t="shared" si="1"/>
        <v>143253</v>
      </c>
      <c r="F33" s="1692">
        <f t="shared" si="1"/>
        <v>168119</v>
      </c>
      <c r="G33" s="1692">
        <f t="shared" si="1"/>
        <v>105623</v>
      </c>
      <c r="H33" s="1692">
        <f t="shared" si="1"/>
        <v>7451</v>
      </c>
      <c r="I33" s="1692">
        <f t="shared" si="1"/>
        <v>0</v>
      </c>
      <c r="J33" s="1692">
        <f t="shared" si="1"/>
        <v>0</v>
      </c>
      <c r="K33" s="1692">
        <f t="shared" si="1"/>
        <v>3537921</v>
      </c>
      <c r="L33" s="1692">
        <f t="shared" si="1"/>
        <v>3633208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2000</v>
      </c>
    </row>
    <row r="37" spans="1:14" x14ac:dyDescent="0.2">
      <c r="A37" s="1526" t="s">
        <v>1151</v>
      </c>
      <c r="B37" s="615">
        <v>2120</v>
      </c>
      <c r="C37" s="466">
        <v>73382</v>
      </c>
      <c r="D37" s="466">
        <v>14199</v>
      </c>
      <c r="E37" s="466">
        <v>742</v>
      </c>
      <c r="F37" s="466"/>
      <c r="G37" s="466"/>
      <c r="H37" s="466"/>
      <c r="I37" s="467"/>
      <c r="J37" s="467"/>
      <c r="K37" s="1693">
        <f t="shared" si="2"/>
        <v>88323</v>
      </c>
      <c r="L37" s="466">
        <v>97995</v>
      </c>
    </row>
    <row r="38" spans="1:14" x14ac:dyDescent="0.2">
      <c r="A38" s="1526" t="s">
        <v>207</v>
      </c>
      <c r="B38" s="615">
        <v>2130</v>
      </c>
      <c r="C38" s="466"/>
      <c r="D38" s="466"/>
      <c r="E38" s="466">
        <v>45697</v>
      </c>
      <c r="F38" s="466"/>
      <c r="G38" s="466"/>
      <c r="H38" s="466"/>
      <c r="I38" s="467"/>
      <c r="J38" s="467"/>
      <c r="K38" s="1693">
        <f t="shared" si="2"/>
        <v>45697</v>
      </c>
      <c r="L38" s="466">
        <v>46500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73382</v>
      </c>
      <c r="D42" s="1692">
        <f t="shared" ref="D42:L42" si="3">SUM(D36:D41)</f>
        <v>14199</v>
      </c>
      <c r="E42" s="1692">
        <f t="shared" si="3"/>
        <v>46439</v>
      </c>
      <c r="F42" s="1692">
        <f t="shared" si="3"/>
        <v>0</v>
      </c>
      <c r="G42" s="1692">
        <f t="shared" si="3"/>
        <v>0</v>
      </c>
      <c r="H42" s="1692">
        <f t="shared" si="3"/>
        <v>0</v>
      </c>
      <c r="I42" s="1692">
        <f t="shared" si="3"/>
        <v>0</v>
      </c>
      <c r="J42" s="1692">
        <f t="shared" si="3"/>
        <v>0</v>
      </c>
      <c r="K42" s="1692">
        <f t="shared" si="3"/>
        <v>134020</v>
      </c>
      <c r="L42" s="1692">
        <f t="shared" si="3"/>
        <v>146495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3655</v>
      </c>
      <c r="D44" s="481">
        <v>420</v>
      </c>
      <c r="E44" s="481"/>
      <c r="F44" s="481">
        <v>1103</v>
      </c>
      <c r="G44" s="481"/>
      <c r="H44" s="481"/>
      <c r="I44" s="467"/>
      <c r="J44" s="467"/>
      <c r="K44" s="1694">
        <f>SUM(C44:J44)</f>
        <v>5178</v>
      </c>
      <c r="L44" s="481">
        <v>12000</v>
      </c>
    </row>
    <row r="45" spans="1:14" x14ac:dyDescent="0.2">
      <c r="A45" s="1526" t="s">
        <v>869</v>
      </c>
      <c r="B45" s="615">
        <v>2220</v>
      </c>
      <c r="C45" s="466">
        <v>17532</v>
      </c>
      <c r="D45" s="466">
        <v>6631</v>
      </c>
      <c r="E45" s="466">
        <v>1610</v>
      </c>
      <c r="F45" s="466">
        <v>428</v>
      </c>
      <c r="G45" s="466"/>
      <c r="H45" s="466"/>
      <c r="I45" s="467"/>
      <c r="J45" s="467"/>
      <c r="K45" s="1694">
        <f>SUM(C45:J45)</f>
        <v>26201</v>
      </c>
      <c r="L45" s="466">
        <v>33840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21187</v>
      </c>
      <c r="D47" s="1692">
        <f t="shared" ref="D47:K47" si="4">SUM(D44:D46)</f>
        <v>7051</v>
      </c>
      <c r="E47" s="1692">
        <f t="shared" si="4"/>
        <v>1610</v>
      </c>
      <c r="F47" s="1692">
        <f t="shared" si="4"/>
        <v>1531</v>
      </c>
      <c r="G47" s="1692">
        <f t="shared" si="4"/>
        <v>0</v>
      </c>
      <c r="H47" s="1692">
        <f t="shared" si="4"/>
        <v>0</v>
      </c>
      <c r="I47" s="1692">
        <f t="shared" si="4"/>
        <v>0</v>
      </c>
      <c r="J47" s="1692">
        <f t="shared" si="4"/>
        <v>0</v>
      </c>
      <c r="K47" s="1692">
        <f t="shared" si="4"/>
        <v>31379</v>
      </c>
      <c r="L47" s="1692">
        <f>SUM(L44:L46)</f>
        <v>45840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49477</v>
      </c>
      <c r="F49" s="481">
        <v>2123</v>
      </c>
      <c r="G49" s="481"/>
      <c r="H49" s="481">
        <v>3608</v>
      </c>
      <c r="I49" s="467"/>
      <c r="J49" s="467"/>
      <c r="K49" s="1694">
        <f>SUM(C49:J49)</f>
        <v>55208</v>
      </c>
      <c r="L49" s="481">
        <v>87500</v>
      </c>
    </row>
    <row r="50" spans="1:14" x14ac:dyDescent="0.2">
      <c r="A50" s="1526" t="s">
        <v>872</v>
      </c>
      <c r="B50" s="615">
        <v>2320</v>
      </c>
      <c r="C50" s="466">
        <v>144901</v>
      </c>
      <c r="D50" s="466">
        <v>22305</v>
      </c>
      <c r="E50" s="466">
        <v>3097</v>
      </c>
      <c r="F50" s="466">
        <v>6693</v>
      </c>
      <c r="G50" s="466">
        <v>768</v>
      </c>
      <c r="H50" s="466">
        <v>1197</v>
      </c>
      <c r="I50" s="467"/>
      <c r="J50" s="467"/>
      <c r="K50" s="1694">
        <f>SUM(C50:J50)</f>
        <v>178961</v>
      </c>
      <c r="L50" s="466">
        <v>180809</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144901</v>
      </c>
      <c r="D53" s="1692">
        <f t="shared" ref="D53:L53" si="5">SUM(D49:D52)</f>
        <v>22305</v>
      </c>
      <c r="E53" s="1692">
        <f t="shared" si="5"/>
        <v>52574</v>
      </c>
      <c r="F53" s="1692">
        <f t="shared" si="5"/>
        <v>8816</v>
      </c>
      <c r="G53" s="1692">
        <f t="shared" si="5"/>
        <v>768</v>
      </c>
      <c r="H53" s="1692">
        <f t="shared" si="5"/>
        <v>4805</v>
      </c>
      <c r="I53" s="1692">
        <f t="shared" si="5"/>
        <v>0</v>
      </c>
      <c r="J53" s="1692">
        <f t="shared" si="5"/>
        <v>0</v>
      </c>
      <c r="K53" s="1692">
        <f t="shared" si="5"/>
        <v>234169</v>
      </c>
      <c r="L53" s="1692">
        <f t="shared" si="5"/>
        <v>268309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248984</v>
      </c>
      <c r="D55" s="481">
        <v>47012</v>
      </c>
      <c r="E55" s="481">
        <v>6937</v>
      </c>
      <c r="F55" s="481">
        <v>4851</v>
      </c>
      <c r="G55" s="481"/>
      <c r="H55" s="481">
        <v>1452</v>
      </c>
      <c r="I55" s="467"/>
      <c r="J55" s="467"/>
      <c r="K55" s="1694">
        <f>SUM(C55:J55)</f>
        <v>309236</v>
      </c>
      <c r="L55" s="481">
        <v>320150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248984</v>
      </c>
      <c r="D57" s="1696">
        <f t="shared" ref="D57:K57" si="6">SUM(D55:D56)</f>
        <v>47012</v>
      </c>
      <c r="E57" s="1696">
        <f t="shared" si="6"/>
        <v>6937</v>
      </c>
      <c r="F57" s="1696">
        <f t="shared" si="6"/>
        <v>4851</v>
      </c>
      <c r="G57" s="1696">
        <f t="shared" si="6"/>
        <v>0</v>
      </c>
      <c r="H57" s="1696">
        <f t="shared" si="6"/>
        <v>1452</v>
      </c>
      <c r="I57" s="1696">
        <f t="shared" si="6"/>
        <v>0</v>
      </c>
      <c r="J57" s="1696">
        <f t="shared" si="6"/>
        <v>0</v>
      </c>
      <c r="K57" s="1696">
        <f t="shared" si="6"/>
        <v>309236</v>
      </c>
      <c r="L57" s="1692">
        <f>SUM(L55:L56)</f>
        <v>320150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24000</v>
      </c>
      <c r="D59" s="481"/>
      <c r="E59" s="481"/>
      <c r="F59" s="481"/>
      <c r="G59" s="481"/>
      <c r="H59" s="481"/>
      <c r="I59" s="467"/>
      <c r="J59" s="467"/>
      <c r="K59" s="1694">
        <f t="shared" ref="K59:K64" si="7">SUM(C59:J59)</f>
        <v>24000</v>
      </c>
      <c r="L59" s="481">
        <v>24300</v>
      </c>
      <c r="M59" s="610"/>
      <c r="N59" s="610"/>
    </row>
    <row r="60" spans="1:14" s="343" customFormat="1" x14ac:dyDescent="0.2">
      <c r="A60" s="1526" t="s">
        <v>483</v>
      </c>
      <c r="B60" s="615">
        <v>2520</v>
      </c>
      <c r="C60" s="466">
        <v>24831</v>
      </c>
      <c r="D60" s="466">
        <v>5968</v>
      </c>
      <c r="E60" s="466">
        <v>232</v>
      </c>
      <c r="F60" s="466">
        <v>228</v>
      </c>
      <c r="G60" s="466"/>
      <c r="H60" s="466"/>
      <c r="I60" s="467"/>
      <c r="J60" s="467"/>
      <c r="K60" s="1694">
        <f t="shared" si="7"/>
        <v>31259</v>
      </c>
      <c r="L60" s="466">
        <v>43350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69186</v>
      </c>
      <c r="D63" s="466">
        <v>15376</v>
      </c>
      <c r="E63" s="466">
        <v>1355</v>
      </c>
      <c r="F63" s="466">
        <v>126508</v>
      </c>
      <c r="G63" s="466"/>
      <c r="H63" s="466"/>
      <c r="I63" s="467"/>
      <c r="J63" s="467"/>
      <c r="K63" s="1694">
        <f t="shared" si="7"/>
        <v>212425</v>
      </c>
      <c r="L63" s="466">
        <v>216800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118017</v>
      </c>
      <c r="D65" s="1692">
        <f t="shared" ref="D65:L65" si="8">SUM(D59:D64)</f>
        <v>21344</v>
      </c>
      <c r="E65" s="1692">
        <f t="shared" si="8"/>
        <v>1587</v>
      </c>
      <c r="F65" s="1692">
        <f t="shared" si="8"/>
        <v>126736</v>
      </c>
      <c r="G65" s="1692">
        <f t="shared" si="8"/>
        <v>0</v>
      </c>
      <c r="H65" s="1692">
        <f t="shared" si="8"/>
        <v>0</v>
      </c>
      <c r="I65" s="1692">
        <f t="shared" si="8"/>
        <v>0</v>
      </c>
      <c r="J65" s="1692">
        <f t="shared" si="8"/>
        <v>0</v>
      </c>
      <c r="K65" s="1692">
        <f t="shared" si="8"/>
        <v>267684</v>
      </c>
      <c r="L65" s="1692">
        <f t="shared" si="8"/>
        <v>284450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3544</v>
      </c>
      <c r="F69" s="466"/>
      <c r="G69" s="466"/>
      <c r="H69" s="466"/>
      <c r="I69" s="467"/>
      <c r="J69" s="467"/>
      <c r="K69" s="1694">
        <f>SUM(C69:J69)</f>
        <v>3544</v>
      </c>
      <c r="L69" s="466">
        <v>5000</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59861</v>
      </c>
      <c r="D71" s="466">
        <v>5968</v>
      </c>
      <c r="E71" s="466">
        <v>13488</v>
      </c>
      <c r="F71" s="466">
        <v>12671</v>
      </c>
      <c r="G71" s="466">
        <v>58437</v>
      </c>
      <c r="H71" s="466"/>
      <c r="I71" s="467"/>
      <c r="J71" s="467"/>
      <c r="K71" s="1694">
        <f>SUM(C71:J71)</f>
        <v>150425</v>
      </c>
      <c r="L71" s="466">
        <v>105810</v>
      </c>
      <c r="M71" s="610"/>
      <c r="N71" s="610"/>
    </row>
    <row r="72" spans="1:14" s="343" customFormat="1" ht="12.75" customHeight="1" thickBot="1" x14ac:dyDescent="0.25">
      <c r="A72" s="1690" t="s">
        <v>37</v>
      </c>
      <c r="B72" s="1697" t="s">
        <v>36</v>
      </c>
      <c r="C72" s="1692">
        <f>SUM(C67:C71)</f>
        <v>59861</v>
      </c>
      <c r="D72" s="1692">
        <f t="shared" ref="D72:K72" si="9">SUM(D67:D71)</f>
        <v>5968</v>
      </c>
      <c r="E72" s="1692">
        <f t="shared" si="9"/>
        <v>17032</v>
      </c>
      <c r="F72" s="1692">
        <f t="shared" si="9"/>
        <v>12671</v>
      </c>
      <c r="G72" s="1692">
        <f t="shared" si="9"/>
        <v>58437</v>
      </c>
      <c r="H72" s="1692">
        <f t="shared" si="9"/>
        <v>0</v>
      </c>
      <c r="I72" s="1692">
        <f t="shared" si="9"/>
        <v>0</v>
      </c>
      <c r="J72" s="1692">
        <f t="shared" si="9"/>
        <v>0</v>
      </c>
      <c r="K72" s="1692">
        <f t="shared" si="9"/>
        <v>153969</v>
      </c>
      <c r="L72" s="1692">
        <f>SUM(L67:L71)</f>
        <v>110810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666332</v>
      </c>
      <c r="D74" s="1699">
        <f t="shared" ref="D74:K74" si="10">SUM(D42,D47,D53,D57,D65,D72,D73)</f>
        <v>117879</v>
      </c>
      <c r="E74" s="1699">
        <f t="shared" si="10"/>
        <v>126179</v>
      </c>
      <c r="F74" s="1699">
        <f t="shared" si="10"/>
        <v>154605</v>
      </c>
      <c r="G74" s="1699">
        <f t="shared" si="10"/>
        <v>59205</v>
      </c>
      <c r="H74" s="1699">
        <f t="shared" si="10"/>
        <v>6257</v>
      </c>
      <c r="I74" s="1699">
        <f t="shared" si="10"/>
        <v>0</v>
      </c>
      <c r="J74" s="1699">
        <f t="shared" si="10"/>
        <v>0</v>
      </c>
      <c r="K74" s="1699">
        <f t="shared" si="10"/>
        <v>1130457</v>
      </c>
      <c r="L74" s="1699">
        <f>SUM(L42,L47,L53,L57,L65,L72,L73)</f>
        <v>1176054</v>
      </c>
    </row>
    <row r="75" spans="1:14" s="259" customFormat="1" ht="15.75" customHeight="1" thickTop="1" thickBot="1" x14ac:dyDescent="0.25">
      <c r="A75" s="1632" t="s">
        <v>49</v>
      </c>
      <c r="B75" s="1633" t="s">
        <v>596</v>
      </c>
      <c r="C75" s="573">
        <v>23662</v>
      </c>
      <c r="D75" s="573">
        <v>5906</v>
      </c>
      <c r="E75" s="573">
        <v>1949</v>
      </c>
      <c r="F75" s="573">
        <v>1082</v>
      </c>
      <c r="G75" s="573"/>
      <c r="H75" s="573"/>
      <c r="I75" s="531"/>
      <c r="J75" s="531"/>
      <c r="K75" s="1692">
        <f>SUM(C75:J75)</f>
        <v>32599</v>
      </c>
      <c r="L75" s="576">
        <v>37300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11303</v>
      </c>
      <c r="I78" s="477"/>
      <c r="J78" s="477"/>
      <c r="K78" s="1693">
        <f t="shared" ref="K78:K83" si="11">SUM(C78:J78)</f>
        <v>11303</v>
      </c>
      <c r="L78" s="481">
        <v>17000</v>
      </c>
    </row>
    <row r="79" spans="1:14" x14ac:dyDescent="0.2">
      <c r="A79" s="1526" t="s">
        <v>322</v>
      </c>
      <c r="B79" s="615">
        <v>4120</v>
      </c>
      <c r="C79" s="617"/>
      <c r="D79" s="617"/>
      <c r="E79" s="466"/>
      <c r="F79" s="617"/>
      <c r="G79" s="617"/>
      <c r="H79" s="466">
        <v>603280</v>
      </c>
      <c r="I79" s="477"/>
      <c r="J79" s="477"/>
      <c r="K79" s="1693">
        <f t="shared" si="11"/>
        <v>603280</v>
      </c>
      <c r="L79" s="466">
        <v>700000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8581</v>
      </c>
      <c r="I81" s="477"/>
      <c r="J81" s="477"/>
      <c r="K81" s="1693">
        <f t="shared" si="11"/>
        <v>8581</v>
      </c>
      <c r="L81" s="466">
        <v>16000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v>455300</v>
      </c>
      <c r="I83" s="477"/>
      <c r="J83" s="477"/>
      <c r="K83" s="1693">
        <f t="shared" si="11"/>
        <v>455300</v>
      </c>
      <c r="L83" s="466"/>
    </row>
    <row r="84" spans="1:12" ht="13.5" thickBot="1" x14ac:dyDescent="0.25">
      <c r="A84" s="1690" t="s">
        <v>1565</v>
      </c>
      <c r="B84" s="1700">
        <v>4100</v>
      </c>
      <c r="C84" s="617"/>
      <c r="D84" s="617"/>
      <c r="E84" s="1692">
        <f>SUM(E78:E83)</f>
        <v>0</v>
      </c>
      <c r="F84" s="617"/>
      <c r="G84" s="617"/>
      <c r="H84" s="1692">
        <f>SUM(H78:H83)</f>
        <v>1078464</v>
      </c>
      <c r="I84" s="477"/>
      <c r="J84" s="477"/>
      <c r="K84" s="1692">
        <f>SUM(K78:K83)</f>
        <v>1078464</v>
      </c>
      <c r="L84" s="1692">
        <f>SUM(L78:L83)</f>
        <v>733000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760300</v>
      </c>
    </row>
    <row r="102" spans="1:14" ht="12.75" customHeight="1" thickTop="1" thickBot="1" x14ac:dyDescent="0.25">
      <c r="A102" s="1690" t="s">
        <v>1567</v>
      </c>
      <c r="B102" s="1700">
        <v>4000</v>
      </c>
      <c r="C102" s="617"/>
      <c r="D102" s="617"/>
      <c r="E102" s="1699">
        <f>SUM(E84,E92,E100,E101)</f>
        <v>0</v>
      </c>
      <c r="F102" s="617"/>
      <c r="G102" s="617"/>
      <c r="H102" s="1699">
        <f>SUM(H84,H92,H100,H101)</f>
        <v>1078464</v>
      </c>
      <c r="I102" s="477"/>
      <c r="J102" s="477"/>
      <c r="K102" s="1699">
        <f>SUM(K84,K92,K100,K101)</f>
        <v>1078464</v>
      </c>
      <c r="L102" s="1699">
        <f>SUM(L84,L92,L100,L101)</f>
        <v>1493300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80000</v>
      </c>
      <c r="M113" s="614"/>
      <c r="N113" s="614"/>
    </row>
    <row r="114" spans="1:14" ht="12.75" customHeight="1" thickTop="1" thickBot="1" x14ac:dyDescent="0.25">
      <c r="A114" s="1690" t="s">
        <v>50</v>
      </c>
      <c r="B114" s="1704"/>
      <c r="C114" s="1692">
        <f>SUM(C33,C74,C75,C102,C112,C113)</f>
        <v>3226208</v>
      </c>
      <c r="D114" s="1692">
        <f t="shared" ref="D114:K114" si="13">SUM(D33,D74,D75,D102,D112,D113)</f>
        <v>701046</v>
      </c>
      <c r="E114" s="1692">
        <f t="shared" si="13"/>
        <v>271381</v>
      </c>
      <c r="F114" s="1692">
        <f t="shared" si="13"/>
        <v>323806</v>
      </c>
      <c r="G114" s="1692">
        <f t="shared" si="13"/>
        <v>164828</v>
      </c>
      <c r="H114" s="1692">
        <f>SUM(H33,H74,H75,H102,H112,H113)</f>
        <v>1092172</v>
      </c>
      <c r="I114" s="1692">
        <f t="shared" si="13"/>
        <v>0</v>
      </c>
      <c r="J114" s="1692">
        <f t="shared" si="13"/>
        <v>0</v>
      </c>
      <c r="K114" s="1692">
        <f t="shared" si="13"/>
        <v>5779441</v>
      </c>
      <c r="L114" s="1692">
        <f>SUM(L33,L74,L75,L102,L112,L113)</f>
        <v>6419862</v>
      </c>
    </row>
    <row r="115" spans="1:14" ht="13.5" thickTop="1" x14ac:dyDescent="0.2">
      <c r="A115" s="2200" t="s">
        <v>1053</v>
      </c>
      <c r="B115" s="2201"/>
      <c r="C115" s="619"/>
      <c r="D115" s="619"/>
      <c r="E115" s="619"/>
      <c r="F115" s="619"/>
      <c r="G115" s="619"/>
      <c r="H115" s="619"/>
      <c r="I115" s="619"/>
      <c r="J115" s="619"/>
      <c r="K115" s="1706">
        <f>'Revenues 9-14'!C275-'Expenditures 15-22'!K114</f>
        <v>605444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208790</v>
      </c>
      <c r="D124" s="466">
        <v>33847</v>
      </c>
      <c r="E124" s="466">
        <v>368977</v>
      </c>
      <c r="F124" s="466">
        <v>194823</v>
      </c>
      <c r="G124" s="466">
        <v>79490</v>
      </c>
      <c r="H124" s="466">
        <v>20</v>
      </c>
      <c r="I124" s="467"/>
      <c r="J124" s="467"/>
      <c r="K124" s="1692">
        <f>SUM(C124:J124)</f>
        <v>885947</v>
      </c>
      <c r="L124" s="466">
        <v>1191700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208790</v>
      </c>
      <c r="D127" s="1692">
        <f t="shared" ref="D127:L127" si="14">SUM(D122:D126)</f>
        <v>33847</v>
      </c>
      <c r="E127" s="1692">
        <f t="shared" si="14"/>
        <v>368977</v>
      </c>
      <c r="F127" s="1692">
        <f t="shared" si="14"/>
        <v>194823</v>
      </c>
      <c r="G127" s="1692">
        <f t="shared" si="14"/>
        <v>79490</v>
      </c>
      <c r="H127" s="1692">
        <f t="shared" si="14"/>
        <v>20</v>
      </c>
      <c r="I127" s="1692">
        <f t="shared" si="14"/>
        <v>0</v>
      </c>
      <c r="J127" s="1692">
        <f t="shared" si="14"/>
        <v>0</v>
      </c>
      <c r="K127" s="1692">
        <f t="shared" si="14"/>
        <v>885947</v>
      </c>
      <c r="L127" s="1692">
        <f t="shared" si="14"/>
        <v>1191700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208790</v>
      </c>
      <c r="D129" s="1699">
        <f t="shared" ref="D129:L129" si="15">SUM(D120,D127,D128)</f>
        <v>33847</v>
      </c>
      <c r="E129" s="1699">
        <f t="shared" si="15"/>
        <v>368977</v>
      </c>
      <c r="F129" s="1699">
        <f t="shared" si="15"/>
        <v>194823</v>
      </c>
      <c r="G129" s="1699">
        <f t="shared" si="15"/>
        <v>79490</v>
      </c>
      <c r="H129" s="1699">
        <f t="shared" si="15"/>
        <v>20</v>
      </c>
      <c r="I129" s="1699">
        <f t="shared" si="15"/>
        <v>0</v>
      </c>
      <c r="J129" s="1699">
        <f t="shared" si="15"/>
        <v>0</v>
      </c>
      <c r="K129" s="1699">
        <f t="shared" si="15"/>
        <v>885947</v>
      </c>
      <c r="L129" s="1699">
        <f t="shared" si="15"/>
        <v>1191700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30000</v>
      </c>
    </row>
    <row r="151" spans="1:14" ht="12.75" customHeight="1" thickTop="1" thickBot="1" x14ac:dyDescent="0.25">
      <c r="A151" s="2190" t="s">
        <v>641</v>
      </c>
      <c r="B151" s="2172"/>
      <c r="C151" s="1692">
        <f>SUM(C129,C130,C139,C149,C150)</f>
        <v>208790</v>
      </c>
      <c r="D151" s="1692">
        <f t="shared" ref="D151:K151" si="16">SUM(D129,D130,D139,D149,D150)</f>
        <v>33847</v>
      </c>
      <c r="E151" s="1692">
        <f t="shared" si="16"/>
        <v>368977</v>
      </c>
      <c r="F151" s="1692">
        <f t="shared" si="16"/>
        <v>194823</v>
      </c>
      <c r="G151" s="1692">
        <f t="shared" si="16"/>
        <v>79490</v>
      </c>
      <c r="H151" s="1692">
        <f t="shared" si="16"/>
        <v>20</v>
      </c>
      <c r="I151" s="1692">
        <f t="shared" si="16"/>
        <v>0</v>
      </c>
      <c r="J151" s="1692">
        <f t="shared" si="16"/>
        <v>0</v>
      </c>
      <c r="K151" s="1692">
        <f t="shared" si="16"/>
        <v>885947</v>
      </c>
      <c r="L151" s="1692">
        <f>SUM(L129,L130,L139,L149,L150)</f>
        <v>1221700</v>
      </c>
    </row>
    <row r="152" spans="1:14" ht="12.75" customHeight="1" thickTop="1" x14ac:dyDescent="0.2">
      <c r="A152" s="2193" t="s">
        <v>1240</v>
      </c>
      <c r="B152" s="2194"/>
      <c r="C152" s="619"/>
      <c r="D152" s="619"/>
      <c r="E152" s="619"/>
      <c r="F152" s="619"/>
      <c r="G152" s="619"/>
      <c r="H152" s="619"/>
      <c r="I152" s="619"/>
      <c r="J152" s="617"/>
      <c r="K152" s="1706">
        <f>'Revenues 9-14'!D275-'Expenditures 15-22'!K151</f>
        <v>-200561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740073</v>
      </c>
      <c r="I169" s="617"/>
      <c r="J169" s="617"/>
      <c r="K169" s="1693">
        <f>SUM(C169:H169)</f>
        <v>740073</v>
      </c>
      <c r="L169" s="657">
        <v>804316</v>
      </c>
    </row>
    <row r="170" spans="1:14" ht="33.75" customHeight="1" x14ac:dyDescent="0.2">
      <c r="A170" s="670" t="s">
        <v>1769</v>
      </c>
      <c r="B170" s="672" t="s">
        <v>31</v>
      </c>
      <c r="C170" s="617"/>
      <c r="D170" s="617"/>
      <c r="E170" s="617"/>
      <c r="F170" s="617"/>
      <c r="G170" s="617"/>
      <c r="H170" s="569">
        <v>352525</v>
      </c>
      <c r="I170" s="617"/>
      <c r="J170" s="617"/>
      <c r="K170" s="1693">
        <f>SUM(C170:J170)</f>
        <v>352525</v>
      </c>
      <c r="L170" s="569">
        <v>299270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1092598</v>
      </c>
      <c r="I172" s="639"/>
      <c r="J172" s="617"/>
      <c r="K172" s="1699">
        <f>SUM(K168,K169,K170,K171)</f>
        <v>1092598</v>
      </c>
      <c r="L172" s="1699">
        <f>SUM(L168,L169,L170,L171)</f>
        <v>1103586</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1092598</v>
      </c>
      <c r="I174" s="639"/>
      <c r="J174" s="617"/>
      <c r="K174" s="1699">
        <f>SUM(K160,K172,K173)</f>
        <v>1092598</v>
      </c>
      <c r="L174" s="1699">
        <f>SUM(L160,L172,L173)</f>
        <v>1103586</v>
      </c>
    </row>
    <row r="175" spans="1:14" ht="13.5" thickTop="1" x14ac:dyDescent="0.2">
      <c r="A175" s="2200" t="s">
        <v>1053</v>
      </c>
      <c r="B175" s="2201"/>
      <c r="C175" s="617"/>
      <c r="D175" s="617"/>
      <c r="E175" s="617"/>
      <c r="F175" s="617"/>
      <c r="G175" s="617"/>
      <c r="H175" s="619"/>
      <c r="I175" s="617"/>
      <c r="J175" s="617"/>
      <c r="K175" s="1706">
        <f>'Revenues 9-14'!E275-'Expenditures 15-22'!K174</f>
        <v>4197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171793</v>
      </c>
      <c r="D182" s="466">
        <v>2514</v>
      </c>
      <c r="E182" s="466">
        <v>113680</v>
      </c>
      <c r="F182" s="466">
        <v>75186</v>
      </c>
      <c r="G182" s="466"/>
      <c r="H182" s="466">
        <v>154</v>
      </c>
      <c r="I182" s="467"/>
      <c r="J182" s="467"/>
      <c r="K182" s="1693">
        <f>SUM(C182:J182)</f>
        <v>363327</v>
      </c>
      <c r="L182" s="466">
        <v>415920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171793</v>
      </c>
      <c r="D184" s="1699">
        <f t="shared" ref="D184:J184" si="17">SUM(D180,D182,D183)</f>
        <v>2514</v>
      </c>
      <c r="E184" s="1699">
        <f t="shared" si="17"/>
        <v>113680</v>
      </c>
      <c r="F184" s="1699">
        <f t="shared" si="17"/>
        <v>75186</v>
      </c>
      <c r="G184" s="1699">
        <f t="shared" si="17"/>
        <v>0</v>
      </c>
      <c r="H184" s="1699">
        <f t="shared" si="17"/>
        <v>154</v>
      </c>
      <c r="I184" s="1699">
        <f t="shared" si="17"/>
        <v>0</v>
      </c>
      <c r="J184" s="1699">
        <f t="shared" si="17"/>
        <v>0</v>
      </c>
      <c r="K184" s="1699">
        <f>SUM(K180,K182,K183)</f>
        <v>363327</v>
      </c>
      <c r="L184" s="1699">
        <f>SUM(L180, L182:L183)</f>
        <v>415920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72382</v>
      </c>
      <c r="F189" s="617"/>
      <c r="G189" s="617"/>
      <c r="H189" s="466"/>
      <c r="I189" s="477"/>
      <c r="J189" s="617"/>
      <c r="K189" s="1693">
        <f t="shared" si="18"/>
        <v>72382</v>
      </c>
      <c r="L189" s="466">
        <v>105000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72382</v>
      </c>
      <c r="F194" s="617"/>
      <c r="G194" s="617"/>
      <c r="H194" s="1692">
        <f>SUM(H188:H193)</f>
        <v>0</v>
      </c>
      <c r="I194" s="477"/>
      <c r="J194" s="617"/>
      <c r="K194" s="1692">
        <f>SUM(K188:K193)</f>
        <v>72382</v>
      </c>
      <c r="L194" s="1692">
        <f>SUM(L188:L193)</f>
        <v>105000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72382</v>
      </c>
      <c r="F196" s="617"/>
      <c r="G196" s="617"/>
      <c r="H196" s="1699">
        <f>SUM(H194,H195)</f>
        <v>0</v>
      </c>
      <c r="I196" s="477"/>
      <c r="J196" s="617"/>
      <c r="K196" s="1699">
        <f>SUM(K194,K195)</f>
        <v>72382</v>
      </c>
      <c r="L196" s="1699">
        <f>SUM(L194,L195)</f>
        <v>105000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30000</v>
      </c>
    </row>
    <row r="210" spans="1:14" ht="12.75" customHeight="1" thickTop="1" thickBot="1" x14ac:dyDescent="0.25">
      <c r="A210" s="1714" t="s">
        <v>295</v>
      </c>
      <c r="B210" s="1715"/>
      <c r="C210" s="1692">
        <f>SUM(C184,C185)</f>
        <v>171793</v>
      </c>
      <c r="D210" s="1692">
        <f>SUM(D184,D185)</f>
        <v>2514</v>
      </c>
      <c r="E210" s="1692">
        <f>SUM(E184,E185,E196)</f>
        <v>186062</v>
      </c>
      <c r="F210" s="1692">
        <f>SUM(F184,F185)</f>
        <v>75186</v>
      </c>
      <c r="G210" s="1692">
        <f>SUM(G184,G185)</f>
        <v>0</v>
      </c>
      <c r="H210" s="1692">
        <f>SUM(H184,H185,H196,H208,H209)</f>
        <v>154</v>
      </c>
      <c r="I210" s="1692">
        <f>SUM(I184,I185)</f>
        <v>0</v>
      </c>
      <c r="J210" s="1692">
        <f>SUM(J184,J185)</f>
        <v>0</v>
      </c>
      <c r="K210" s="1693">
        <f>SUM(K184,K185,K196,K208,K209)</f>
        <v>435709</v>
      </c>
      <c r="L210" s="1692">
        <f>SUM(L184,L185,L196,L208,L209)</f>
        <v>550920</v>
      </c>
    </row>
    <row r="211" spans="1:14" ht="13.5" thickTop="1" x14ac:dyDescent="0.2">
      <c r="A211" s="2200" t="s">
        <v>1053</v>
      </c>
      <c r="B211" s="2201"/>
      <c r="C211" s="619"/>
      <c r="D211" s="619"/>
      <c r="E211" s="619"/>
      <c r="F211" s="619"/>
      <c r="G211" s="619"/>
      <c r="H211" s="619"/>
      <c r="I211" s="617"/>
      <c r="J211" s="617"/>
      <c r="K211" s="1706">
        <f>'Revenues 9-14'!F275-'Expenditures 15-22'!K210</f>
        <v>58350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34758</v>
      </c>
      <c r="E215" s="617"/>
      <c r="F215" s="617"/>
      <c r="G215" s="617"/>
      <c r="H215" s="617"/>
      <c r="I215" s="617"/>
      <c r="J215" s="617"/>
      <c r="K215" s="1693">
        <f>D215</f>
        <v>34758</v>
      </c>
      <c r="L215" s="466">
        <v>30800</v>
      </c>
    </row>
    <row r="216" spans="1:14" x14ac:dyDescent="0.2">
      <c r="A216" s="1526" t="s">
        <v>165</v>
      </c>
      <c r="B216" s="615" t="s">
        <v>1024</v>
      </c>
      <c r="C216" s="617"/>
      <c r="D216" s="467">
        <v>2684</v>
      </c>
      <c r="E216" s="617"/>
      <c r="F216" s="617"/>
      <c r="G216" s="617"/>
      <c r="H216" s="617"/>
      <c r="I216" s="617"/>
      <c r="J216" s="617"/>
      <c r="K216" s="1693">
        <f t="shared" ref="K216:K228" si="19">D216</f>
        <v>2684</v>
      </c>
      <c r="L216" s="466">
        <v>13600</v>
      </c>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6154</v>
      </c>
      <c r="E219" s="617"/>
      <c r="F219" s="617"/>
      <c r="G219" s="617"/>
      <c r="H219" s="617"/>
      <c r="I219" s="617"/>
      <c r="J219" s="617"/>
      <c r="K219" s="1693">
        <f t="shared" si="19"/>
        <v>6154</v>
      </c>
      <c r="L219" s="466">
        <v>6900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1627</v>
      </c>
      <c r="E222" s="617"/>
      <c r="F222" s="617"/>
      <c r="G222" s="617"/>
      <c r="H222" s="617"/>
      <c r="I222" s="617"/>
      <c r="J222" s="617"/>
      <c r="K222" s="1693">
        <f t="shared" si="19"/>
        <v>1627</v>
      </c>
      <c r="L222" s="466">
        <v>2200</v>
      </c>
    </row>
    <row r="223" spans="1:14" x14ac:dyDescent="0.2">
      <c r="A223" s="1526" t="s">
        <v>1020</v>
      </c>
      <c r="B223" s="615">
        <v>1500</v>
      </c>
      <c r="C223" s="617"/>
      <c r="D223" s="466">
        <v>7681</v>
      </c>
      <c r="E223" s="617"/>
      <c r="F223" s="617"/>
      <c r="G223" s="617"/>
      <c r="H223" s="617"/>
      <c r="I223" s="617"/>
      <c r="J223" s="617"/>
      <c r="K223" s="1693">
        <f t="shared" si="19"/>
        <v>7681</v>
      </c>
      <c r="L223" s="466">
        <v>5100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198</v>
      </c>
      <c r="E226" s="617"/>
      <c r="F226" s="617"/>
      <c r="G226" s="617"/>
      <c r="H226" s="617"/>
      <c r="I226" s="617"/>
      <c r="J226" s="617"/>
      <c r="K226" s="1693">
        <f t="shared" si="19"/>
        <v>198</v>
      </c>
      <c r="L226" s="466">
        <v>250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53102</v>
      </c>
      <c r="E229" s="617"/>
      <c r="F229" s="617"/>
      <c r="G229" s="617"/>
      <c r="H229" s="617"/>
      <c r="I229" s="617"/>
      <c r="J229" s="617"/>
      <c r="K229" s="1692">
        <f>SUM(K215:K228)</f>
        <v>53102</v>
      </c>
      <c r="L229" s="1692">
        <f>SUM(L215:L228)</f>
        <v>58850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1040</v>
      </c>
      <c r="E233" s="617"/>
      <c r="F233" s="617"/>
      <c r="G233" s="617"/>
      <c r="H233" s="617"/>
      <c r="I233" s="617"/>
      <c r="J233" s="617"/>
      <c r="K233" s="1693">
        <f t="shared" si="20"/>
        <v>1040</v>
      </c>
      <c r="L233" s="466">
        <v>1200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1040</v>
      </c>
      <c r="E238" s="617"/>
      <c r="F238" s="617"/>
      <c r="G238" s="617"/>
      <c r="H238" s="617"/>
      <c r="I238" s="617"/>
      <c r="J238" s="617"/>
      <c r="K238" s="1692">
        <f>SUM(K232:K237)</f>
        <v>1040</v>
      </c>
      <c r="L238" s="1692">
        <f>SUM(L232:L237)</f>
        <v>1200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53</v>
      </c>
      <c r="E240" s="617"/>
      <c r="F240" s="617"/>
      <c r="G240" s="617"/>
      <c r="H240" s="617"/>
      <c r="I240" s="617"/>
      <c r="J240" s="617"/>
      <c r="K240" s="1694">
        <f>D240</f>
        <v>53</v>
      </c>
      <c r="L240" s="481">
        <v>150</v>
      </c>
    </row>
    <row r="241" spans="1:12" x14ac:dyDescent="0.2">
      <c r="A241" s="1526" t="s">
        <v>869</v>
      </c>
      <c r="B241" s="615">
        <v>2220</v>
      </c>
      <c r="C241" s="617"/>
      <c r="D241" s="466">
        <v>2690</v>
      </c>
      <c r="E241" s="617"/>
      <c r="F241" s="617"/>
      <c r="G241" s="617"/>
      <c r="H241" s="617"/>
      <c r="I241" s="617"/>
      <c r="J241" s="617"/>
      <c r="K241" s="1694">
        <f>D241</f>
        <v>2690</v>
      </c>
      <c r="L241" s="466">
        <v>3000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2743</v>
      </c>
      <c r="E243" s="617"/>
      <c r="F243" s="617"/>
      <c r="G243" s="617"/>
      <c r="H243" s="617"/>
      <c r="I243" s="617"/>
      <c r="J243" s="617"/>
      <c r="K243" s="1692">
        <f>SUM(K240:K242)</f>
        <v>2743</v>
      </c>
      <c r="L243" s="1692">
        <f>SUM(L240:L242)</f>
        <v>3150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7899</v>
      </c>
      <c r="E246" s="617"/>
      <c r="F246" s="617"/>
      <c r="G246" s="617"/>
      <c r="H246" s="617"/>
      <c r="I246" s="617"/>
      <c r="J246" s="617"/>
      <c r="K246" s="1694">
        <f t="shared" ref="K246:K256" si="21">D246</f>
        <v>7899</v>
      </c>
      <c r="L246" s="466">
        <v>7900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24220</v>
      </c>
      <c r="E254" s="617"/>
      <c r="F254" s="617"/>
      <c r="G254" s="617"/>
      <c r="H254" s="617"/>
      <c r="I254" s="617"/>
      <c r="J254" s="617"/>
      <c r="K254" s="1694">
        <f t="shared" si="21"/>
        <v>24220</v>
      </c>
      <c r="L254" s="466">
        <v>23950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32119</v>
      </c>
      <c r="E257" s="617"/>
      <c r="F257" s="617"/>
      <c r="G257" s="617"/>
      <c r="H257" s="617"/>
      <c r="I257" s="617"/>
      <c r="J257" s="617"/>
      <c r="K257" s="1692">
        <f>SUM(K245:K256)</f>
        <v>32119</v>
      </c>
      <c r="L257" s="1692">
        <f>SUM(L245:L256)</f>
        <v>31850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11880</v>
      </c>
      <c r="E259" s="617"/>
      <c r="F259" s="617"/>
      <c r="G259" s="617"/>
      <c r="H259" s="617"/>
      <c r="I259" s="617"/>
      <c r="J259" s="617"/>
      <c r="K259" s="1694">
        <f>D259</f>
        <v>11880</v>
      </c>
      <c r="L259" s="481">
        <v>15200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11880</v>
      </c>
      <c r="E261" s="617"/>
      <c r="F261" s="617"/>
      <c r="G261" s="617"/>
      <c r="H261" s="617"/>
      <c r="I261" s="617"/>
      <c r="J261" s="617"/>
      <c r="K261" s="1692">
        <f>SUM(K259:K260)</f>
        <v>11880</v>
      </c>
      <c r="L261" s="1692">
        <f>SUM(L259:L260)</f>
        <v>15200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4372</v>
      </c>
      <c r="E263" s="617"/>
      <c r="F263" s="617"/>
      <c r="G263" s="617"/>
      <c r="H263" s="617"/>
      <c r="I263" s="617"/>
      <c r="J263" s="617"/>
      <c r="K263" s="1694">
        <f>D263</f>
        <v>4372</v>
      </c>
      <c r="L263" s="481">
        <v>4580</v>
      </c>
    </row>
    <row r="264" spans="1:14" x14ac:dyDescent="0.2">
      <c r="A264" s="1526" t="s">
        <v>483</v>
      </c>
      <c r="B264" s="686">
        <v>2520</v>
      </c>
      <c r="C264" s="617"/>
      <c r="D264" s="466">
        <v>5016</v>
      </c>
      <c r="E264" s="617"/>
      <c r="F264" s="617"/>
      <c r="G264" s="617"/>
      <c r="H264" s="617"/>
      <c r="I264" s="617"/>
      <c r="J264" s="617"/>
      <c r="K264" s="1694">
        <f t="shared" ref="K264:K269" si="22">D264</f>
        <v>5016</v>
      </c>
      <c r="L264" s="466">
        <v>5100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36125</v>
      </c>
      <c r="E266" s="617"/>
      <c r="F266" s="617"/>
      <c r="G266" s="617"/>
      <c r="H266" s="617"/>
      <c r="I266" s="617"/>
      <c r="J266" s="617"/>
      <c r="K266" s="1694">
        <f t="shared" si="22"/>
        <v>36125</v>
      </c>
      <c r="L266" s="466">
        <v>27150</v>
      </c>
    </row>
    <row r="267" spans="1:14" x14ac:dyDescent="0.2">
      <c r="A267" s="1526" t="s">
        <v>1010</v>
      </c>
      <c r="B267" s="615">
        <v>2550</v>
      </c>
      <c r="C267" s="617"/>
      <c r="D267" s="466">
        <v>13822</v>
      </c>
      <c r="E267" s="617"/>
      <c r="F267" s="617"/>
      <c r="G267" s="617"/>
      <c r="H267" s="617"/>
      <c r="I267" s="617"/>
      <c r="J267" s="617"/>
      <c r="K267" s="1694">
        <f t="shared" si="22"/>
        <v>13822</v>
      </c>
      <c r="L267" s="466">
        <v>13550</v>
      </c>
    </row>
    <row r="268" spans="1:14" x14ac:dyDescent="0.2">
      <c r="A268" s="1526" t="s">
        <v>102</v>
      </c>
      <c r="B268" s="615">
        <v>2560</v>
      </c>
      <c r="C268" s="617"/>
      <c r="D268" s="466">
        <v>11963</v>
      </c>
      <c r="E268" s="617"/>
      <c r="F268" s="617"/>
      <c r="G268" s="617"/>
      <c r="H268" s="617"/>
      <c r="I268" s="617"/>
      <c r="J268" s="617"/>
      <c r="K268" s="1694">
        <f t="shared" si="22"/>
        <v>11963</v>
      </c>
      <c r="L268" s="466">
        <v>12100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71298</v>
      </c>
      <c r="E270" s="617"/>
      <c r="F270" s="617"/>
      <c r="G270" s="617"/>
      <c r="H270" s="617"/>
      <c r="I270" s="617"/>
      <c r="J270" s="617"/>
      <c r="K270" s="1692">
        <f>SUM(K263:K269)</f>
        <v>71298</v>
      </c>
      <c r="L270" s="1692">
        <f>SUM(L263:L269)</f>
        <v>62480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10584</v>
      </c>
      <c r="E276" s="617"/>
      <c r="F276" s="617"/>
      <c r="G276" s="617"/>
      <c r="H276" s="617"/>
      <c r="I276" s="617"/>
      <c r="J276" s="617"/>
      <c r="K276" s="1694">
        <f>D276</f>
        <v>10584</v>
      </c>
      <c r="L276" s="466">
        <v>9400</v>
      </c>
    </row>
    <row r="277" spans="1:12" ht="12.75" customHeight="1" thickBot="1" x14ac:dyDescent="0.25">
      <c r="A277" s="1713" t="s">
        <v>37</v>
      </c>
      <c r="B277" s="1691" t="s">
        <v>36</v>
      </c>
      <c r="C277" s="617"/>
      <c r="D277" s="1692">
        <f>SUM(D272:D276)</f>
        <v>10584</v>
      </c>
      <c r="E277" s="617"/>
      <c r="F277" s="617"/>
      <c r="G277" s="617"/>
      <c r="H277" s="617"/>
      <c r="I277" s="617"/>
      <c r="J277" s="617"/>
      <c r="K277" s="1692">
        <f>SUM(K272:K276)</f>
        <v>10584</v>
      </c>
      <c r="L277" s="1692">
        <f>SUM(L272:L276)</f>
        <v>9400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129664</v>
      </c>
      <c r="E279" s="617"/>
      <c r="F279" s="617"/>
      <c r="G279" s="617"/>
      <c r="H279" s="617"/>
      <c r="I279" s="617"/>
      <c r="J279" s="617"/>
      <c r="K279" s="1699">
        <f>SUM(K238,K243,K257,K261,K270,K277,K278)</f>
        <v>129664</v>
      </c>
      <c r="L279" s="1699">
        <f>SUM(L238,L243,L257,L261,L270,L277,L278)</f>
        <v>123280</v>
      </c>
    </row>
    <row r="280" spans="1:12" ht="15.75" customHeight="1" thickTop="1" thickBot="1" x14ac:dyDescent="0.25">
      <c r="A280" s="1646" t="s">
        <v>930</v>
      </c>
      <c r="B280" s="1635">
        <v>3000</v>
      </c>
      <c r="C280" s="617"/>
      <c r="D280" s="576">
        <v>4279</v>
      </c>
      <c r="E280" s="617"/>
      <c r="F280" s="617"/>
      <c r="G280" s="617"/>
      <c r="H280" s="617"/>
      <c r="I280" s="617"/>
      <c r="J280" s="617"/>
      <c r="K280" s="1701">
        <f>D280</f>
        <v>4279</v>
      </c>
      <c r="L280" s="576">
        <v>4200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20000</v>
      </c>
    </row>
    <row r="295" spans="1:14" ht="12.75" customHeight="1" thickTop="1" thickBot="1" x14ac:dyDescent="0.25">
      <c r="A295" s="2191" t="s">
        <v>526</v>
      </c>
      <c r="B295" s="2192"/>
      <c r="C295" s="617"/>
      <c r="D295" s="1692">
        <f>SUM(D229,D279,D280,D285)</f>
        <v>187045</v>
      </c>
      <c r="E295" s="617"/>
      <c r="F295" s="617"/>
      <c r="G295" s="617"/>
      <c r="H295" s="1692">
        <f>H293</f>
        <v>0</v>
      </c>
      <c r="I295" s="617"/>
      <c r="J295" s="617"/>
      <c r="K295" s="1692">
        <f>SUM(K229,K279,K280,K285,K293,K294)</f>
        <v>187045</v>
      </c>
      <c r="L295" s="1692">
        <f>SUM(L229,L279,L280,L285,L293,L294)</f>
        <v>206330</v>
      </c>
    </row>
    <row r="296" spans="1:14" ht="13.5" thickTop="1" x14ac:dyDescent="0.2">
      <c r="A296" s="2200" t="s">
        <v>1053</v>
      </c>
      <c r="B296" s="2201"/>
      <c r="C296" s="617"/>
      <c r="D296" s="619"/>
      <c r="E296" s="617"/>
      <c r="F296" s="617"/>
      <c r="G296" s="617"/>
      <c r="H296" s="688"/>
      <c r="I296" s="617"/>
      <c r="J296" s="617"/>
      <c r="K296" s="1706">
        <f>'Revenues 9-14'!G275-'Expenditures 15-22'!K295</f>
        <v>38755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3903604</v>
      </c>
      <c r="H301" s="466"/>
      <c r="I301" s="467"/>
      <c r="J301" s="467"/>
      <c r="K301" s="1693">
        <f>SUM(C301:J301)</f>
        <v>3903604</v>
      </c>
      <c r="L301" s="467">
        <v>1800000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3903604</v>
      </c>
      <c r="H303" s="1699">
        <f t="shared" si="23"/>
        <v>0</v>
      </c>
      <c r="I303" s="1699">
        <f t="shared" si="23"/>
        <v>0</v>
      </c>
      <c r="J303" s="1699">
        <f t="shared" si="23"/>
        <v>0</v>
      </c>
      <c r="K303" s="1699">
        <f t="shared" si="23"/>
        <v>3903604</v>
      </c>
      <c r="L303" s="1699">
        <f t="shared" si="23"/>
        <v>1800000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3903604</v>
      </c>
      <c r="H312" s="1692">
        <f>SUM(H303,H310)</f>
        <v>0</v>
      </c>
      <c r="I312" s="1692">
        <f>SUM(I303)</f>
        <v>0</v>
      </c>
      <c r="J312" s="1692">
        <f>SUM(J303)</f>
        <v>0</v>
      </c>
      <c r="K312" s="1692">
        <f>SUM(K303,K310,K311)</f>
        <v>3903604</v>
      </c>
      <c r="L312" s="1692">
        <f>SUM(L303,L310,L311)</f>
        <v>1800000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-3897912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133749</v>
      </c>
      <c r="F322" s="467"/>
      <c r="G322" s="467"/>
      <c r="H322" s="467"/>
      <c r="I322" s="467"/>
      <c r="J322" s="467"/>
      <c r="K322" s="1693">
        <f t="shared" si="24"/>
        <v>133749</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335454</v>
      </c>
      <c r="D325" s="467">
        <v>63782</v>
      </c>
      <c r="E325" s="467">
        <v>49269</v>
      </c>
      <c r="F325" s="467">
        <v>46951</v>
      </c>
      <c r="G325" s="467">
        <v>7090</v>
      </c>
      <c r="H325" s="467"/>
      <c r="I325" s="467"/>
      <c r="J325" s="467"/>
      <c r="K325" s="1693">
        <f t="shared" si="24"/>
        <v>502546</v>
      </c>
      <c r="L325" s="467">
        <v>574450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335454</v>
      </c>
      <c r="D330" s="1692">
        <f t="shared" ref="D330:J330" si="25">SUM(D319:D329)</f>
        <v>63782</v>
      </c>
      <c r="E330" s="1692">
        <f t="shared" si="25"/>
        <v>183018</v>
      </c>
      <c r="F330" s="1692">
        <f t="shared" si="25"/>
        <v>46951</v>
      </c>
      <c r="G330" s="1692">
        <f t="shared" si="25"/>
        <v>7090</v>
      </c>
      <c r="H330" s="1692">
        <f t="shared" si="25"/>
        <v>0</v>
      </c>
      <c r="I330" s="1692">
        <f t="shared" si="25"/>
        <v>0</v>
      </c>
      <c r="J330" s="1692">
        <f t="shared" si="25"/>
        <v>0</v>
      </c>
      <c r="K330" s="1692">
        <f>SUM(K319:K329)</f>
        <v>636295</v>
      </c>
      <c r="L330" s="1692">
        <f>SUM(L319:L329)</f>
        <v>574450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25000</v>
      </c>
    </row>
    <row r="342" spans="1:14" ht="12.75" customHeight="1" thickTop="1" thickBot="1" x14ac:dyDescent="0.25">
      <c r="A342" s="1708" t="s">
        <v>526</v>
      </c>
      <c r="B342" s="1723"/>
      <c r="C342" s="1692">
        <f>SUM(C330)</f>
        <v>335454</v>
      </c>
      <c r="D342" s="1692">
        <f>SUM(D330)</f>
        <v>63782</v>
      </c>
      <c r="E342" s="1692">
        <f>SUM(E330)</f>
        <v>183018</v>
      </c>
      <c r="F342" s="1692">
        <f>SUM(F330)</f>
        <v>46951</v>
      </c>
      <c r="G342" s="1692">
        <f>SUM(G330)</f>
        <v>7090</v>
      </c>
      <c r="H342" s="1692">
        <f>SUM(H330,H334,H340)</f>
        <v>0</v>
      </c>
      <c r="I342" s="1692">
        <f>SUM(I330)</f>
        <v>0</v>
      </c>
      <c r="J342" s="1692">
        <f>SUM(J330)</f>
        <v>0</v>
      </c>
      <c r="K342" s="1692">
        <f>SUM(K330,K334,K340)</f>
        <v>636295</v>
      </c>
      <c r="L342" s="1699">
        <f>SUM(L330,L340,L341)</f>
        <v>599450</v>
      </c>
    </row>
    <row r="343" spans="1:14" ht="12.75" customHeight="1" thickTop="1" x14ac:dyDescent="0.2">
      <c r="A343" s="2186" t="s">
        <v>1053</v>
      </c>
      <c r="B343" s="2187"/>
      <c r="C343" s="617"/>
      <c r="D343" s="617"/>
      <c r="E343" s="617"/>
      <c r="F343" s="617"/>
      <c r="G343" s="617"/>
      <c r="H343" s="617"/>
      <c r="I343" s="617"/>
      <c r="J343" s="617"/>
      <c r="K343" s="1706">
        <f>'Revenues 9-14'!J275-'Expenditures 15-22'!K342</f>
        <v>67855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v>550000</v>
      </c>
      <c r="H349" s="466"/>
      <c r="I349" s="467"/>
      <c r="J349" s="467"/>
      <c r="K349" s="1693">
        <f>SUM(C349:J349)</f>
        <v>550000</v>
      </c>
      <c r="L349" s="466">
        <v>550000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550000</v>
      </c>
      <c r="H350" s="1692">
        <f t="shared" si="26"/>
        <v>0</v>
      </c>
      <c r="I350" s="1692">
        <f t="shared" si="26"/>
        <v>0</v>
      </c>
      <c r="J350" s="1692">
        <f t="shared" si="26"/>
        <v>0</v>
      </c>
      <c r="K350" s="1692">
        <f t="shared" si="26"/>
        <v>550000</v>
      </c>
      <c r="L350" s="1692">
        <f t="shared" si="26"/>
        <v>550000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550000</v>
      </c>
      <c r="H352" s="1692">
        <f t="shared" si="27"/>
        <v>0</v>
      </c>
      <c r="I352" s="1692">
        <f t="shared" si="27"/>
        <v>0</v>
      </c>
      <c r="J352" s="1692">
        <f t="shared" si="27"/>
        <v>0</v>
      </c>
      <c r="K352" s="1692">
        <f t="shared" si="27"/>
        <v>550000</v>
      </c>
      <c r="L352" s="1692">
        <f t="shared" si="27"/>
        <v>550000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550000</v>
      </c>
      <c r="H367" s="1692">
        <f t="shared" si="28"/>
        <v>0</v>
      </c>
      <c r="I367" s="1692">
        <f t="shared" si="28"/>
        <v>0</v>
      </c>
      <c r="J367" s="1692">
        <f t="shared" si="28"/>
        <v>0</v>
      </c>
      <c r="K367" s="1692">
        <f t="shared" si="28"/>
        <v>550000</v>
      </c>
      <c r="L367" s="1692">
        <f t="shared" si="28"/>
        <v>550000</v>
      </c>
    </row>
    <row r="368" spans="1:14" ht="13.5" thickTop="1" x14ac:dyDescent="0.2">
      <c r="A368" s="2200" t="s">
        <v>1053</v>
      </c>
      <c r="B368" s="2201"/>
      <c r="C368" s="655"/>
      <c r="D368" s="655"/>
      <c r="E368" s="627"/>
      <c r="F368" s="627"/>
      <c r="G368" s="627"/>
      <c r="H368" s="627"/>
      <c r="I368" s="627"/>
      <c r="J368" s="624"/>
      <c r="K368" s="1693">
        <f>'Revenues 9-14'!K275-'Expenditures 15-22'!K367</f>
        <v>-506503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2615232</v>
      </c>
      <c r="C4" s="1546"/>
      <c r="D4" s="1774">
        <f>B4-C4</f>
        <v>2615232</v>
      </c>
      <c r="E4" s="1546">
        <v>2711235</v>
      </c>
      <c r="F4" s="1774">
        <f>E4-C4</f>
        <v>2711235</v>
      </c>
    </row>
    <row r="5" spans="1:6" ht="13.7" customHeight="1" x14ac:dyDescent="0.2">
      <c r="A5" s="716" t="s">
        <v>925</v>
      </c>
      <c r="B5" s="1772">
        <f>'Revenues 9-14'!D5</f>
        <v>614867</v>
      </c>
      <c r="C5" s="585"/>
      <c r="D5" s="1775">
        <f t="shared" ref="D5:D18" si="0">B5-C5</f>
        <v>614867</v>
      </c>
      <c r="E5" s="585">
        <v>637438</v>
      </c>
      <c r="F5" s="1775">
        <f>E5-C5</f>
        <v>637438</v>
      </c>
    </row>
    <row r="6" spans="1:6" ht="13.7" customHeight="1" x14ac:dyDescent="0.2">
      <c r="A6" s="716" t="s">
        <v>431</v>
      </c>
      <c r="B6" s="1772">
        <f>'Revenues 9-14'!E5</f>
        <v>1096795</v>
      </c>
      <c r="C6" s="585"/>
      <c r="D6" s="1775">
        <f t="shared" si="0"/>
        <v>1096795</v>
      </c>
      <c r="E6" s="585">
        <v>1115023</v>
      </c>
      <c r="F6" s="1775">
        <f t="shared" ref="F6:F18" si="1">E6-C6</f>
        <v>1115023</v>
      </c>
    </row>
    <row r="7" spans="1:6" ht="13.7" customHeight="1" x14ac:dyDescent="0.2">
      <c r="A7" s="716" t="s">
        <v>157</v>
      </c>
      <c r="B7" s="1772">
        <f>'Revenues 9-14'!F5</f>
        <v>196759</v>
      </c>
      <c r="C7" s="585"/>
      <c r="D7" s="1775">
        <f t="shared" si="0"/>
        <v>196759</v>
      </c>
      <c r="E7" s="585">
        <v>203980</v>
      </c>
      <c r="F7" s="1775">
        <f t="shared" si="1"/>
        <v>203980</v>
      </c>
    </row>
    <row r="8" spans="1:6" ht="13.7" customHeight="1" x14ac:dyDescent="0.2">
      <c r="A8" s="716" t="s">
        <v>1241</v>
      </c>
      <c r="B8" s="1772">
        <f>'Revenues 9-14'!G5</f>
        <v>82755</v>
      </c>
      <c r="C8" s="585"/>
      <c r="D8" s="1775">
        <f t="shared" si="0"/>
        <v>82755</v>
      </c>
      <c r="E8" s="585">
        <v>86046</v>
      </c>
      <c r="F8" s="1775">
        <f t="shared" si="1"/>
        <v>86046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40991</v>
      </c>
      <c r="C10" s="585"/>
      <c r="D10" s="1775">
        <f t="shared" si="0"/>
        <v>40991</v>
      </c>
      <c r="E10" s="585">
        <v>42496</v>
      </c>
      <c r="F10" s="1775">
        <f t="shared" si="1"/>
        <v>42496</v>
      </c>
    </row>
    <row r="11" spans="1:6" x14ac:dyDescent="0.2">
      <c r="A11" s="716" t="s">
        <v>429</v>
      </c>
      <c r="B11" s="1772">
        <f>'Revenues 9-14'!J5</f>
        <v>695101</v>
      </c>
      <c r="C11" s="585"/>
      <c r="D11" s="1775">
        <f t="shared" si="0"/>
        <v>695101</v>
      </c>
      <c r="E11" s="585">
        <v>722761</v>
      </c>
      <c r="F11" s="1775">
        <f t="shared" si="1"/>
        <v>722761</v>
      </c>
    </row>
    <row r="12" spans="1:6" ht="13.7" customHeight="1" x14ac:dyDescent="0.2">
      <c r="A12" s="716" t="s">
        <v>159</v>
      </c>
      <c r="B12" s="1772">
        <f>'Revenues 9-14'!K5</f>
        <v>40991</v>
      </c>
      <c r="C12" s="585"/>
      <c r="D12" s="1775">
        <f t="shared" si="0"/>
        <v>40991</v>
      </c>
      <c r="E12" s="585">
        <v>42496</v>
      </c>
      <c r="F12" s="1775">
        <f t="shared" si="1"/>
        <v>42496</v>
      </c>
    </row>
    <row r="13" spans="1:6" ht="13.7" customHeight="1" x14ac:dyDescent="0.2">
      <c r="A13" s="716" t="s">
        <v>993</v>
      </c>
      <c r="B13" s="1772">
        <f>SUM('Revenues 9-14'!C6:D6)</f>
        <v>40991</v>
      </c>
      <c r="C13" s="585"/>
      <c r="D13" s="1775">
        <f t="shared" si="0"/>
        <v>40991</v>
      </c>
      <c r="E13" s="585">
        <v>42496</v>
      </c>
      <c r="F13" s="1775">
        <f t="shared" si="1"/>
        <v>42496</v>
      </c>
    </row>
    <row r="14" spans="1:6" ht="13.7" customHeight="1" x14ac:dyDescent="0.2">
      <c r="A14" s="716" t="s">
        <v>430</v>
      </c>
      <c r="B14" s="1772">
        <f>SUM('Revenues 9-14'!C7:D7,'Revenues 9-14'!F7:H7)</f>
        <v>32790</v>
      </c>
      <c r="C14" s="585"/>
      <c r="D14" s="1775">
        <f t="shared" si="0"/>
        <v>32790</v>
      </c>
      <c r="E14" s="585">
        <v>33997</v>
      </c>
      <c r="F14" s="1775">
        <f t="shared" si="1"/>
        <v>33997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132403</v>
      </c>
      <c r="C16" s="585"/>
      <c r="D16" s="1775">
        <f t="shared" si="0"/>
        <v>132403</v>
      </c>
      <c r="E16" s="585">
        <v>137670</v>
      </c>
      <c r="F16" s="1775">
        <f t="shared" si="1"/>
        <v>137670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5589675</v>
      </c>
      <c r="C19" s="1773">
        <f>SUM(C4:C18)</f>
        <v>0</v>
      </c>
      <c r="D19" s="1773">
        <f>SUM(D4:D18)</f>
        <v>5589675</v>
      </c>
      <c r="E19" s="1773">
        <f>SUM(E4:E18)</f>
        <v>5775638</v>
      </c>
      <c r="F19" s="1773">
        <f>SUM(F4:F18)</f>
        <v>5775638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38718</v>
      </c>
      <c r="C31" s="735">
        <v>520000</v>
      </c>
      <c r="D31" s="736">
        <v>4</v>
      </c>
      <c r="E31" s="735">
        <v>185000</v>
      </c>
      <c r="F31" s="735"/>
      <c r="G31" s="735"/>
      <c r="H31" s="735">
        <v>45000</v>
      </c>
      <c r="I31" s="1778">
        <f>((E31+F31)-H31)+G31</f>
        <v>140000</v>
      </c>
      <c r="J31" s="735">
        <v>127512</v>
      </c>
      <c r="K31" s="737"/>
    </row>
    <row r="32" spans="1:11" ht="12" customHeight="1" x14ac:dyDescent="0.2">
      <c r="A32" s="733" t="s">
        <v>2096</v>
      </c>
      <c r="B32" s="734">
        <v>38687</v>
      </c>
      <c r="C32" s="735">
        <v>1579000</v>
      </c>
      <c r="D32" s="736">
        <v>7</v>
      </c>
      <c r="E32" s="735">
        <v>563430</v>
      </c>
      <c r="F32" s="735"/>
      <c r="G32" s="735"/>
      <c r="H32" s="735">
        <v>92525</v>
      </c>
      <c r="I32" s="1778">
        <f>((E32+F32)-H32)+G32</f>
        <v>470905</v>
      </c>
      <c r="J32" s="735">
        <v>470905</v>
      </c>
      <c r="K32" s="737"/>
    </row>
    <row r="33" spans="1:11" ht="12" customHeight="1" x14ac:dyDescent="0.2">
      <c r="A33" s="733" t="s">
        <v>2098</v>
      </c>
      <c r="B33" s="734">
        <v>42186</v>
      </c>
      <c r="C33" s="735">
        <v>9155000</v>
      </c>
      <c r="D33" s="736">
        <v>6</v>
      </c>
      <c r="E33" s="735">
        <v>9155000</v>
      </c>
      <c r="F33" s="735"/>
      <c r="G33" s="735"/>
      <c r="H33" s="735"/>
      <c r="I33" s="1778">
        <f t="shared" ref="I33:I48" si="1">((E33+F33)-H33)+G33</f>
        <v>9155000</v>
      </c>
      <c r="J33" s="735">
        <v>9155000</v>
      </c>
      <c r="K33" s="737"/>
    </row>
    <row r="34" spans="1:11" ht="12" customHeight="1" x14ac:dyDescent="0.2">
      <c r="A34" s="733" t="s">
        <v>2099</v>
      </c>
      <c r="B34" s="734">
        <v>42453</v>
      </c>
      <c r="C34" s="735">
        <v>7940000</v>
      </c>
      <c r="D34" s="736">
        <v>6</v>
      </c>
      <c r="E34" s="735">
        <v>7940000</v>
      </c>
      <c r="F34" s="735"/>
      <c r="G34" s="735"/>
      <c r="H34" s="735">
        <v>215000</v>
      </c>
      <c r="I34" s="1778">
        <f t="shared" si="1"/>
        <v>7725000</v>
      </c>
      <c r="J34" s="735">
        <v>7725000</v>
      </c>
      <c r="K34" s="738"/>
    </row>
    <row r="35" spans="1:11" ht="12" customHeight="1" x14ac:dyDescent="0.2">
      <c r="A35" s="733" t="s">
        <v>2100</v>
      </c>
      <c r="B35" s="734">
        <v>42794</v>
      </c>
      <c r="C35" s="739">
        <v>500000</v>
      </c>
      <c r="D35" s="736">
        <v>6</v>
      </c>
      <c r="E35" s="739">
        <v>500000</v>
      </c>
      <c r="F35" s="739"/>
      <c r="G35" s="739"/>
      <c r="H35" s="739"/>
      <c r="I35" s="1778">
        <f t="shared" si="1"/>
        <v>500000</v>
      </c>
      <c r="J35" s="739">
        <v>500000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19694000</v>
      </c>
      <c r="D49" s="746"/>
      <c r="E49" s="1778">
        <f t="shared" ref="E49:J49" si="2">SUM(E31:E48)</f>
        <v>18343430</v>
      </c>
      <c r="F49" s="1778">
        <f t="shared" si="2"/>
        <v>0</v>
      </c>
      <c r="G49" s="1778">
        <f t="shared" si="2"/>
        <v>0</v>
      </c>
      <c r="H49" s="1778">
        <f t="shared" si="2"/>
        <v>352525</v>
      </c>
      <c r="I49" s="1778">
        <f t="shared" si="2"/>
        <v>17990905</v>
      </c>
      <c r="J49" s="1778">
        <f t="shared" si="2"/>
        <v>17978417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2097</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32790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8209</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32790</v>
      </c>
      <c r="I12" s="1780">
        <f>SUM(I5:I11)</f>
        <v>0</v>
      </c>
      <c r="J12" s="1780">
        <f>SUM(J5:J11)</f>
        <v>0</v>
      </c>
      <c r="K12" s="1780">
        <f>SUM(K5:K11)</f>
        <v>8209</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32790</v>
      </c>
      <c r="I14" s="772"/>
      <c r="J14" s="774"/>
      <c r="K14" s="766">
        <v>8209</v>
      </c>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32790</v>
      </c>
      <c r="I23" s="1780">
        <f>SUM(I14:I16,I21,I22)</f>
        <v>0</v>
      </c>
      <c r="J23" s="1780">
        <f>SUM(J14:J16,J21,J22)</f>
        <v>0</v>
      </c>
      <c r="K23" s="1780">
        <f>SUM(K14:K16,K21,K22)</f>
        <v>8209</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47992</v>
      </c>
      <c r="D5" s="842"/>
      <c r="E5" s="842"/>
      <c r="F5" s="1782">
        <f>(C5+D5)-E5</f>
        <v>47992</v>
      </c>
      <c r="G5" s="838"/>
      <c r="H5" s="843"/>
      <c r="I5" s="843"/>
      <c r="J5" s="843"/>
      <c r="K5" s="794"/>
      <c r="L5" s="1791">
        <f>F5-K5</f>
        <v>47992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3027738</v>
      </c>
      <c r="D8" s="845">
        <v>17321849</v>
      </c>
      <c r="E8" s="845"/>
      <c r="F8" s="1782">
        <f>(C8+D8)-E8</f>
        <v>20349587</v>
      </c>
      <c r="G8" s="844">
        <v>50</v>
      </c>
      <c r="H8" s="766">
        <v>2238341</v>
      </c>
      <c r="I8" s="766">
        <v>406991</v>
      </c>
      <c r="J8" s="766"/>
      <c r="K8" s="1791">
        <f>(H8+I8)-J8</f>
        <v>2645332</v>
      </c>
      <c r="L8" s="1791">
        <f>F8-K8</f>
        <v>17704255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4428153</v>
      </c>
      <c r="D10" s="847">
        <v>79490</v>
      </c>
      <c r="E10" s="847"/>
      <c r="F10" s="1786">
        <f>(C10+D10)-E10</f>
        <v>4507643</v>
      </c>
      <c r="G10" s="844">
        <v>20</v>
      </c>
      <c r="H10" s="848">
        <v>2438678</v>
      </c>
      <c r="I10" s="848">
        <v>225382</v>
      </c>
      <c r="J10" s="848"/>
      <c r="K10" s="1791">
        <f>(H10+I10)-J10</f>
        <v>2664060</v>
      </c>
      <c r="L10" s="1791">
        <f>F10-K10</f>
        <v>1843583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2291521</v>
      </c>
      <c r="D12" s="845">
        <v>171918</v>
      </c>
      <c r="E12" s="845"/>
      <c r="F12" s="1782">
        <f>(C12+D12)-E12</f>
        <v>2463439</v>
      </c>
      <c r="G12" s="844">
        <v>10</v>
      </c>
      <c r="H12" s="766">
        <v>1801271</v>
      </c>
      <c r="I12" s="766">
        <v>105873</v>
      </c>
      <c r="J12" s="766"/>
      <c r="K12" s="1791">
        <f>(H12+I12)-J12</f>
        <v>1907144</v>
      </c>
      <c r="L12" s="1791">
        <f>F12-K12</f>
        <v>556295</v>
      </c>
    </row>
    <row r="13" spans="1:14" ht="14.25" thickTop="1" thickBot="1" x14ac:dyDescent="0.25">
      <c r="A13" s="849" t="s">
        <v>1184</v>
      </c>
      <c r="B13" s="841">
        <v>252</v>
      </c>
      <c r="C13" s="845">
        <v>737704</v>
      </c>
      <c r="D13" s="845"/>
      <c r="E13" s="845"/>
      <c r="F13" s="1782">
        <f>(C13+D13)-E13</f>
        <v>737704</v>
      </c>
      <c r="G13" s="844">
        <v>5</v>
      </c>
      <c r="H13" s="766">
        <v>571880</v>
      </c>
      <c r="I13" s="766">
        <v>98368</v>
      </c>
      <c r="J13" s="766">
        <v>250366</v>
      </c>
      <c r="K13" s="1791">
        <f>(H13+I13)-J13</f>
        <v>419882</v>
      </c>
      <c r="L13" s="1791">
        <f>F13-K13</f>
        <v>317822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12868245</v>
      </c>
      <c r="D15" s="845"/>
      <c r="E15" s="845">
        <v>12868245</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23401353</v>
      </c>
      <c r="D16" s="1782">
        <f>SUM(D3,D5:D6,D8:D10,D12:D15)</f>
        <v>17573257</v>
      </c>
      <c r="E16" s="1782">
        <f>SUM(E3,E5:E6,E8:E10,E12:E15)</f>
        <v>12868245</v>
      </c>
      <c r="F16" s="1782">
        <f>SUM(F3,F5:F6,F8:F10,F12:F15)</f>
        <v>28106365</v>
      </c>
      <c r="G16" s="844"/>
      <c r="H16" s="1782">
        <f>SUM(H3,H6,H8:H10,H12:H14,)</f>
        <v>7050170</v>
      </c>
      <c r="I16" s="1782">
        <f>SUM(I3,I6,I8:I10,I12:I14,)</f>
        <v>836614</v>
      </c>
      <c r="J16" s="1782">
        <f>SUM(J3,J6,J8:J10,J12:J14,)</f>
        <v>250366</v>
      </c>
      <c r="K16" s="1782">
        <f>(H16+I16)-J16</f>
        <v>7636418</v>
      </c>
      <c r="L16" s="1782">
        <f>F16-K16</f>
        <v>20469947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836614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5779441</v>
      </c>
      <c r="G8" s="866"/>
    </row>
    <row r="9" spans="1:7" x14ac:dyDescent="0.2">
      <c r="A9" s="870" t="s">
        <v>480</v>
      </c>
      <c r="B9" s="871" t="s">
        <v>1988</v>
      </c>
      <c r="C9" s="872"/>
      <c r="D9" s="870" t="s">
        <v>522</v>
      </c>
      <c r="E9" s="869"/>
      <c r="F9" s="1935">
        <f>'Expenditures 15-22'!K151</f>
        <v>885947</v>
      </c>
      <c r="G9" s="873"/>
    </row>
    <row r="10" spans="1:7" x14ac:dyDescent="0.2">
      <c r="A10" s="870" t="s">
        <v>520</v>
      </c>
      <c r="B10" s="871" t="s">
        <v>1989</v>
      </c>
      <c r="C10" s="872"/>
      <c r="D10" s="870" t="s">
        <v>522</v>
      </c>
      <c r="E10" s="869"/>
      <c r="F10" s="1935">
        <f>'Expenditures 15-22'!K174</f>
        <v>1092598</v>
      </c>
      <c r="G10" s="873"/>
    </row>
    <row r="11" spans="1:7" x14ac:dyDescent="0.2">
      <c r="A11" s="870" t="s">
        <v>481</v>
      </c>
      <c r="B11" s="871" t="s">
        <v>1990</v>
      </c>
      <c r="C11" s="872"/>
      <c r="D11" s="870" t="s">
        <v>522</v>
      </c>
      <c r="E11" s="869"/>
      <c r="F11" s="1935">
        <f>'Expenditures 15-22'!K210</f>
        <v>435709</v>
      </c>
      <c r="G11" s="873"/>
    </row>
    <row r="12" spans="1:7" x14ac:dyDescent="0.2">
      <c r="A12" s="870" t="s">
        <v>482</v>
      </c>
      <c r="B12" s="871" t="s">
        <v>1991</v>
      </c>
      <c r="C12" s="872"/>
      <c r="D12" s="870" t="s">
        <v>522</v>
      </c>
      <c r="E12" s="869"/>
      <c r="F12" s="1935">
        <f>'Expenditures 15-22'!K295</f>
        <v>187045</v>
      </c>
      <c r="G12" s="873"/>
    </row>
    <row r="13" spans="1:7" x14ac:dyDescent="0.2">
      <c r="A13" s="870" t="s">
        <v>108</v>
      </c>
      <c r="B13" s="871" t="s">
        <v>1992</v>
      </c>
      <c r="C13" s="872"/>
      <c r="D13" s="870" t="s">
        <v>522</v>
      </c>
      <c r="E13" s="869"/>
      <c r="F13" s="1935">
        <f>'Expenditures 15-22'!K342</f>
        <v>636295</v>
      </c>
      <c r="G13" s="874"/>
    </row>
    <row r="14" spans="1:7" ht="12" customHeight="1" thickBot="1" x14ac:dyDescent="0.25">
      <c r="A14" s="1792"/>
      <c r="B14" s="1793"/>
      <c r="C14" s="1794"/>
      <c r="D14" s="1795" t="s">
        <v>522</v>
      </c>
      <c r="E14" s="1796" t="s">
        <v>1015</v>
      </c>
      <c r="F14" s="1797">
        <f>SUM(F8:F13)</f>
        <v>9017035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114811</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32599</v>
      </c>
      <c r="G52" s="866"/>
    </row>
    <row r="53" spans="1:7" x14ac:dyDescent="0.2">
      <c r="A53" s="870" t="s">
        <v>479</v>
      </c>
      <c r="B53" s="870" t="s">
        <v>1551</v>
      </c>
      <c r="C53" s="890">
        <f>'Expenditures 15-22'!B102</f>
        <v>4000</v>
      </c>
      <c r="D53" s="889" t="str">
        <f>'Expenditures 15-22'!A102</f>
        <v>Total Payments to Other Govt Units</v>
      </c>
      <c r="E53" s="869"/>
      <c r="F53" s="1939">
        <f>'Expenditures 15-22'!K102</f>
        <v>1078464</v>
      </c>
      <c r="G53" s="866"/>
    </row>
    <row r="54" spans="1:7" x14ac:dyDescent="0.2">
      <c r="A54" s="870" t="s">
        <v>479</v>
      </c>
      <c r="B54" s="870" t="s">
        <v>1552</v>
      </c>
      <c r="C54" s="890" t="s">
        <v>1039</v>
      </c>
      <c r="D54" s="886" t="s">
        <v>1157</v>
      </c>
      <c r="E54" s="869"/>
      <c r="F54" s="1939">
        <f>'Expenditures 15-22'!G114</f>
        <v>164828</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79490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352525</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72382</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2684</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4279</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1902062</v>
      </c>
      <c r="G76" s="866"/>
    </row>
    <row r="77" spans="1:8" s="894" customFormat="1" ht="12" customHeight="1" thickTop="1" thickBot="1" x14ac:dyDescent="0.25">
      <c r="A77" s="1801"/>
      <c r="B77" s="1798"/>
      <c r="C77" s="1794"/>
      <c r="D77" s="1799" t="s">
        <v>2011</v>
      </c>
      <c r="E77" s="1796"/>
      <c r="F77" s="1802">
        <f>(F14-F76)</f>
        <v>7114973</v>
      </c>
      <c r="G77" s="870"/>
    </row>
    <row r="78" spans="1:8" s="894" customFormat="1" ht="12" customHeight="1" thickTop="1" x14ac:dyDescent="0.2">
      <c r="A78" s="1803"/>
      <c r="B78" s="1798"/>
      <c r="C78" s="1794"/>
      <c r="D78" s="1799" t="s">
        <v>2057</v>
      </c>
      <c r="E78" s="1796"/>
      <c r="F78" s="899">
        <v>512.03</v>
      </c>
      <c r="G78" s="900"/>
      <c r="H78" s="870"/>
    </row>
    <row r="79" spans="1:8" s="894" customFormat="1" ht="12" customHeight="1" thickBot="1" x14ac:dyDescent="0.25">
      <c r="A79" s="1804"/>
      <c r="B79" s="1798"/>
      <c r="C79" s="1794"/>
      <c r="D79" s="1799" t="s">
        <v>2012</v>
      </c>
      <c r="E79" s="1796" t="s">
        <v>1015</v>
      </c>
      <c r="F79" s="1805">
        <f>IF(F78&gt;0,F77/F78," Complete Line 78")</f>
        <v>13895.617444290374</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49724</v>
      </c>
      <c r="G94" s="913"/>
    </row>
    <row r="95" spans="1:7" x14ac:dyDescent="0.2">
      <c r="A95" s="909" t="s">
        <v>142</v>
      </c>
      <c r="B95" s="909" t="s">
        <v>177</v>
      </c>
      <c r="C95" s="911">
        <v>1700</v>
      </c>
      <c r="D95" s="919" t="str">
        <f>'Revenues 9-14'!A82</f>
        <v>Total District/School Activity Income</v>
      </c>
      <c r="E95" s="907"/>
      <c r="F95" s="1811">
        <f>SUM('Revenues 9-14'!C82,'Revenues 9-14'!D82)</f>
        <v>34461</v>
      </c>
      <c r="G95" s="913"/>
    </row>
    <row r="96" spans="1:7" x14ac:dyDescent="0.2">
      <c r="A96" s="909" t="s">
        <v>479</v>
      </c>
      <c r="B96" s="909" t="s">
        <v>178</v>
      </c>
      <c r="C96" s="911">
        <f>'Revenues 9-14'!B84</f>
        <v>1811</v>
      </c>
      <c r="D96" s="912" t="str">
        <f>'Revenues 9-14'!A84</f>
        <v>Rentals - Regular Textbooks</v>
      </c>
      <c r="E96" s="907"/>
      <c r="F96" s="1811">
        <f>'Revenues 9-14'!C84</f>
        <v>27747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17658</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68604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4114</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2460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8209</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294680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30591</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148728</v>
      </c>
      <c r="G129" s="931"/>
    </row>
    <row r="130" spans="1:7" x14ac:dyDescent="0.2">
      <c r="A130" s="928" t="s">
        <v>689</v>
      </c>
      <c r="B130" s="928" t="s">
        <v>804</v>
      </c>
      <c r="C130" s="933">
        <v>4300</v>
      </c>
      <c r="D130" s="934" t="str">
        <f>'Revenues 9-14'!A211</f>
        <v>Total Title I</v>
      </c>
      <c r="E130" s="907"/>
      <c r="F130" s="1811">
        <f>SUM('Revenues 9-14'!C211,'Revenues 9-14'!D211,'Revenues 9-14'!F211,'Revenues 9-14'!G211)</f>
        <v>288474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8599</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31457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10393</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1031399</v>
      </c>
    </row>
    <row r="179" spans="1:7" ht="12" customHeight="1" x14ac:dyDescent="0.2">
      <c r="A179" s="1792"/>
      <c r="B179" s="1806"/>
      <c r="C179" s="1807"/>
      <c r="D179" s="1808" t="s">
        <v>2014</v>
      </c>
      <c r="E179" s="1809"/>
      <c r="F179" s="1811">
        <f>'PCTC-OEPP 27-28'!F77-F178</f>
        <v>6083574</v>
      </c>
    </row>
    <row r="180" spans="1:7" ht="12" customHeight="1" x14ac:dyDescent="0.2">
      <c r="A180" s="1792"/>
      <c r="B180" s="1806"/>
      <c r="C180" s="1807"/>
      <c r="D180" s="1808" t="s">
        <v>1924</v>
      </c>
      <c r="E180" s="1809"/>
      <c r="F180" s="1811">
        <f>'Cap Outlay Deprec 26'!I18</f>
        <v>836614</v>
      </c>
    </row>
    <row r="181" spans="1:7" ht="12" customHeight="1" x14ac:dyDescent="0.2">
      <c r="A181" s="1792"/>
      <c r="B181" s="1806"/>
      <c r="C181" s="1807"/>
      <c r="D181" s="1808" t="s">
        <v>2015</v>
      </c>
      <c r="E181" s="1809"/>
      <c r="F181" s="1811">
        <f>F179+F180</f>
        <v>6920188</v>
      </c>
    </row>
    <row r="182" spans="1:7" ht="12" customHeight="1" x14ac:dyDescent="0.2">
      <c r="A182" s="1792"/>
      <c r="B182" s="1812"/>
      <c r="C182" s="1807"/>
      <c r="D182" s="1808" t="str">
        <f>D78</f>
        <v>9 Month ADA from District Average Daily Attendance/Prior General State Aid Inquiry 2017-2018</v>
      </c>
      <c r="E182" s="1809"/>
      <c r="F182" s="1813">
        <f>'PCTC-OEPP 27-28'!F78</f>
        <v>512.03</v>
      </c>
      <c r="G182" s="931"/>
    </row>
    <row r="183" spans="1:7" ht="12" customHeight="1" thickBot="1" x14ac:dyDescent="0.25">
      <c r="A183" s="1792"/>
      <c r="B183" s="1812"/>
      <c r="C183" s="1807"/>
      <c r="D183" s="1808" t="s">
        <v>2016</v>
      </c>
      <c r="E183" s="1809" t="s">
        <v>1626</v>
      </c>
      <c r="F183" s="1814">
        <f>F181/F182</f>
        <v>13515.200281233521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2101</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127863</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3485400</v>
      </c>
      <c r="F19" s="1822"/>
      <c r="G19" s="1824">
        <f>'Expenditures 15-22'!K33-SUM('Expenditures 15-22'!G33,'Expenditures 15-22'!I33)+'Expenditures 15-22'!D229</f>
        <v>3485400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135060</v>
      </c>
      <c r="F21" s="1825"/>
      <c r="G21" s="1828">
        <f>'Expenditures 15-22'!K42-SUM('Expenditures 15-22'!G42,'Expenditures 15-22'!I42)+'Expenditures 15-22'!K120-SUM('Expenditures 15-22'!G120,'Expenditures 15-22'!I120)+'Expenditures 15-22'!K180-SUM('Expenditures 15-22'!G180,'Expenditures 15-22'!I180)+'Expenditures 15-22'!D238</f>
        <v>135060</v>
      </c>
      <c r="H21" s="988"/>
      <c r="I21" s="162"/>
    </row>
    <row r="22" spans="1:9" s="669" customFormat="1" ht="12" customHeight="1" x14ac:dyDescent="0.2">
      <c r="A22" s="995" t="s">
        <v>585</v>
      </c>
      <c r="B22" s="996"/>
      <c r="C22" s="994">
        <v>2200</v>
      </c>
      <c r="D22" s="1825"/>
      <c r="E22" s="1827">
        <f>'Expenditures 15-22'!K47-SUM('Expenditures 15-22'!G47,'Expenditures 15-22'!I47)+'Expenditures 15-22'!D243</f>
        <v>34122</v>
      </c>
      <c r="F22" s="1825"/>
      <c r="G22" s="1828">
        <f>'Expenditures 15-22'!K47-SUM('Expenditures 15-22'!G47,'Expenditures 15-22'!I47)+'Expenditures 15-22'!D243</f>
        <v>34122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894725</v>
      </c>
      <c r="F23" s="1825"/>
      <c r="G23" s="1827">
        <f>'Expenditures 15-22'!K53-SUM('Expenditures 15-22'!G53,'Expenditures 15-22'!I53)+'Expenditures 15-22'!D257+'Expenditures 15-22'!K330-SUM('Expenditures 15-22'!G330,'Expenditures 15-22'!I330)</f>
        <v>894725</v>
      </c>
      <c r="H23" s="988"/>
      <c r="I23" s="162"/>
    </row>
    <row r="24" spans="1:9" s="669" customFormat="1" ht="12" customHeight="1" x14ac:dyDescent="0.2">
      <c r="A24" s="995" t="s">
        <v>587</v>
      </c>
      <c r="B24" s="996"/>
      <c r="C24" s="994">
        <v>2400</v>
      </c>
      <c r="D24" s="1825"/>
      <c r="E24" s="1827">
        <f>'Expenditures 15-22'!K57-SUM('Expenditures 15-22'!G57,'Expenditures 15-22'!I57)+'Expenditures 15-22'!D261</f>
        <v>321116</v>
      </c>
      <c r="F24" s="1825"/>
      <c r="G24" s="1828">
        <f>'Expenditures 15-22'!K57-SUM('Expenditures 15-22'!G57,'Expenditures 15-22'!I57)+'Expenditures 15-22'!D261</f>
        <v>321116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28372</v>
      </c>
      <c r="E26" s="1827">
        <f>'Expenditures 15-22'!K122-SUM('Expenditures 15-22'!G122,'Expenditures 15-22'!I122)+E7</f>
        <v>0</v>
      </c>
      <c r="F26" s="1827">
        <f>'Expenditures 15-22'!K59-SUM('Expenditures 15-22'!G59,'Expenditures 15-22'!I59)+'Expenditures 15-22'!D263-E7</f>
        <v>28372</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36275</v>
      </c>
      <c r="E27" s="1827">
        <f>E8</f>
        <v>0</v>
      </c>
      <c r="F27" s="1827">
        <f>'Expenditures 15-22'!K60-SUM('Expenditures 15-22'!G60,'Expenditures 15-22'!I60)+'Expenditures 15-22'!D264-E8</f>
        <v>36275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842582</v>
      </c>
      <c r="F28" s="1829">
        <f>'Expenditures 15-22'!K61-SUM('Expenditures 15-22'!G61,'Expenditures 15-22'!I61)+'Expenditures 15-22'!K124-SUM('Expenditures 15-22'!G124,'Expenditures 15-22'!I124)+'Expenditures 15-22'!D266-E9</f>
        <v>842582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377149</v>
      </c>
      <c r="F29" s="1825"/>
      <c r="G29" s="1828">
        <f>'Expenditures 15-22'!K62-SUM('Expenditures 15-22'!G62,'Expenditures 15-22'!I62)+'Expenditures 15-22'!K125-SUM('Expenditures 15-22'!G125,'Expenditures 15-22'!I125)+'Expenditures 15-22'!K182-SUM('Expenditures 15-22'!G182,'Expenditures 15-22'!I182)+'Expenditures 15-22'!D267</f>
        <v>377149</v>
      </c>
      <c r="H29" s="986"/>
    </row>
    <row r="30" spans="1:9" ht="12" customHeight="1" x14ac:dyDescent="0.2">
      <c r="A30" s="995" t="s">
        <v>102</v>
      </c>
      <c r="B30" s="998"/>
      <c r="C30" s="994">
        <v>2560</v>
      </c>
      <c r="D30" s="1825"/>
      <c r="E30" s="1827">
        <f>'Expenditures 15-22'!K63-SUM('Expenditures 15-22'!G63,'Expenditures 15-22'!I63)+'Expenditures 15-22'!D268-E10</f>
        <v>96525</v>
      </c>
      <c r="F30" s="1825"/>
      <c r="G30" s="1827">
        <f>'Expenditures 15-22'!K63-SUM('Expenditures 15-22'!G63,'Expenditures 15-22'!I63)+'Expenditures 15-22'!D268-E10</f>
        <v>96525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3544</v>
      </c>
      <c r="F35" s="1825"/>
      <c r="G35" s="1827">
        <f>'Expenditures 15-22'!K69-SUM('Expenditures 15-22'!G69,'Expenditures 15-22'!I69)+'Expenditures 15-22'!D274</f>
        <v>3544</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102572</v>
      </c>
      <c r="E37" s="1827">
        <f>E14</f>
        <v>0</v>
      </c>
      <c r="F37" s="1827">
        <f>'Expenditures 15-22'!K71-SUM('Expenditures 15-22'!G71,'Expenditures 15-22'!I71)+'Expenditures 15-22'!D276-E14</f>
        <v>102572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36878</v>
      </c>
      <c r="F39" s="1825"/>
      <c r="G39" s="1827">
        <f>'Expenditures 15-22'!K75-SUM('Expenditures 15-22'!G75,'Expenditures 15-22'!I75)+'Expenditures 15-22'!K130-SUM('Expenditures 15-22'!G130,'Expenditures 15-22'!I130)+'Expenditures 15-22'!K185-SUM('Expenditures 15-22'!G185,'Expenditures 15-22'!I185)+'Expenditures 15-22'!D280</f>
        <v>36878</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167219</v>
      </c>
      <c r="E41" s="1829">
        <f>SUM(E19:E40)</f>
        <v>6227101</v>
      </c>
      <c r="F41" s="1829">
        <f>SUM(F19:F39)</f>
        <v>1009801</v>
      </c>
      <c r="G41" s="1829">
        <f>SUM(G19:G40)</f>
        <v>5384519</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167219</v>
      </c>
      <c r="F43" s="1830" t="s">
        <v>495</v>
      </c>
      <c r="G43" s="1831">
        <f>F41</f>
        <v>1009801</v>
      </c>
    </row>
    <row r="44" spans="1:7" ht="12" customHeight="1" x14ac:dyDescent="0.2">
      <c r="A44" s="988"/>
      <c r="B44" s="162"/>
      <c r="C44" s="1002"/>
      <c r="D44" s="1830" t="s">
        <v>494</v>
      </c>
      <c r="E44" s="1831">
        <f>E41</f>
        <v>6227101</v>
      </c>
      <c r="F44" s="1830" t="s">
        <v>494</v>
      </c>
      <c r="G44" s="1831">
        <f>G41</f>
        <v>5384519</v>
      </c>
    </row>
    <row r="45" spans="1:7" ht="12" customHeight="1" x14ac:dyDescent="0.2">
      <c r="A45" s="988"/>
      <c r="B45" s="162"/>
      <c r="C45" s="162"/>
      <c r="D45" s="1832" t="s">
        <v>1063</v>
      </c>
      <c r="E45" s="1833">
        <f>(E43/E44)</f>
        <v>2.6853426658729317E-2</v>
      </c>
      <c r="F45" s="1832" t="s">
        <v>1063</v>
      </c>
      <c r="G45" s="1833">
        <f>(G43/G44)</f>
        <v>0.18753782835569899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Milford Area PSD 124</v>
      </c>
      <c r="D6" s="2316"/>
      <c r="E6" s="2316"/>
      <c r="F6" s="1877"/>
    </row>
    <row r="7" spans="1:10" ht="11.25" customHeight="1" thickBot="1" x14ac:dyDescent="0.3">
      <c r="A7" s="1875"/>
      <c r="B7" s="1876"/>
      <c r="C7" s="2317">
        <f>COVER!A13</f>
        <v>32038124026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2102</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Milford Area PSD 124</v>
      </c>
      <c r="J6" s="2337"/>
      <c r="Q6" s="1686"/>
    </row>
    <row r="7" spans="1:17" x14ac:dyDescent="0.2">
      <c r="A7" s="2338" t="s">
        <v>924</v>
      </c>
      <c r="B7" s="2339"/>
      <c r="C7" s="2339"/>
      <c r="D7" s="2339"/>
      <c r="E7" s="2340"/>
      <c r="F7" s="1018"/>
      <c r="G7" s="1010"/>
      <c r="H7" s="1017" t="s">
        <v>390</v>
      </c>
      <c r="I7" s="2341">
        <f>COVER!A13</f>
        <v>32038124026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178961</v>
      </c>
      <c r="F12" s="1040"/>
      <c r="G12" s="1834">
        <f t="shared" ref="G12:G18" si="0">SUM(E12:F12)</f>
        <v>178961</v>
      </c>
      <c r="H12" s="1041">
        <v>191025</v>
      </c>
      <c r="I12" s="1040"/>
      <c r="J12" s="1834">
        <f t="shared" ref="J12:J18" si="1">SUM(H12:I12)</f>
        <v>191025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24000</v>
      </c>
      <c r="F15" s="1834">
        <f>'Expenditures 15-22'!K122</f>
        <v>0</v>
      </c>
      <c r="G15" s="1834">
        <f t="shared" si="0"/>
        <v>24000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202961</v>
      </c>
      <c r="F19" s="1836">
        <f t="shared" si="2"/>
        <v>0</v>
      </c>
      <c r="G19" s="1836">
        <f t="shared" si="2"/>
        <v>202961</v>
      </c>
      <c r="H19" s="1836">
        <f t="shared" si="2"/>
        <v>191025</v>
      </c>
      <c r="I19" s="1836">
        <f t="shared" si="2"/>
        <v>0</v>
      </c>
      <c r="J19" s="1836">
        <f t="shared" si="2"/>
        <v>191025</v>
      </c>
    </row>
    <row r="20" spans="1:10" ht="13.5" thickTop="1" x14ac:dyDescent="0.2">
      <c r="A20" s="1036">
        <v>9</v>
      </c>
      <c r="B20" s="2348" t="s">
        <v>1703</v>
      </c>
      <c r="C20" s="2348"/>
      <c r="D20" s="2349"/>
      <c r="E20" s="1047"/>
      <c r="F20" s="1047"/>
      <c r="G20" s="1047"/>
      <c r="H20" s="1047"/>
      <c r="I20" s="1047"/>
      <c r="J20" s="1837">
        <f>IF(AND(G19&gt;0,J19&gt;0),(((J19-G19)/G19)),"Enter Budget Data")</f>
        <v>-5.8809327900434076E-2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2103</v>
      </c>
    </row>
    <row r="6" spans="1:2" x14ac:dyDescent="0.2">
      <c r="A6" s="1069"/>
      <c r="B6" s="1958" t="s">
        <v>2104</v>
      </c>
    </row>
    <row r="7" spans="1:2" x14ac:dyDescent="0.2">
      <c r="A7" s="1069"/>
      <c r="B7" s="329" t="s">
        <v>2105</v>
      </c>
    </row>
    <row r="8" spans="1:2" x14ac:dyDescent="0.2">
      <c r="A8" s="1069"/>
    </row>
    <row r="9" spans="1:2" x14ac:dyDescent="0.2">
      <c r="A9" s="1070">
        <v>2</v>
      </c>
      <c r="B9" s="1957" t="s">
        <v>2106</v>
      </c>
    </row>
    <row r="10" spans="1:2" x14ac:dyDescent="0.2">
      <c r="A10" s="1070"/>
      <c r="B10" s="1958" t="s">
        <v>2107</v>
      </c>
    </row>
    <row r="11" spans="1:2" x14ac:dyDescent="0.2">
      <c r="A11" s="1070"/>
      <c r="B11" s="329" t="s">
        <v>2108</v>
      </c>
    </row>
    <row r="12" spans="1:2" x14ac:dyDescent="0.2">
      <c r="A12" s="1070"/>
    </row>
    <row r="13" spans="1:2" x14ac:dyDescent="0.2">
      <c r="A13" s="1070">
        <v>3</v>
      </c>
      <c r="B13" s="1957" t="s">
        <v>2109</v>
      </c>
    </row>
    <row r="14" spans="1:2" x14ac:dyDescent="0.2">
      <c r="A14" s="1070"/>
      <c r="B14" s="1958" t="s">
        <v>2107</v>
      </c>
    </row>
    <row r="15" spans="1:2" x14ac:dyDescent="0.2">
      <c r="A15" s="1070"/>
      <c r="B15" s="329" t="s">
        <v>2110</v>
      </c>
    </row>
    <row r="16" spans="1:2" x14ac:dyDescent="0.2">
      <c r="A16" s="1070"/>
      <c r="B16" s="1958" t="s">
        <v>2111</v>
      </c>
    </row>
    <row r="17" spans="1:2" x14ac:dyDescent="0.2">
      <c r="A17" s="1070"/>
      <c r="B17" s="329" t="s">
        <v>2112</v>
      </c>
    </row>
    <row r="18" spans="1:2" x14ac:dyDescent="0.2">
      <c r="A18" s="1070"/>
      <c r="B18" s="329" t="s">
        <v>2113</v>
      </c>
    </row>
    <row r="19" spans="1:2" x14ac:dyDescent="0.2">
      <c r="A19" s="1070"/>
      <c r="B19" s="1958" t="s">
        <v>2114</v>
      </c>
    </row>
    <row r="20" spans="1:2" x14ac:dyDescent="0.2">
      <c r="A20" s="1070"/>
      <c r="B20" s="329" t="s">
        <v>2115</v>
      </c>
    </row>
    <row r="21" spans="1:2" x14ac:dyDescent="0.2">
      <c r="A21" s="1070"/>
      <c r="B21" s="1958" t="s">
        <v>2116</v>
      </c>
    </row>
    <row r="22" spans="1:2" x14ac:dyDescent="0.2">
      <c r="A22" s="1070"/>
      <c r="B22" s="329" t="s">
        <v>2117</v>
      </c>
    </row>
    <row r="23" spans="1:2" x14ac:dyDescent="0.2">
      <c r="A23" s="1070"/>
    </row>
    <row r="24" spans="1:2" x14ac:dyDescent="0.2">
      <c r="A24" s="1070">
        <v>4</v>
      </c>
      <c r="B24" s="1957" t="s">
        <v>2118</v>
      </c>
    </row>
    <row r="25" spans="1:2" x14ac:dyDescent="0.2">
      <c r="A25" s="1070"/>
      <c r="B25" s="1958" t="s">
        <v>2107</v>
      </c>
    </row>
    <row r="26" spans="1:2" x14ac:dyDescent="0.2">
      <c r="A26" s="1070"/>
      <c r="B26" s="329" t="s">
        <v>2119</v>
      </c>
    </row>
    <row r="27" spans="1:2" x14ac:dyDescent="0.2">
      <c r="A27" s="1070"/>
    </row>
    <row r="28" spans="1:2" x14ac:dyDescent="0.2">
      <c r="A28" s="1070">
        <v>5</v>
      </c>
      <c r="B28" s="1957" t="s">
        <v>2120</v>
      </c>
    </row>
    <row r="29" spans="1:2" x14ac:dyDescent="0.2">
      <c r="A29" s="1070"/>
      <c r="B29" s="1958" t="s">
        <v>2107</v>
      </c>
    </row>
    <row r="30" spans="1:2" x14ac:dyDescent="0.2">
      <c r="A30" s="1070"/>
      <c r="B30" s="329" t="s">
        <v>2121</v>
      </c>
    </row>
    <row r="31" spans="1:2" x14ac:dyDescent="0.2">
      <c r="A31" s="1070"/>
      <c r="B31" s="329" t="s">
        <v>2122</v>
      </c>
    </row>
    <row r="32" spans="1:2" x14ac:dyDescent="0.2">
      <c r="A32" s="1070"/>
    </row>
    <row r="33" spans="1:2" x14ac:dyDescent="0.2">
      <c r="A33" s="1070">
        <v>6</v>
      </c>
      <c r="B33" s="1957" t="s">
        <v>2123</v>
      </c>
    </row>
    <row r="34" spans="1:2" x14ac:dyDescent="0.2">
      <c r="A34" s="1070"/>
      <c r="B34" s="1958" t="s">
        <v>2107</v>
      </c>
    </row>
    <row r="35" spans="1:2" x14ac:dyDescent="0.2">
      <c r="A35" s="1070"/>
      <c r="B35" s="329" t="s">
        <v>2124</v>
      </c>
    </row>
    <row r="36" spans="1:2" x14ac:dyDescent="0.2">
      <c r="A36" s="1070"/>
    </row>
    <row r="37" spans="1:2" x14ac:dyDescent="0.2">
      <c r="A37" s="1070">
        <v>7</v>
      </c>
      <c r="B37" s="1957" t="s">
        <v>2125</v>
      </c>
    </row>
    <row r="38" spans="1:2" x14ac:dyDescent="0.2">
      <c r="A38" s="1070"/>
      <c r="B38" s="1958" t="s">
        <v>2107</v>
      </c>
    </row>
    <row r="39" spans="1:2" x14ac:dyDescent="0.2">
      <c r="A39" s="1070"/>
      <c r="B39" s="329" t="s">
        <v>2126</v>
      </c>
    </row>
    <row r="40" spans="1:2" x14ac:dyDescent="0.2">
      <c r="A40" s="1070"/>
    </row>
    <row r="41" spans="1:2" x14ac:dyDescent="0.2">
      <c r="A41" s="1070">
        <v>8</v>
      </c>
      <c r="B41" s="1957" t="s">
        <v>2127</v>
      </c>
    </row>
    <row r="42" spans="1:2" x14ac:dyDescent="0.2">
      <c r="A42" s="1070"/>
      <c r="B42" s="329" t="s">
        <v>2101</v>
      </c>
    </row>
    <row r="43" spans="1:2" x14ac:dyDescent="0.2">
      <c r="A43" s="1070"/>
    </row>
    <row r="44" spans="1:2" x14ac:dyDescent="0.2">
      <c r="A44" s="1070"/>
    </row>
    <row r="45" spans="1:2" x14ac:dyDescent="0.2">
      <c r="A45" s="1070"/>
    </row>
    <row r="46" spans="1:2" x14ac:dyDescent="0.2">
      <c r="A46" s="1070"/>
    </row>
    <row r="47" spans="1:2" x14ac:dyDescent="0.2">
      <c r="A47" s="1070"/>
    </row>
    <row r="48" spans="1:2"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Milford Area PSD 124</v>
      </c>
    </row>
    <row r="65" spans="2:2" x14ac:dyDescent="0.2">
      <c r="B65" s="1071">
        <f>COVER!A13</f>
        <v>32038124026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6384885</v>
      </c>
      <c r="C8" s="1838">
        <f>'Acct Summary 7-8'!D8</f>
        <v>685386</v>
      </c>
      <c r="D8" s="1838">
        <f>'Acct Summary 7-8'!F8</f>
        <v>494059</v>
      </c>
      <c r="E8" s="1838">
        <f>'Acct Summary 7-8'!I8</f>
        <v>51365</v>
      </c>
      <c r="F8" s="1838">
        <f>SUM(B8:E8)</f>
        <v>7615695</v>
      </c>
    </row>
    <row r="9" spans="1:8" s="1080" customFormat="1" ht="14.25" customHeight="1" thickBot="1" x14ac:dyDescent="0.25">
      <c r="A9" s="1079" t="s">
        <v>1436</v>
      </c>
      <c r="B9" s="1839">
        <f>'Acct Summary 7-8'!C17</f>
        <v>5779441</v>
      </c>
      <c r="C9" s="1839">
        <f>'Acct Summary 7-8'!D17</f>
        <v>885947</v>
      </c>
      <c r="D9" s="1839">
        <f>'Acct Summary 7-8'!F17</f>
        <v>435709</v>
      </c>
      <c r="E9" s="1838"/>
      <c r="F9" s="1838">
        <f>SUM(B9:E9)</f>
        <v>7101097</v>
      </c>
    </row>
    <row r="10" spans="1:8" s="1080" customFormat="1" ht="14.25" thickTop="1" thickBot="1" x14ac:dyDescent="0.25">
      <c r="A10" s="1081" t="s">
        <v>1437</v>
      </c>
      <c r="B10" s="1840">
        <f>(B8-B9)</f>
        <v>605444</v>
      </c>
      <c r="C10" s="1840">
        <f>(C8-C9)</f>
        <v>-200561</v>
      </c>
      <c r="D10" s="1840">
        <f>(D8-D9)</f>
        <v>58350</v>
      </c>
      <c r="E10" s="1839">
        <f>(E8-E9)</f>
        <v>51365</v>
      </c>
      <c r="F10" s="1841">
        <f>SUM(F8-F9)</f>
        <v>514598</v>
      </c>
    </row>
    <row r="11" spans="1:8" s="1080" customFormat="1" ht="14.25" thickTop="1" thickBot="1" x14ac:dyDescent="0.25">
      <c r="A11" s="1082" t="s">
        <v>1785</v>
      </c>
      <c r="B11" s="1842">
        <f>'Acct Summary 7-8'!C81</f>
        <v>3387334</v>
      </c>
      <c r="C11" s="1842">
        <f>'Acct Summary 7-8'!D81</f>
        <v>629289</v>
      </c>
      <c r="D11" s="1842">
        <f>'Acct Summary 7-8'!F81</f>
        <v>427779</v>
      </c>
      <c r="E11" s="1842">
        <f>'Acct Summary 7-8'!I81</f>
        <v>1781924</v>
      </c>
      <c r="F11" s="1843">
        <f>SUM(B11:E11)</f>
        <v>6226326</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32038124026</v>
      </c>
    </row>
    <row r="3" spans="1:2" x14ac:dyDescent="0.2">
      <c r="A3" t="s">
        <v>1013</v>
      </c>
      <c r="B3" s="138" t="str">
        <f>COVER!A15</f>
        <v>IROQUOIS</v>
      </c>
    </row>
    <row r="4" spans="1:2" x14ac:dyDescent="0.2">
      <c r="A4" t="s">
        <v>1064</v>
      </c>
      <c r="B4" s="138" t="str">
        <f>COVER!A17</f>
        <v>Milford Area PSD 124</v>
      </c>
    </row>
    <row r="5" spans="1:2" x14ac:dyDescent="0.2">
      <c r="A5" t="s">
        <v>728</v>
      </c>
      <c r="B5" s="138" t="str">
        <f>COVER!A38</f>
        <v>Dr Dale Hastings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1270262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3387835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501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501</v>
      </c>
      <c r="C91" s="2" t="s">
        <v>594</v>
      </c>
      <c r="D91" s="2" t="str">
        <f t="shared" si="0"/>
        <v>Error?</v>
      </c>
    </row>
    <row r="92" spans="1:4" x14ac:dyDescent="0.2">
      <c r="A92" s="5">
        <v>31</v>
      </c>
      <c r="B92" s="138">
        <f>'Assets-Liab 5-6'!C39</f>
        <v>3387334</v>
      </c>
      <c r="D92" s="2" t="str">
        <f t="shared" si="0"/>
        <v>Error?</v>
      </c>
    </row>
    <row r="93" spans="1:4" x14ac:dyDescent="0.2">
      <c r="A93" s="5">
        <v>32</v>
      </c>
      <c r="B93" s="138">
        <f>'Assets-Liab 5-6'!C41</f>
        <v>3387835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629289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629289</v>
      </c>
      <c r="D123" s="2" t="str">
        <f t="shared" si="0"/>
        <v>Error?</v>
      </c>
    </row>
    <row r="124" spans="1:4" x14ac:dyDescent="0.2">
      <c r="A124" s="5">
        <v>63</v>
      </c>
      <c r="B124" s="138">
        <f>'Assets-Liab 5-6'!D41</f>
        <v>629289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12488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12488</v>
      </c>
      <c r="D140" s="2" t="str">
        <f t="shared" si="1"/>
        <v>Error?</v>
      </c>
    </row>
    <row r="141" spans="1:4" x14ac:dyDescent="0.2">
      <c r="A141" s="5">
        <v>80</v>
      </c>
      <c r="B141" s="138">
        <f>'Assets-Liab 5-6'!E41</f>
        <v>12488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135140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427779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427779</v>
      </c>
      <c r="D170" s="2" t="str">
        <f t="shared" si="1"/>
        <v>Error?</v>
      </c>
    </row>
    <row r="171" spans="1:4" x14ac:dyDescent="0.2">
      <c r="A171" s="5">
        <v>110</v>
      </c>
      <c r="B171" s="138">
        <f>'Assets-Liab 5-6'!F41</f>
        <v>427779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277131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314427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314427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2568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2568</v>
      </c>
      <c r="D212" s="2" t="str">
        <f t="shared" si="2"/>
        <v>Error?</v>
      </c>
    </row>
    <row r="213" spans="1:4" x14ac:dyDescent="0.2">
      <c r="A213" s="12">
        <v>152</v>
      </c>
      <c r="B213" s="138">
        <f>'Assets-Liab 5-6'!H41</f>
        <v>2568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47992</v>
      </c>
      <c r="D273" s="2" t="str">
        <f t="shared" si="3"/>
        <v>Error?</v>
      </c>
    </row>
    <row r="274" spans="1:4" x14ac:dyDescent="0.2">
      <c r="A274" s="5">
        <v>213</v>
      </c>
      <c r="B274" s="138">
        <f>'Assets-Liab 5-6'!M17</f>
        <v>20349587</v>
      </c>
      <c r="D274" s="2" t="str">
        <f t="shared" si="3"/>
        <v>Error?</v>
      </c>
    </row>
    <row r="275" spans="1:4" x14ac:dyDescent="0.2">
      <c r="A275" s="5">
        <v>214</v>
      </c>
      <c r="B275" s="138">
        <f>'Assets-Liab 5-6'!M18</f>
        <v>4507643</v>
      </c>
      <c r="D275" s="2" t="str">
        <f t="shared" si="3"/>
        <v>Error?</v>
      </c>
    </row>
    <row r="276" spans="1:4" x14ac:dyDescent="0.2">
      <c r="A276" s="5">
        <v>215</v>
      </c>
      <c r="B276" s="138">
        <f>'Assets-Liab 5-6'!M19</f>
        <v>3201143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28106365</v>
      </c>
      <c r="C279" s="2" t="s">
        <v>594</v>
      </c>
      <c r="D279" s="2" t="str">
        <f t="shared" si="3"/>
        <v>Error?</v>
      </c>
    </row>
    <row r="280" spans="1:4" x14ac:dyDescent="0.2">
      <c r="A280" s="5">
        <v>219</v>
      </c>
      <c r="B280" s="138">
        <f>'Assets-Liab 5-6'!M40</f>
        <v>28106365</v>
      </c>
      <c r="D280" s="2" t="str">
        <f t="shared" si="3"/>
        <v>Error?</v>
      </c>
    </row>
    <row r="281" spans="1:4" x14ac:dyDescent="0.2">
      <c r="A281" s="5">
        <v>220</v>
      </c>
      <c r="B281" s="138">
        <f>'Assets-Liab 5-6'!M41</f>
        <v>28106365</v>
      </c>
      <c r="C281" s="2" t="s">
        <v>594</v>
      </c>
      <c r="D281" s="2" t="str">
        <f t="shared" si="3"/>
        <v>Error?</v>
      </c>
    </row>
    <row r="282" spans="1:4" x14ac:dyDescent="0.2">
      <c r="A282" s="5">
        <v>221</v>
      </c>
      <c r="B282" s="138">
        <f>'Assets-Liab 5-6'!N21</f>
        <v>12488</v>
      </c>
      <c r="D282" s="2" t="str">
        <f t="shared" si="3"/>
        <v>Error?</v>
      </c>
    </row>
    <row r="283" spans="1:4" x14ac:dyDescent="0.2">
      <c r="A283" s="5">
        <v>222</v>
      </c>
      <c r="B283" s="138">
        <f>'Assets-Liab 5-6'!N22</f>
        <v>17978417</v>
      </c>
      <c r="D283" s="2" t="str">
        <f t="shared" si="3"/>
        <v>Error?</v>
      </c>
    </row>
    <row r="284" spans="1:4" x14ac:dyDescent="0.2">
      <c r="A284" s="5">
        <v>223</v>
      </c>
      <c r="B284" s="138">
        <f>'Assets-Liab 5-6'!N23</f>
        <v>17990905</v>
      </c>
      <c r="C284" s="2" t="s">
        <v>594</v>
      </c>
      <c r="D284" s="2" t="str">
        <f t="shared" si="3"/>
        <v>Error?</v>
      </c>
    </row>
    <row r="285" spans="1:4" x14ac:dyDescent="0.2">
      <c r="A285" s="5">
        <v>224</v>
      </c>
      <c r="B285" s="138">
        <f>'Assets-Liab 5-6'!N36</f>
        <v>17990905</v>
      </c>
      <c r="D285" s="2" t="str">
        <f t="shared" si="3"/>
        <v>Error?</v>
      </c>
    </row>
    <row r="286" spans="1:4" x14ac:dyDescent="0.2">
      <c r="A286" s="10">
        <v>225</v>
      </c>
      <c r="D286" s="2" t="str">
        <f t="shared" si="3"/>
        <v>OK</v>
      </c>
    </row>
    <row r="287" spans="1:4" x14ac:dyDescent="0.2">
      <c r="A287" s="5">
        <v>226</v>
      </c>
      <c r="B287" s="138">
        <f>'Assets-Liab 5-6'!N37</f>
        <v>17990905</v>
      </c>
      <c r="C287" s="2" t="s">
        <v>594</v>
      </c>
      <c r="D287" s="2" t="str">
        <f t="shared" si="3"/>
        <v>Error?</v>
      </c>
    </row>
    <row r="288" spans="1:4" x14ac:dyDescent="0.2">
      <c r="A288" s="5">
        <v>227</v>
      </c>
      <c r="B288" s="138">
        <f>'Assets-Liab 5-6'!N41</f>
        <v>17990905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2036135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116378</v>
      </c>
      <c r="D717" s="2" t="str">
        <f t="shared" si="10"/>
        <v>Error?</v>
      </c>
    </row>
    <row r="718" spans="1:4" x14ac:dyDescent="0.2">
      <c r="A718" s="5">
        <v>657</v>
      </c>
      <c r="B718" s="138">
        <f>'Expenditures 15-22'!C14</f>
        <v>176036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2536214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73382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73382</v>
      </c>
      <c r="C727" s="2" t="s">
        <v>594</v>
      </c>
      <c r="D727" s="2" t="str">
        <f t="shared" si="10"/>
        <v>Error?</v>
      </c>
    </row>
    <row r="728" spans="1:4" x14ac:dyDescent="0.2">
      <c r="A728" s="5">
        <v>667</v>
      </c>
      <c r="B728" s="138">
        <f>'Expenditures 15-22'!C44</f>
        <v>3655</v>
      </c>
      <c r="D728" s="2" t="str">
        <f t="shared" si="10"/>
        <v>Error?</v>
      </c>
    </row>
    <row r="729" spans="1:4" x14ac:dyDescent="0.2">
      <c r="A729" s="5">
        <v>668</v>
      </c>
      <c r="B729" s="138">
        <f>'Expenditures 15-22'!C45</f>
        <v>17532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21187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144901</v>
      </c>
      <c r="D733" s="2" t="str">
        <f t="shared" si="10"/>
        <v>Error?</v>
      </c>
    </row>
    <row r="734" spans="1:4" x14ac:dyDescent="0.2">
      <c r="A734" s="5">
        <v>673</v>
      </c>
      <c r="B734" s="138">
        <f>'Expenditures 15-22'!C53</f>
        <v>144901</v>
      </c>
      <c r="C734" s="2" t="s">
        <v>594</v>
      </c>
      <c r="D734" s="2" t="str">
        <f t="shared" si="10"/>
        <v>Error?</v>
      </c>
    </row>
    <row r="735" spans="1:4" x14ac:dyDescent="0.2">
      <c r="A735" s="5">
        <v>674</v>
      </c>
      <c r="B735" s="138">
        <f>'Expenditures 15-22'!C55</f>
        <v>248984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248984</v>
      </c>
      <c r="C737" s="2" t="s">
        <v>594</v>
      </c>
      <c r="D737" s="2" t="str">
        <f t="shared" si="10"/>
        <v>Error?</v>
      </c>
    </row>
    <row r="738" spans="1:4" x14ac:dyDescent="0.2">
      <c r="A738" s="5">
        <v>677</v>
      </c>
      <c r="B738" s="138">
        <f>'Expenditures 15-22'!C59</f>
        <v>24000</v>
      </c>
      <c r="D738" s="2" t="str">
        <f t="shared" si="10"/>
        <v>Error?</v>
      </c>
    </row>
    <row r="739" spans="1:4" x14ac:dyDescent="0.2">
      <c r="A739" s="5">
        <v>678</v>
      </c>
      <c r="B739" s="138">
        <f>'Expenditures 15-22'!C60</f>
        <v>24831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69186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118017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59861</v>
      </c>
      <c r="D751" s="2" t="str">
        <f t="shared" si="10"/>
        <v>Error?</v>
      </c>
    </row>
    <row r="752" spans="1:4" x14ac:dyDescent="0.2">
      <c r="A752" s="10">
        <v>691</v>
      </c>
      <c r="D752" s="2" t="str">
        <f t="shared" si="10"/>
        <v>OK</v>
      </c>
    </row>
    <row r="753" spans="1:4" x14ac:dyDescent="0.2">
      <c r="A753" s="5">
        <v>692</v>
      </c>
      <c r="B753" s="138">
        <f>'Expenditures 15-22'!C72</f>
        <v>59861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666332</v>
      </c>
      <c r="C755" s="2" t="s">
        <v>594</v>
      </c>
      <c r="D755" s="2" t="str">
        <f t="shared" si="10"/>
        <v>Error?</v>
      </c>
    </row>
    <row r="756" spans="1:4" x14ac:dyDescent="0.2">
      <c r="A756" s="5">
        <v>695</v>
      </c>
      <c r="B756" s="138">
        <f>'Expenditures 15-22'!C75</f>
        <v>23662</v>
      </c>
      <c r="D756" s="2" t="str">
        <f t="shared" si="10"/>
        <v>Error?</v>
      </c>
    </row>
    <row r="757" spans="1:4" x14ac:dyDescent="0.2">
      <c r="A757" s="5">
        <v>696</v>
      </c>
      <c r="B757" s="138">
        <f>'Expenditures 15-22'!C114</f>
        <v>3226208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498143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18741</v>
      </c>
      <c r="D775" s="2" t="str">
        <f t="shared" si="11"/>
        <v>Error?</v>
      </c>
    </row>
    <row r="776" spans="1:4" x14ac:dyDescent="0.2">
      <c r="A776" s="5">
        <v>715</v>
      </c>
      <c r="B776" s="138">
        <f>'Expenditures 15-22'!D14</f>
        <v>10228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577261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14199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14199</v>
      </c>
      <c r="C785" s="2" t="s">
        <v>594</v>
      </c>
      <c r="D785" s="2" t="str">
        <f t="shared" si="11"/>
        <v>Error?</v>
      </c>
    </row>
    <row r="786" spans="1:4" x14ac:dyDescent="0.2">
      <c r="A786" s="5">
        <v>725</v>
      </c>
      <c r="B786" s="138">
        <f>'Expenditures 15-22'!D44</f>
        <v>420</v>
      </c>
      <c r="D786" s="2" t="str">
        <f t="shared" si="11"/>
        <v>Error?</v>
      </c>
    </row>
    <row r="787" spans="1:4" x14ac:dyDescent="0.2">
      <c r="A787" s="5">
        <v>726</v>
      </c>
      <c r="B787" s="138">
        <f>'Expenditures 15-22'!D45</f>
        <v>6631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7051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22305</v>
      </c>
      <c r="D791" s="2" t="str">
        <f t="shared" si="11"/>
        <v>Error?</v>
      </c>
    </row>
    <row r="792" spans="1:4" x14ac:dyDescent="0.2">
      <c r="A792" s="5">
        <v>731</v>
      </c>
      <c r="B792" s="138">
        <f>'Expenditures 15-22'!D53</f>
        <v>22305</v>
      </c>
      <c r="C792" s="2" t="s">
        <v>594</v>
      </c>
      <c r="D792" s="2" t="str">
        <f t="shared" si="11"/>
        <v>Error?</v>
      </c>
    </row>
    <row r="793" spans="1:4" x14ac:dyDescent="0.2">
      <c r="A793" s="5">
        <v>732</v>
      </c>
      <c r="B793" s="138">
        <f>'Expenditures 15-22'!D55</f>
        <v>47012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47012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5968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15376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21344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5968</v>
      </c>
      <c r="D809" s="2" t="str">
        <f t="shared" si="11"/>
        <v>Error?</v>
      </c>
    </row>
    <row r="810" spans="1:4" x14ac:dyDescent="0.2">
      <c r="A810" s="10">
        <v>749</v>
      </c>
      <c r="D810" s="2" t="str">
        <f t="shared" si="11"/>
        <v>OK</v>
      </c>
    </row>
    <row r="811" spans="1:4" x14ac:dyDescent="0.2">
      <c r="A811" s="5">
        <v>750</v>
      </c>
      <c r="B811" s="138">
        <f>'Expenditures 15-22'!D72</f>
        <v>5968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117879</v>
      </c>
      <c r="C813" s="2" t="s">
        <v>594</v>
      </c>
      <c r="D813" s="2" t="str">
        <f t="shared" si="11"/>
        <v>Error?</v>
      </c>
    </row>
    <row r="814" spans="1:4" x14ac:dyDescent="0.2">
      <c r="A814" s="5">
        <v>753</v>
      </c>
      <c r="B814" s="138">
        <f>'Expenditures 15-22'!D75</f>
        <v>5906</v>
      </c>
      <c r="D814" s="2" t="str">
        <f t="shared" si="11"/>
        <v>Error?</v>
      </c>
    </row>
    <row r="815" spans="1:4" x14ac:dyDescent="0.2">
      <c r="A815" s="5">
        <v>754</v>
      </c>
      <c r="B815" s="138">
        <f>'Expenditures 15-22'!D114</f>
        <v>701046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49163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38420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143253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742</v>
      </c>
      <c r="D838" s="2" t="str">
        <f t="shared" si="12"/>
        <v>Error?</v>
      </c>
    </row>
    <row r="839" spans="1:4" x14ac:dyDescent="0.2">
      <c r="A839" s="5">
        <v>778</v>
      </c>
      <c r="B839" s="138">
        <f>'Expenditures 15-22'!E38</f>
        <v>45697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46439</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1610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1610</v>
      </c>
      <c r="C847" s="2" t="s">
        <v>594</v>
      </c>
      <c r="D847" s="2" t="str">
        <f t="shared" si="12"/>
        <v>Error?</v>
      </c>
    </row>
    <row r="848" spans="1:4" x14ac:dyDescent="0.2">
      <c r="A848" s="5">
        <v>787</v>
      </c>
      <c r="B848" s="138">
        <f>'Expenditures 15-22'!E49</f>
        <v>49477</v>
      </c>
      <c r="D848" s="2" t="str">
        <f t="shared" si="12"/>
        <v>Error?</v>
      </c>
    </row>
    <row r="849" spans="1:4" x14ac:dyDescent="0.2">
      <c r="A849" s="5">
        <v>788</v>
      </c>
      <c r="B849" s="138">
        <f>'Expenditures 15-22'!E50</f>
        <v>3097</v>
      </c>
      <c r="D849" s="2" t="str">
        <f t="shared" si="12"/>
        <v>Error?</v>
      </c>
    </row>
    <row r="850" spans="1:4" x14ac:dyDescent="0.2">
      <c r="A850" s="5">
        <v>789</v>
      </c>
      <c r="B850" s="138">
        <f>'Expenditures 15-22'!E53</f>
        <v>52574</v>
      </c>
      <c r="C850" s="2" t="s">
        <v>594</v>
      </c>
      <c r="D850" s="2" t="str">
        <f t="shared" si="12"/>
        <v>Error?</v>
      </c>
    </row>
    <row r="851" spans="1:4" x14ac:dyDescent="0.2">
      <c r="A851" s="5">
        <v>790</v>
      </c>
      <c r="B851" s="138">
        <f>'Expenditures 15-22'!E55</f>
        <v>6937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6937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1355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1587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3544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13488</v>
      </c>
      <c r="D867" s="2" t="str">
        <f t="shared" si="12"/>
        <v>Error?</v>
      </c>
    </row>
    <row r="868" spans="1:4" x14ac:dyDescent="0.2">
      <c r="A868" s="10">
        <v>807</v>
      </c>
      <c r="D868" s="2" t="str">
        <f t="shared" si="12"/>
        <v>OK</v>
      </c>
    </row>
    <row r="869" spans="1:4" x14ac:dyDescent="0.2">
      <c r="A869" s="5">
        <v>808</v>
      </c>
      <c r="B869" s="138">
        <f>'Expenditures 15-22'!E72</f>
        <v>17032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126179</v>
      </c>
      <c r="C871" s="2" t="s">
        <v>594</v>
      </c>
      <c r="D871" s="2" t="str">
        <f t="shared" si="12"/>
        <v>Error?</v>
      </c>
    </row>
    <row r="872" spans="1:4" x14ac:dyDescent="0.2">
      <c r="A872" s="5">
        <v>811</v>
      </c>
      <c r="B872" s="138">
        <f>'Expenditures 15-22'!E75</f>
        <v>1949</v>
      </c>
      <c r="D872" s="2" t="str">
        <f t="shared" si="12"/>
        <v>Error?</v>
      </c>
    </row>
    <row r="873" spans="1:4" x14ac:dyDescent="0.2">
      <c r="A873" s="5">
        <v>812</v>
      </c>
      <c r="B873" s="138">
        <f>'Expenditures 15-22'!E114</f>
        <v>271381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35082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8869</v>
      </c>
      <c r="D891" s="2" t="str">
        <f t="shared" si="12"/>
        <v>Error?</v>
      </c>
    </row>
    <row r="892" spans="1:4" x14ac:dyDescent="0.2">
      <c r="A892" s="5">
        <v>831</v>
      </c>
      <c r="B892" s="138">
        <f>'Expenditures 15-22'!F14</f>
        <v>94947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168119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1103</v>
      </c>
      <c r="D902" s="2" t="str">
        <f t="shared" si="13"/>
        <v>Error?</v>
      </c>
    </row>
    <row r="903" spans="1:4" x14ac:dyDescent="0.2">
      <c r="A903" s="5">
        <v>842</v>
      </c>
      <c r="B903" s="138">
        <f>'Expenditures 15-22'!F45</f>
        <v>428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1531</v>
      </c>
      <c r="C905" s="2" t="s">
        <v>594</v>
      </c>
      <c r="D905" s="2" t="str">
        <f t="shared" si="13"/>
        <v>Error?</v>
      </c>
    </row>
    <row r="906" spans="1:4" x14ac:dyDescent="0.2">
      <c r="A906" s="5">
        <v>845</v>
      </c>
      <c r="B906" s="138">
        <f>'Expenditures 15-22'!F49</f>
        <v>2123</v>
      </c>
      <c r="D906" s="2" t="str">
        <f t="shared" si="13"/>
        <v>Error?</v>
      </c>
    </row>
    <row r="907" spans="1:4" x14ac:dyDescent="0.2">
      <c r="A907" s="5">
        <v>846</v>
      </c>
      <c r="B907" s="138">
        <f>'Expenditures 15-22'!F50</f>
        <v>6693</v>
      </c>
      <c r="D907" s="2" t="str">
        <f t="shared" si="13"/>
        <v>Error?</v>
      </c>
    </row>
    <row r="908" spans="1:4" x14ac:dyDescent="0.2">
      <c r="A908" s="5">
        <v>847</v>
      </c>
      <c r="B908" s="138">
        <f>'Expenditures 15-22'!F53</f>
        <v>8816</v>
      </c>
      <c r="C908" s="2" t="s">
        <v>594</v>
      </c>
      <c r="D908" s="2" t="str">
        <f t="shared" si="13"/>
        <v>Error?</v>
      </c>
    </row>
    <row r="909" spans="1:4" x14ac:dyDescent="0.2">
      <c r="A909" s="5">
        <v>848</v>
      </c>
      <c r="B909" s="138">
        <f>'Expenditures 15-22'!F55</f>
        <v>4851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4851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126508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126736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12671</v>
      </c>
      <c r="D925" s="2" t="str">
        <f t="shared" si="13"/>
        <v>Error?</v>
      </c>
    </row>
    <row r="926" spans="1:4" x14ac:dyDescent="0.2">
      <c r="A926" s="10">
        <v>865</v>
      </c>
      <c r="D926" s="2" t="str">
        <f t="shared" si="13"/>
        <v>OK</v>
      </c>
    </row>
    <row r="927" spans="1:4" x14ac:dyDescent="0.2">
      <c r="A927" s="5">
        <v>866</v>
      </c>
      <c r="B927" s="138">
        <f>'Expenditures 15-22'!F72</f>
        <v>12671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154605</v>
      </c>
      <c r="C929" s="2" t="s">
        <v>594</v>
      </c>
      <c r="D929" s="2" t="str">
        <f t="shared" si="13"/>
        <v>Error?</v>
      </c>
    </row>
    <row r="930" spans="1:4" x14ac:dyDescent="0.2">
      <c r="A930" s="5">
        <v>869</v>
      </c>
      <c r="B930" s="138">
        <f>'Expenditures 15-22'!F75</f>
        <v>1082</v>
      </c>
      <c r="D930" s="2" t="str">
        <f t="shared" si="13"/>
        <v>Error?</v>
      </c>
    </row>
    <row r="931" spans="1:4" x14ac:dyDescent="0.2">
      <c r="A931" s="5">
        <v>870</v>
      </c>
      <c r="B931" s="138">
        <f>'Expenditures 15-22'!F114</f>
        <v>323806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11835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600</v>
      </c>
      <c r="D949" s="2" t="str">
        <f t="shared" si="13"/>
        <v>Error?</v>
      </c>
    </row>
    <row r="950" spans="1:4" x14ac:dyDescent="0.2">
      <c r="A950" s="5">
        <v>889</v>
      </c>
      <c r="B950" s="138">
        <f>'Expenditures 15-22'!G14</f>
        <v>23712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105623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768</v>
      </c>
      <c r="D965" s="2" t="str">
        <f t="shared" si="14"/>
        <v>Error?</v>
      </c>
    </row>
    <row r="966" spans="1:4" x14ac:dyDescent="0.2">
      <c r="A966" s="5">
        <v>905</v>
      </c>
      <c r="B966" s="138">
        <f>'Expenditures 15-22'!G53</f>
        <v>768</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58437</v>
      </c>
      <c r="D983" s="2" t="str">
        <f t="shared" si="14"/>
        <v>Error?</v>
      </c>
    </row>
    <row r="984" spans="1:4" x14ac:dyDescent="0.2">
      <c r="A984" s="10">
        <v>923</v>
      </c>
      <c r="D984" s="2" t="str">
        <f t="shared" si="14"/>
        <v>OK</v>
      </c>
    </row>
    <row r="985" spans="1:4" x14ac:dyDescent="0.2">
      <c r="A985" s="5">
        <v>924</v>
      </c>
      <c r="B985" s="138">
        <f>'Expenditures 15-22'!G72</f>
        <v>58437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59205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164828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6916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7451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3608</v>
      </c>
      <c r="D1022" s="2" t="str">
        <f t="shared" si="14"/>
        <v>Error?</v>
      </c>
    </row>
    <row r="1023" spans="1:4" x14ac:dyDescent="0.2">
      <c r="A1023" s="5">
        <v>962</v>
      </c>
      <c r="B1023" s="138">
        <f>'Expenditures 15-22'!H50</f>
        <v>1197</v>
      </c>
      <c r="D1023" s="2" t="str">
        <f t="shared" ref="D1023:D1086" si="15">IF(ISBLANK(B1023),"OK",IF(A1023-B1023=0,"OK","Error?"))</f>
        <v>Error?</v>
      </c>
    </row>
    <row r="1024" spans="1:4" x14ac:dyDescent="0.2">
      <c r="A1024" s="5">
        <v>963</v>
      </c>
      <c r="B1024" s="138">
        <f>'Expenditures 15-22'!H53</f>
        <v>4805</v>
      </c>
      <c r="C1024" s="2" t="s">
        <v>594</v>
      </c>
      <c r="D1024" s="2" t="str">
        <f t="shared" si="15"/>
        <v>Error?</v>
      </c>
    </row>
    <row r="1025" spans="1:4" x14ac:dyDescent="0.2">
      <c r="A1025" s="5">
        <v>964</v>
      </c>
      <c r="B1025" s="138">
        <f>'Expenditures 15-22'!H55</f>
        <v>1452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1452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6257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1078464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1092172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2630893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144588</v>
      </c>
      <c r="C1105" s="2" t="s">
        <v>594</v>
      </c>
      <c r="D1105" s="2" t="str">
        <f t="shared" si="16"/>
        <v>Error?</v>
      </c>
    </row>
    <row r="1106" spans="1:4" x14ac:dyDescent="0.2">
      <c r="A1106" s="5">
        <v>1045</v>
      </c>
      <c r="B1106" s="138">
        <f>'Expenditures 15-22'!K14</f>
        <v>350259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3537921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88323</v>
      </c>
      <c r="C1110" s="2" t="s">
        <v>594</v>
      </c>
      <c r="D1110" s="2" t="str">
        <f t="shared" si="16"/>
        <v>Error?</v>
      </c>
    </row>
    <row r="1111" spans="1:4" x14ac:dyDescent="0.2">
      <c r="A1111" s="5">
        <v>1050</v>
      </c>
      <c r="B1111" s="138">
        <f>'Expenditures 15-22'!K38</f>
        <v>45697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134020</v>
      </c>
      <c r="C1115" s="2" t="s">
        <v>594</v>
      </c>
      <c r="D1115" s="2" t="str">
        <f t="shared" si="16"/>
        <v>Error?</v>
      </c>
    </row>
    <row r="1116" spans="1:4" x14ac:dyDescent="0.2">
      <c r="A1116" s="5">
        <v>1055</v>
      </c>
      <c r="B1116" s="138">
        <f>'Expenditures 15-22'!K44</f>
        <v>5178</v>
      </c>
      <c r="C1116" s="2" t="s">
        <v>594</v>
      </c>
      <c r="D1116" s="2" t="str">
        <f t="shared" si="16"/>
        <v>Error?</v>
      </c>
    </row>
    <row r="1117" spans="1:4" x14ac:dyDescent="0.2">
      <c r="A1117" s="5">
        <v>1056</v>
      </c>
      <c r="B1117" s="138">
        <f>'Expenditures 15-22'!K45</f>
        <v>26201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31379</v>
      </c>
      <c r="C1119" s="2" t="s">
        <v>594</v>
      </c>
      <c r="D1119" s="2" t="str">
        <f t="shared" si="16"/>
        <v>Error?</v>
      </c>
    </row>
    <row r="1120" spans="1:4" x14ac:dyDescent="0.2">
      <c r="A1120" s="5">
        <v>1059</v>
      </c>
      <c r="B1120" s="138">
        <f>'Expenditures 15-22'!K49</f>
        <v>55208</v>
      </c>
      <c r="C1120" s="2" t="s">
        <v>594</v>
      </c>
      <c r="D1120" s="2" t="str">
        <f t="shared" si="16"/>
        <v>Error?</v>
      </c>
    </row>
    <row r="1121" spans="1:4" x14ac:dyDescent="0.2">
      <c r="A1121" s="5">
        <v>1060</v>
      </c>
      <c r="B1121" s="138">
        <f>'Expenditures 15-22'!K50</f>
        <v>178961</v>
      </c>
      <c r="C1121" s="2" t="s">
        <v>594</v>
      </c>
      <c r="D1121" s="2" t="str">
        <f t="shared" si="16"/>
        <v>Error?</v>
      </c>
    </row>
    <row r="1122" spans="1:4" x14ac:dyDescent="0.2">
      <c r="A1122" s="5">
        <v>1061</v>
      </c>
      <c r="B1122" s="138">
        <f>'Expenditures 15-22'!K53</f>
        <v>234169</v>
      </c>
      <c r="C1122" s="2" t="s">
        <v>594</v>
      </c>
      <c r="D1122" s="2" t="str">
        <f t="shared" si="16"/>
        <v>Error?</v>
      </c>
    </row>
    <row r="1123" spans="1:4" x14ac:dyDescent="0.2">
      <c r="A1123" s="5">
        <v>1062</v>
      </c>
      <c r="B1123" s="138">
        <f>'Expenditures 15-22'!K55</f>
        <v>309236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309236</v>
      </c>
      <c r="C1125" s="2" t="s">
        <v>594</v>
      </c>
      <c r="D1125" s="2" t="str">
        <f t="shared" si="16"/>
        <v>Error?</v>
      </c>
    </row>
    <row r="1126" spans="1:4" x14ac:dyDescent="0.2">
      <c r="A1126" s="5">
        <v>1065</v>
      </c>
      <c r="B1126" s="138">
        <f>'Expenditures 15-22'!K59</f>
        <v>24000</v>
      </c>
      <c r="C1126" s="2" t="s">
        <v>594</v>
      </c>
      <c r="D1126" s="2" t="str">
        <f t="shared" si="16"/>
        <v>Error?</v>
      </c>
    </row>
    <row r="1127" spans="1:4" x14ac:dyDescent="0.2">
      <c r="A1127" s="5">
        <v>1066</v>
      </c>
      <c r="B1127" s="138">
        <f>'Expenditures 15-22'!K60</f>
        <v>31259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212425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267684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3544</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150425</v>
      </c>
      <c r="C1139" s="2" t="s">
        <v>594</v>
      </c>
      <c r="D1139" s="2" t="str">
        <f t="shared" si="16"/>
        <v>Error?</v>
      </c>
    </row>
    <row r="1140" spans="1:4" x14ac:dyDescent="0.2">
      <c r="A1140" s="10">
        <v>1079</v>
      </c>
      <c r="D1140" s="2" t="str">
        <f t="shared" si="16"/>
        <v>OK</v>
      </c>
    </row>
    <row r="1141" spans="1:4" x14ac:dyDescent="0.2">
      <c r="A1141" s="5">
        <v>1080</v>
      </c>
      <c r="B1141" s="138">
        <f>'Expenditures 15-22'!K72</f>
        <v>153969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1130457</v>
      </c>
      <c r="C1143" s="2" t="s">
        <v>594</v>
      </c>
      <c r="D1143" s="2" t="str">
        <f t="shared" si="16"/>
        <v>Error?</v>
      </c>
    </row>
    <row r="1144" spans="1:4" x14ac:dyDescent="0.2">
      <c r="A1144" s="5">
        <v>1083</v>
      </c>
      <c r="B1144" s="138">
        <f>'Expenditures 15-22'!K75</f>
        <v>32599</v>
      </c>
      <c r="C1144" s="2" t="s">
        <v>594</v>
      </c>
      <c r="D1144" s="2" t="str">
        <f t="shared" si="16"/>
        <v>Error?</v>
      </c>
    </row>
    <row r="1145" spans="1:4" x14ac:dyDescent="0.2">
      <c r="A1145" s="5">
        <v>1084</v>
      </c>
      <c r="B1145" s="138">
        <f>'Expenditures 15-22'!K102</f>
        <v>1078464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5779441</v>
      </c>
      <c r="C1152" s="2" t="s">
        <v>594</v>
      </c>
      <c r="D1152" s="2" t="str">
        <f t="shared" si="17"/>
        <v>Error?</v>
      </c>
    </row>
    <row r="1153" spans="1:4" x14ac:dyDescent="0.2">
      <c r="A1153" s="5">
        <v>1092</v>
      </c>
      <c r="B1153" s="138">
        <f>'Expenditures 15-22'!K115</f>
        <v>605444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208790</v>
      </c>
      <c r="D1221" s="2" t="str">
        <f t="shared" si="18"/>
        <v>Error?</v>
      </c>
    </row>
    <row r="1222" spans="1:4" x14ac:dyDescent="0.2">
      <c r="A1222" s="10">
        <v>1161</v>
      </c>
      <c r="D1222" s="2" t="str">
        <f t="shared" si="18"/>
        <v>OK</v>
      </c>
    </row>
    <row r="1223" spans="1:4" x14ac:dyDescent="0.2">
      <c r="A1223" s="5">
        <v>1162</v>
      </c>
      <c r="B1223" s="138">
        <f>'Expenditures 15-22'!C127</f>
        <v>208790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208790</v>
      </c>
      <c r="C1225" s="2" t="s">
        <v>594</v>
      </c>
      <c r="D1225" s="2" t="str">
        <f t="shared" si="18"/>
        <v>Error?</v>
      </c>
    </row>
    <row r="1226" spans="1:4" x14ac:dyDescent="0.2">
      <c r="A1226" s="5">
        <v>1165</v>
      </c>
      <c r="B1226" s="138">
        <f>'Expenditures 15-22'!C151</f>
        <v>208790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33847</v>
      </c>
      <c r="D1229" s="2" t="str">
        <f t="shared" si="18"/>
        <v>Error?</v>
      </c>
    </row>
    <row r="1230" spans="1:4" x14ac:dyDescent="0.2">
      <c r="A1230" s="10">
        <v>1169</v>
      </c>
      <c r="D1230" s="2" t="str">
        <f t="shared" si="18"/>
        <v>OK</v>
      </c>
    </row>
    <row r="1231" spans="1:4" x14ac:dyDescent="0.2">
      <c r="A1231" s="5">
        <v>1170</v>
      </c>
      <c r="B1231" s="138">
        <f>'Expenditures 15-22'!D127</f>
        <v>33847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33847</v>
      </c>
      <c r="C1233" s="2" t="s">
        <v>594</v>
      </c>
      <c r="D1233" s="2" t="str">
        <f t="shared" si="18"/>
        <v>Error?</v>
      </c>
    </row>
    <row r="1234" spans="1:4" x14ac:dyDescent="0.2">
      <c r="A1234" s="5">
        <v>1173</v>
      </c>
      <c r="B1234" s="138">
        <f>'Expenditures 15-22'!D151</f>
        <v>33847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368977</v>
      </c>
      <c r="D1237" s="2" t="str">
        <f t="shared" si="18"/>
        <v>Error?</v>
      </c>
    </row>
    <row r="1238" spans="1:4" x14ac:dyDescent="0.2">
      <c r="A1238" s="10">
        <v>1177</v>
      </c>
      <c r="D1238" s="2" t="str">
        <f t="shared" si="18"/>
        <v>OK</v>
      </c>
    </row>
    <row r="1239" spans="1:4" x14ac:dyDescent="0.2">
      <c r="A1239" s="5">
        <v>1178</v>
      </c>
      <c r="B1239" s="138">
        <f>'Expenditures 15-22'!E127</f>
        <v>368977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368977</v>
      </c>
      <c r="C1241" s="2" t="s">
        <v>594</v>
      </c>
      <c r="D1241" s="2" t="str">
        <f t="shared" si="18"/>
        <v>Error?</v>
      </c>
    </row>
    <row r="1242" spans="1:4" x14ac:dyDescent="0.2">
      <c r="A1242" s="5">
        <v>1181</v>
      </c>
      <c r="B1242" s="138">
        <f>'Expenditures 15-22'!E151</f>
        <v>368977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194823</v>
      </c>
      <c r="D1245" s="2" t="str">
        <f t="shared" si="18"/>
        <v>Error?</v>
      </c>
    </row>
    <row r="1246" spans="1:4" x14ac:dyDescent="0.2">
      <c r="A1246" s="10">
        <v>1185</v>
      </c>
      <c r="D1246" s="2" t="str">
        <f t="shared" si="18"/>
        <v>OK</v>
      </c>
    </row>
    <row r="1247" spans="1:4" x14ac:dyDescent="0.2">
      <c r="A1247" s="5">
        <v>1186</v>
      </c>
      <c r="B1247" s="138">
        <f>'Expenditures 15-22'!F127</f>
        <v>194823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194823</v>
      </c>
      <c r="C1249" s="2" t="s">
        <v>594</v>
      </c>
      <c r="D1249" s="2" t="str">
        <f t="shared" si="18"/>
        <v>Error?</v>
      </c>
    </row>
    <row r="1250" spans="1:4" x14ac:dyDescent="0.2">
      <c r="A1250" s="5">
        <v>1189</v>
      </c>
      <c r="B1250" s="138">
        <f>'Expenditures 15-22'!F151</f>
        <v>194823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79490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79490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79490</v>
      </c>
      <c r="C1258" s="2" t="s">
        <v>594</v>
      </c>
      <c r="D1258" s="2" t="str">
        <f t="shared" si="18"/>
        <v>Error?</v>
      </c>
    </row>
    <row r="1259" spans="1:4" x14ac:dyDescent="0.2">
      <c r="A1259" s="5">
        <v>1198</v>
      </c>
      <c r="B1259" s="138">
        <f>'Expenditures 15-22'!G151</f>
        <v>79490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v>
      </c>
      <c r="D1262" s="2" t="str">
        <f t="shared" si="18"/>
        <v>Error?</v>
      </c>
    </row>
    <row r="1263" spans="1:4" x14ac:dyDescent="0.2">
      <c r="A1263" s="10">
        <v>1202</v>
      </c>
      <c r="D1263" s="2" t="str">
        <f t="shared" si="18"/>
        <v>OK</v>
      </c>
    </row>
    <row r="1264" spans="1:4" x14ac:dyDescent="0.2">
      <c r="A1264" s="5">
        <v>1203</v>
      </c>
      <c r="B1264" s="138">
        <f>'Expenditures 15-22'!H127</f>
        <v>20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885947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885947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885947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885947</v>
      </c>
      <c r="C1288" s="2" t="s">
        <v>594</v>
      </c>
      <c r="D1288" s="2" t="str">
        <f t="shared" si="19"/>
        <v>Error?</v>
      </c>
    </row>
    <row r="1289" spans="1:4" x14ac:dyDescent="0.2">
      <c r="A1289" s="5">
        <v>1228</v>
      </c>
      <c r="B1289" s="138">
        <f>'Expenditures 15-22'!K152</f>
        <v>-200561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740073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352525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1092598</v>
      </c>
      <c r="C1317" s="2" t="s">
        <v>594</v>
      </c>
      <c r="D1317" s="2" t="str">
        <f t="shared" si="19"/>
        <v>Error?</v>
      </c>
    </row>
    <row r="1318" spans="1:4" x14ac:dyDescent="0.2">
      <c r="A1318" s="5">
        <v>1257</v>
      </c>
      <c r="B1318" s="138">
        <f>'Expenditures 15-22'!H174</f>
        <v>1092598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740073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352525</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1092598</v>
      </c>
      <c r="C1331" s="2" t="s">
        <v>594</v>
      </c>
      <c r="D1331" s="2" t="str">
        <f t="shared" si="19"/>
        <v>Error?</v>
      </c>
    </row>
    <row r="1332" spans="1:4" x14ac:dyDescent="0.2">
      <c r="A1332" s="5">
        <v>1271</v>
      </c>
      <c r="B1332" s="138">
        <f>'Expenditures 15-22'!K174</f>
        <v>1092598</v>
      </c>
      <c r="C1332" s="2" t="s">
        <v>594</v>
      </c>
      <c r="D1332" s="2" t="str">
        <f t="shared" si="19"/>
        <v>Error?</v>
      </c>
    </row>
    <row r="1333" spans="1:4" x14ac:dyDescent="0.2">
      <c r="A1333" s="5">
        <v>1272</v>
      </c>
      <c r="B1333" s="138">
        <f>'Expenditures 15-22'!K175</f>
        <v>4197</v>
      </c>
      <c r="C1333" s="2" t="s">
        <v>594</v>
      </c>
      <c r="D1333" s="2" t="str">
        <f t="shared" si="19"/>
        <v>Error?</v>
      </c>
    </row>
    <row r="1334" spans="1:4" x14ac:dyDescent="0.2">
      <c r="A1334" s="10">
        <v>1273</v>
      </c>
      <c r="D1334" s="2" t="str">
        <f t="shared" si="19"/>
        <v>OK</v>
      </c>
    </row>
    <row r="1335" spans="1:4" x14ac:dyDescent="0.2">
      <c r="A1335" s="5">
        <v>1274</v>
      </c>
      <c r="B1335" s="138">
        <f>'Expenditures 15-22'!C182</f>
        <v>171793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171793</v>
      </c>
      <c r="C1339" s="2" t="s">
        <v>594</v>
      </c>
      <c r="D1339" s="2" t="str">
        <f t="shared" si="19"/>
        <v>Error?</v>
      </c>
    </row>
    <row r="1340" spans="1:4" x14ac:dyDescent="0.2">
      <c r="A1340" s="5">
        <v>1279</v>
      </c>
      <c r="B1340" s="138">
        <f>'Expenditures 15-22'!C210</f>
        <v>171793</v>
      </c>
      <c r="C1340" s="2" t="s">
        <v>594</v>
      </c>
      <c r="D1340" s="2" t="str">
        <f t="shared" si="19"/>
        <v>Error?</v>
      </c>
    </row>
    <row r="1341" spans="1:4" x14ac:dyDescent="0.2">
      <c r="A1341" s="5">
        <v>1280</v>
      </c>
      <c r="B1341" s="138">
        <f>'Expenditures 15-22'!D182</f>
        <v>2514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2514</v>
      </c>
      <c r="C1345" s="2" t="s">
        <v>594</v>
      </c>
      <c r="D1345" s="2" t="str">
        <f t="shared" si="20"/>
        <v>Error?</v>
      </c>
    </row>
    <row r="1346" spans="1:4" x14ac:dyDescent="0.2">
      <c r="A1346" s="5">
        <v>1285</v>
      </c>
      <c r="B1346" s="138">
        <f>'Expenditures 15-22'!D210</f>
        <v>2514</v>
      </c>
      <c r="C1346" s="2" t="s">
        <v>594</v>
      </c>
      <c r="D1346" s="2" t="str">
        <f t="shared" si="20"/>
        <v>Error?</v>
      </c>
    </row>
    <row r="1347" spans="1:4" x14ac:dyDescent="0.2">
      <c r="A1347" s="5">
        <v>1286</v>
      </c>
      <c r="B1347" s="138">
        <f>'Expenditures 15-22'!E182</f>
        <v>113680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113680</v>
      </c>
      <c r="C1351" s="2" t="s">
        <v>594</v>
      </c>
      <c r="D1351" s="2" t="str">
        <f t="shared" si="20"/>
        <v>Error?</v>
      </c>
    </row>
    <row r="1352" spans="1:4" x14ac:dyDescent="0.2">
      <c r="A1352" s="5">
        <v>1291</v>
      </c>
      <c r="B1352" s="138">
        <f>'Expenditures 15-22'!E196</f>
        <v>72382</v>
      </c>
      <c r="C1352" s="2" t="s">
        <v>594</v>
      </c>
      <c r="D1352" s="2" t="str">
        <f t="shared" si="20"/>
        <v>Error?</v>
      </c>
    </row>
    <row r="1353" spans="1:4" x14ac:dyDescent="0.2">
      <c r="A1353" s="5">
        <v>1292</v>
      </c>
      <c r="B1353" s="138">
        <f>'Expenditures 15-22'!E210</f>
        <v>186062</v>
      </c>
      <c r="C1353" s="2" t="s">
        <v>594</v>
      </c>
      <c r="D1353" s="2" t="str">
        <f t="shared" si="20"/>
        <v>Error?</v>
      </c>
    </row>
    <row r="1354" spans="1:4" x14ac:dyDescent="0.2">
      <c r="A1354" s="5">
        <v>1293</v>
      </c>
      <c r="B1354" s="138">
        <f>'Expenditures 15-22'!F182</f>
        <v>75186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75186</v>
      </c>
      <c r="C1358" s="2" t="s">
        <v>594</v>
      </c>
      <c r="D1358" s="2" t="str">
        <f t="shared" si="20"/>
        <v>Error?</v>
      </c>
    </row>
    <row r="1359" spans="1:4" x14ac:dyDescent="0.2">
      <c r="A1359" s="5">
        <v>1298</v>
      </c>
      <c r="B1359" s="138">
        <f>'Expenditures 15-22'!F210</f>
        <v>75186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154</v>
      </c>
      <c r="C1376" s="2" t="s">
        <v>594</v>
      </c>
      <c r="D1376" s="2" t="str">
        <f t="shared" si="20"/>
        <v>Error?</v>
      </c>
    </row>
    <row r="1377" spans="1:4" x14ac:dyDescent="0.2">
      <c r="A1377" s="5">
        <v>1316</v>
      </c>
      <c r="B1377" s="138">
        <f>'Expenditures 15-22'!K182</f>
        <v>363327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363327</v>
      </c>
      <c r="C1381" s="2" t="s">
        <v>594</v>
      </c>
      <c r="D1381" s="2" t="str">
        <f t="shared" si="20"/>
        <v>Error?</v>
      </c>
    </row>
    <row r="1382" spans="1:4" x14ac:dyDescent="0.2">
      <c r="A1382" s="5">
        <v>1321</v>
      </c>
      <c r="B1382" s="138">
        <f>'Expenditures 15-22'!K196</f>
        <v>72382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435709</v>
      </c>
      <c r="C1388" s="2" t="s">
        <v>594</v>
      </c>
      <c r="D1388" s="2" t="str">
        <f t="shared" si="20"/>
        <v>Error?</v>
      </c>
    </row>
    <row r="1389" spans="1:4" x14ac:dyDescent="0.2">
      <c r="A1389" s="5">
        <v>1328</v>
      </c>
      <c r="B1389" s="138">
        <f>'Expenditures 15-22'!K211</f>
        <v>58350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1627</v>
      </c>
      <c r="D1407" s="2" t="str">
        <f t="shared" ref="D1407:D1470" si="21">IF(ISBLANK(B1407),"OK",IF(A1407-B1407=0,"OK","Error?"))</f>
        <v>Error?</v>
      </c>
    </row>
    <row r="1408" spans="1:4" x14ac:dyDescent="0.2">
      <c r="A1408" s="5">
        <v>1347</v>
      </c>
      <c r="B1408" s="138">
        <f>'Expenditures 15-22'!D223</f>
        <v>7681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53102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1040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1040</v>
      </c>
      <c r="C1417" s="2" t="s">
        <v>594</v>
      </c>
      <c r="D1417" s="2" t="str">
        <f t="shared" si="21"/>
        <v>Error?</v>
      </c>
    </row>
    <row r="1418" spans="1:4" x14ac:dyDescent="0.2">
      <c r="A1418" s="5">
        <v>1357</v>
      </c>
      <c r="B1418" s="138">
        <f>'Expenditures 15-22'!D240</f>
        <v>53</v>
      </c>
      <c r="D1418" s="2" t="str">
        <f t="shared" si="21"/>
        <v>Error?</v>
      </c>
    </row>
    <row r="1419" spans="1:4" x14ac:dyDescent="0.2">
      <c r="A1419" s="5">
        <v>1358</v>
      </c>
      <c r="B1419" s="138">
        <f>'Expenditures 15-22'!D241</f>
        <v>2690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2743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7899</v>
      </c>
      <c r="D1423" s="2" t="str">
        <f t="shared" si="21"/>
        <v>Error?</v>
      </c>
    </row>
    <row r="1424" spans="1:4" x14ac:dyDescent="0.2">
      <c r="A1424" s="5">
        <v>1363</v>
      </c>
      <c r="B1424" s="138">
        <f>'Expenditures 15-22'!D257</f>
        <v>32119</v>
      </c>
      <c r="C1424" s="2" t="s">
        <v>594</v>
      </c>
      <c r="D1424" s="2" t="str">
        <f t="shared" si="21"/>
        <v>Error?</v>
      </c>
    </row>
    <row r="1425" spans="1:4" x14ac:dyDescent="0.2">
      <c r="A1425" s="5">
        <v>1364</v>
      </c>
      <c r="B1425" s="138">
        <f>'Expenditures 15-22'!D259</f>
        <v>11880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11880</v>
      </c>
      <c r="C1427" s="2" t="s">
        <v>594</v>
      </c>
      <c r="D1427" s="2" t="str">
        <f t="shared" si="21"/>
        <v>Error?</v>
      </c>
    </row>
    <row r="1428" spans="1:4" x14ac:dyDescent="0.2">
      <c r="A1428" s="5">
        <v>1367</v>
      </c>
      <c r="B1428" s="138">
        <f>'Expenditures 15-22'!D263</f>
        <v>4372</v>
      </c>
      <c r="D1428" s="2" t="str">
        <f t="shared" si="21"/>
        <v>Error?</v>
      </c>
    </row>
    <row r="1429" spans="1:4" x14ac:dyDescent="0.2">
      <c r="A1429" s="5">
        <v>1368</v>
      </c>
      <c r="B1429" s="138">
        <f>'Expenditures 15-22'!D264</f>
        <v>5016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36125</v>
      </c>
      <c r="D1431" s="2" t="str">
        <f t="shared" si="21"/>
        <v>Error?</v>
      </c>
    </row>
    <row r="1432" spans="1:4" x14ac:dyDescent="0.2">
      <c r="A1432" s="5">
        <v>1371</v>
      </c>
      <c r="B1432" s="138">
        <f>'Expenditures 15-22'!D267</f>
        <v>13822</v>
      </c>
      <c r="D1432" s="2" t="str">
        <f t="shared" si="21"/>
        <v>Error?</v>
      </c>
    </row>
    <row r="1433" spans="1:4" x14ac:dyDescent="0.2">
      <c r="A1433" s="5">
        <v>1372</v>
      </c>
      <c r="B1433" s="138">
        <f>'Expenditures 15-22'!D268</f>
        <v>11963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71298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10584</v>
      </c>
      <c r="D1442" s="2" t="str">
        <f t="shared" si="21"/>
        <v>Error?</v>
      </c>
    </row>
    <row r="1443" spans="1:4" x14ac:dyDescent="0.2">
      <c r="A1443" s="10">
        <v>1382</v>
      </c>
      <c r="D1443" s="2" t="str">
        <f t="shared" si="21"/>
        <v>OK</v>
      </c>
    </row>
    <row r="1444" spans="1:4" x14ac:dyDescent="0.2">
      <c r="A1444" s="5">
        <v>1383</v>
      </c>
      <c r="B1444" s="138">
        <f>'Expenditures 15-22'!D277</f>
        <v>10584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129664</v>
      </c>
      <c r="C1446" s="2" t="s">
        <v>594</v>
      </c>
      <c r="D1446" s="2" t="str">
        <f t="shared" si="21"/>
        <v>Error?</v>
      </c>
    </row>
    <row r="1447" spans="1:4" x14ac:dyDescent="0.2">
      <c r="A1447" s="5">
        <v>1386</v>
      </c>
      <c r="B1447" s="138">
        <f>'Expenditures 15-22'!D280</f>
        <v>4279</v>
      </c>
      <c r="D1447" s="2" t="str">
        <f t="shared" si="21"/>
        <v>Error?</v>
      </c>
    </row>
    <row r="1448" spans="1:4" x14ac:dyDescent="0.2">
      <c r="A1448" s="5">
        <v>1387</v>
      </c>
      <c r="B1448" s="138">
        <f>'Expenditures 15-22'!D295</f>
        <v>187045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1627</v>
      </c>
      <c r="C1471" s="2" t="s">
        <v>594</v>
      </c>
      <c r="D1471" s="2" t="str">
        <f t="shared" ref="D1471:D1534" si="22">IF(ISBLANK(B1471),"OK",IF(A1471-B1471=0,"OK","Error?"))</f>
        <v>Error?</v>
      </c>
    </row>
    <row r="1472" spans="1:4" x14ac:dyDescent="0.2">
      <c r="A1472" s="5">
        <v>1411</v>
      </c>
      <c r="B1472" s="138">
        <f>'Expenditures 15-22'!K223</f>
        <v>7681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53102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1040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1040</v>
      </c>
      <c r="C1481" s="2" t="s">
        <v>594</v>
      </c>
      <c r="D1481" s="2" t="str">
        <f t="shared" si="22"/>
        <v>Error?</v>
      </c>
    </row>
    <row r="1482" spans="1:4" x14ac:dyDescent="0.2">
      <c r="A1482" s="5">
        <v>1421</v>
      </c>
      <c r="B1482" s="138">
        <f>'Expenditures 15-22'!K240</f>
        <v>53</v>
      </c>
      <c r="C1482" s="2" t="s">
        <v>594</v>
      </c>
      <c r="D1482" s="2" t="str">
        <f t="shared" si="22"/>
        <v>Error?</v>
      </c>
    </row>
    <row r="1483" spans="1:4" x14ac:dyDescent="0.2">
      <c r="A1483" s="5">
        <v>1422</v>
      </c>
      <c r="B1483" s="138">
        <f>'Expenditures 15-22'!K241</f>
        <v>2690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2743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7899</v>
      </c>
      <c r="C1487" s="2" t="s">
        <v>594</v>
      </c>
      <c r="D1487" s="2" t="str">
        <f t="shared" si="22"/>
        <v>Error?</v>
      </c>
    </row>
    <row r="1488" spans="1:4" x14ac:dyDescent="0.2">
      <c r="A1488" s="5">
        <v>1427</v>
      </c>
      <c r="B1488" s="138">
        <f>'Expenditures 15-22'!K257</f>
        <v>32119</v>
      </c>
      <c r="C1488" s="2" t="s">
        <v>594</v>
      </c>
      <c r="D1488" s="2" t="str">
        <f t="shared" si="22"/>
        <v>Error?</v>
      </c>
    </row>
    <row r="1489" spans="1:4" x14ac:dyDescent="0.2">
      <c r="A1489" s="5">
        <v>1428</v>
      </c>
      <c r="B1489" s="138">
        <f>'Expenditures 15-22'!K259</f>
        <v>11880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11880</v>
      </c>
      <c r="C1491" s="2" t="s">
        <v>594</v>
      </c>
      <c r="D1491" s="2" t="str">
        <f t="shared" si="22"/>
        <v>Error?</v>
      </c>
    </row>
    <row r="1492" spans="1:4" x14ac:dyDescent="0.2">
      <c r="A1492" s="5">
        <v>1431</v>
      </c>
      <c r="B1492" s="138">
        <f>'Expenditures 15-22'!K263</f>
        <v>4372</v>
      </c>
      <c r="C1492" s="2" t="s">
        <v>594</v>
      </c>
      <c r="D1492" s="2" t="str">
        <f t="shared" si="22"/>
        <v>Error?</v>
      </c>
    </row>
    <row r="1493" spans="1:4" x14ac:dyDescent="0.2">
      <c r="A1493" s="5">
        <v>1432</v>
      </c>
      <c r="B1493" s="138">
        <f>'Expenditures 15-22'!K264</f>
        <v>5016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36125</v>
      </c>
      <c r="C1495" s="2" t="s">
        <v>594</v>
      </c>
      <c r="D1495" s="2" t="str">
        <f t="shared" si="22"/>
        <v>Error?</v>
      </c>
    </row>
    <row r="1496" spans="1:4" x14ac:dyDescent="0.2">
      <c r="A1496" s="5">
        <v>1435</v>
      </c>
      <c r="B1496" s="138">
        <f>'Expenditures 15-22'!K267</f>
        <v>13822</v>
      </c>
      <c r="C1496" s="2" t="s">
        <v>594</v>
      </c>
      <c r="D1496" s="2" t="str">
        <f t="shared" si="22"/>
        <v>Error?</v>
      </c>
    </row>
    <row r="1497" spans="1:4" x14ac:dyDescent="0.2">
      <c r="A1497" s="5">
        <v>1436</v>
      </c>
      <c r="B1497" s="138">
        <f>'Expenditures 15-22'!K268</f>
        <v>11963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71298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10584</v>
      </c>
      <c r="C1506" s="2" t="s">
        <v>594</v>
      </c>
      <c r="D1506" s="2" t="str">
        <f t="shared" si="22"/>
        <v>Error?</v>
      </c>
    </row>
    <row r="1507" spans="1:4" x14ac:dyDescent="0.2">
      <c r="A1507" s="10">
        <v>1446</v>
      </c>
      <c r="D1507" s="2" t="str">
        <f t="shared" si="22"/>
        <v>OK</v>
      </c>
    </row>
    <row r="1508" spans="1:4" x14ac:dyDescent="0.2">
      <c r="A1508" s="5">
        <v>1447</v>
      </c>
      <c r="B1508" s="138">
        <f>'Expenditures 15-22'!K277</f>
        <v>10584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129664</v>
      </c>
      <c r="C1510" s="2" t="s">
        <v>594</v>
      </c>
      <c r="D1510" s="2" t="str">
        <f t="shared" si="22"/>
        <v>Error?</v>
      </c>
    </row>
    <row r="1511" spans="1:4" x14ac:dyDescent="0.2">
      <c r="A1511" s="5">
        <v>1450</v>
      </c>
      <c r="B1511" s="138">
        <f>'Expenditures 15-22'!K280</f>
        <v>4279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187045</v>
      </c>
      <c r="C1517" s="2" t="s">
        <v>594</v>
      </c>
      <c r="D1517" s="2" t="str">
        <f t="shared" si="22"/>
        <v>Error?</v>
      </c>
    </row>
    <row r="1518" spans="1:4" x14ac:dyDescent="0.2">
      <c r="A1518" s="5">
        <v>1457</v>
      </c>
      <c r="B1518" s="138">
        <f>'Expenditures 15-22'!K296</f>
        <v>38755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3903604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3903604</v>
      </c>
      <c r="C1547" s="2" t="s">
        <v>594</v>
      </c>
      <c r="D1547" s="2" t="str">
        <f t="shared" si="23"/>
        <v>Error?</v>
      </c>
    </row>
    <row r="1548" spans="1:4" x14ac:dyDescent="0.2">
      <c r="A1548" s="5">
        <v>1487</v>
      </c>
      <c r="B1548" s="138">
        <f>'Expenditures 15-22'!G312</f>
        <v>3903604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3903604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3903604</v>
      </c>
      <c r="C1559" s="2" t="s">
        <v>594</v>
      </c>
      <c r="D1559" s="2" t="str">
        <f t="shared" si="23"/>
        <v>Error?</v>
      </c>
    </row>
    <row r="1560" spans="1:4" x14ac:dyDescent="0.2">
      <c r="A1560" s="5">
        <v>1499</v>
      </c>
      <c r="B1560" s="138">
        <f>'Expenditures 15-22'!K312</f>
        <v>3903604</v>
      </c>
      <c r="C1560" s="2" t="s">
        <v>594</v>
      </c>
      <c r="D1560" s="2" t="str">
        <f t="shared" si="23"/>
        <v>Error?</v>
      </c>
    </row>
    <row r="1561" spans="1:4" x14ac:dyDescent="0.2">
      <c r="A1561" s="5">
        <v>1500</v>
      </c>
      <c r="B1561" s="138">
        <f>'Expenditures 15-22'!K313</f>
        <v>-3897912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2781890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3387334</v>
      </c>
      <c r="C1630" s="2" t="s">
        <v>594</v>
      </c>
      <c r="D1630" s="2" t="str">
        <f t="shared" si="24"/>
        <v>Error?</v>
      </c>
    </row>
    <row r="1631" spans="1:4" x14ac:dyDescent="0.2">
      <c r="A1631" s="5">
        <v>1570</v>
      </c>
      <c r="B1631" s="138">
        <f>'Acct Summary 7-8'!D79</f>
        <v>629850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629289</v>
      </c>
      <c r="C1644" s="2" t="s">
        <v>594</v>
      </c>
      <c r="D1644" s="2" t="str">
        <f t="shared" si="24"/>
        <v>Error?</v>
      </c>
    </row>
    <row r="1645" spans="1:4" x14ac:dyDescent="0.2">
      <c r="A1645" s="5">
        <v>1584</v>
      </c>
      <c r="B1645" s="138">
        <f>'Acct Summary 7-8'!E79</f>
        <v>8291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12488</v>
      </c>
      <c r="C1658" s="2" t="s">
        <v>594</v>
      </c>
      <c r="D1658" s="2" t="str">
        <f t="shared" si="24"/>
        <v>Error?</v>
      </c>
    </row>
    <row r="1659" spans="1:4" x14ac:dyDescent="0.2">
      <c r="A1659" s="5">
        <v>1598</v>
      </c>
      <c r="B1659" s="138">
        <f>'Acct Summary 7-8'!F79</f>
        <v>369429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427779</v>
      </c>
      <c r="C1672" s="2" t="s">
        <v>594</v>
      </c>
      <c r="D1672" s="2" t="str">
        <f t="shared" si="25"/>
        <v>Error?</v>
      </c>
    </row>
    <row r="1673" spans="1:4" x14ac:dyDescent="0.2">
      <c r="A1673" s="5">
        <v>1612</v>
      </c>
      <c r="B1673" s="138">
        <f>'Acct Summary 7-8'!G79</f>
        <v>275672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314427</v>
      </c>
      <c r="C1686" s="2" t="s">
        <v>594</v>
      </c>
      <c r="D1686" s="2" t="str">
        <f t="shared" si="25"/>
        <v>Error?</v>
      </c>
    </row>
    <row r="1687" spans="1:4" x14ac:dyDescent="0.2">
      <c r="A1687" s="5">
        <v>1626</v>
      </c>
      <c r="B1687" s="138">
        <f>'Acct Summary 7-8'!H79</f>
        <v>3900480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2568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2615232</v>
      </c>
      <c r="C1744" s="2" t="s">
        <v>594</v>
      </c>
      <c r="D1744" s="2" t="str">
        <f t="shared" si="26"/>
        <v>Error?</v>
      </c>
    </row>
    <row r="1745" spans="1:5" x14ac:dyDescent="0.2">
      <c r="A1745" s="5">
        <v>1684</v>
      </c>
      <c r="B1745" s="138">
        <f>'Tax Sched 23'!B5</f>
        <v>614867</v>
      </c>
      <c r="C1745" s="2" t="s">
        <v>594</v>
      </c>
      <c r="D1745" s="2" t="str">
        <f t="shared" si="26"/>
        <v>Error?</v>
      </c>
    </row>
    <row r="1746" spans="1:5" x14ac:dyDescent="0.2">
      <c r="A1746" s="5">
        <v>1685</v>
      </c>
      <c r="B1746" s="138">
        <f>'Tax Sched 23'!B6</f>
        <v>1096795</v>
      </c>
      <c r="C1746" s="2" t="s">
        <v>594</v>
      </c>
      <c r="D1746" s="2" t="str">
        <f t="shared" si="26"/>
        <v>Error?</v>
      </c>
    </row>
    <row r="1747" spans="1:5" x14ac:dyDescent="0.2">
      <c r="A1747" s="5">
        <v>1686</v>
      </c>
      <c r="B1747" s="138">
        <f>'Tax Sched 23'!B7</f>
        <v>196759</v>
      </c>
      <c r="C1747" s="2" t="s">
        <v>594</v>
      </c>
      <c r="D1747" s="2" t="str">
        <f t="shared" si="26"/>
        <v>Error?</v>
      </c>
    </row>
    <row r="1748" spans="1:5" x14ac:dyDescent="0.2">
      <c r="A1748" s="5">
        <v>1687</v>
      </c>
      <c r="B1748" s="138">
        <f>'Tax Sched 23'!B8</f>
        <v>82755</v>
      </c>
      <c r="C1748" s="2" t="s">
        <v>594</v>
      </c>
      <c r="D1748" s="2" t="str">
        <f t="shared" si="26"/>
        <v>Error?</v>
      </c>
    </row>
    <row r="1749" spans="1:5" x14ac:dyDescent="0.2">
      <c r="A1749" s="5">
        <v>1688</v>
      </c>
      <c r="B1749" s="138">
        <f>'Tax Sched 23'!B10</f>
        <v>40991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695101</v>
      </c>
      <c r="C1752" s="2" t="s">
        <v>594</v>
      </c>
      <c r="D1752" s="2" t="str">
        <f t="shared" si="26"/>
        <v>Error?</v>
      </c>
    </row>
    <row r="1753" spans="1:5" x14ac:dyDescent="0.2">
      <c r="A1753" s="5">
        <v>1692</v>
      </c>
      <c r="B1753" s="138">
        <f>'Tax Sched 23'!B12</f>
        <v>40991</v>
      </c>
      <c r="C1753" s="2" t="s">
        <v>594</v>
      </c>
      <c r="D1753" s="2" t="str">
        <f t="shared" si="26"/>
        <v>Error?</v>
      </c>
    </row>
    <row r="1754" spans="1:5" x14ac:dyDescent="0.2">
      <c r="A1754" s="5">
        <v>1693</v>
      </c>
      <c r="B1754" s="138">
        <f>'Tax Sched 23'!B14</f>
        <v>32790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5589675</v>
      </c>
      <c r="C1759" s="2" t="s">
        <v>594</v>
      </c>
      <c r="D1759" s="2" t="str">
        <f t="shared" si="26"/>
        <v>Error?</v>
      </c>
    </row>
    <row r="1760" spans="1:5" x14ac:dyDescent="0.2">
      <c r="A1760" s="5">
        <v>1699</v>
      </c>
      <c r="B1760" s="138">
        <f>'Tax Sched 23'!D4</f>
        <v>2615232</v>
      </c>
      <c r="C1760" s="2" t="s">
        <v>594</v>
      </c>
      <c r="D1760" s="2" t="str">
        <f t="shared" si="26"/>
        <v>Error?</v>
      </c>
    </row>
    <row r="1761" spans="1:5" x14ac:dyDescent="0.2">
      <c r="A1761" s="5">
        <v>1700</v>
      </c>
      <c r="B1761" s="138">
        <f>'Tax Sched 23'!D5</f>
        <v>614867</v>
      </c>
      <c r="C1761" s="2" t="s">
        <v>594</v>
      </c>
      <c r="D1761" s="2" t="str">
        <f t="shared" si="26"/>
        <v>Error?</v>
      </c>
    </row>
    <row r="1762" spans="1:5" s="8" customFormat="1" x14ac:dyDescent="0.2">
      <c r="A1762" s="5">
        <v>1701</v>
      </c>
      <c r="B1762" s="138">
        <f>'Tax Sched 23'!D6</f>
        <v>1096795</v>
      </c>
      <c r="C1762" s="2" t="s">
        <v>594</v>
      </c>
      <c r="D1762" s="2" t="str">
        <f t="shared" si="26"/>
        <v>Error?</v>
      </c>
      <c r="E1762" s="9"/>
    </row>
    <row r="1763" spans="1:5" x14ac:dyDescent="0.2">
      <c r="A1763" s="5">
        <v>1702</v>
      </c>
      <c r="B1763" s="138">
        <f>'Tax Sched 23'!D7</f>
        <v>196759</v>
      </c>
      <c r="C1763" s="2" t="s">
        <v>594</v>
      </c>
      <c r="D1763" s="2" t="str">
        <f t="shared" si="26"/>
        <v>Error?</v>
      </c>
    </row>
    <row r="1764" spans="1:5" x14ac:dyDescent="0.2">
      <c r="A1764" s="5">
        <v>1703</v>
      </c>
      <c r="B1764" s="138">
        <f>'Tax Sched 23'!D8</f>
        <v>82755</v>
      </c>
      <c r="C1764" s="2" t="s">
        <v>594</v>
      </c>
      <c r="D1764" s="2" t="str">
        <f t="shared" si="26"/>
        <v>Error?</v>
      </c>
    </row>
    <row r="1765" spans="1:5" x14ac:dyDescent="0.2">
      <c r="A1765" s="5">
        <v>1704</v>
      </c>
      <c r="B1765" s="138">
        <f>'Tax Sched 23'!D10</f>
        <v>40991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695101</v>
      </c>
      <c r="C1768" s="2" t="s">
        <v>594</v>
      </c>
      <c r="D1768" s="2" t="str">
        <f t="shared" si="26"/>
        <v>Error?</v>
      </c>
    </row>
    <row r="1769" spans="1:5" x14ac:dyDescent="0.2">
      <c r="A1769" s="5">
        <v>1708</v>
      </c>
      <c r="B1769" s="138">
        <f>'Tax Sched 23'!D12</f>
        <v>40991</v>
      </c>
      <c r="C1769" s="2" t="s">
        <v>594</v>
      </c>
      <c r="D1769" s="2" t="str">
        <f t="shared" si="26"/>
        <v>Error?</v>
      </c>
    </row>
    <row r="1770" spans="1:5" x14ac:dyDescent="0.2">
      <c r="A1770" s="5">
        <v>1709</v>
      </c>
      <c r="B1770" s="138">
        <f>'Tax Sched 23'!D14</f>
        <v>32790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5589675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2711235</v>
      </c>
      <c r="C1792" s="2" t="s">
        <v>594</v>
      </c>
      <c r="D1792" s="2" t="str">
        <f t="shared" si="27"/>
        <v>Error?</v>
      </c>
    </row>
    <row r="1793" spans="1:4" x14ac:dyDescent="0.2">
      <c r="A1793" s="5">
        <v>1732</v>
      </c>
      <c r="B1793" s="138">
        <f>'Tax Sched 23'!F5</f>
        <v>637438</v>
      </c>
      <c r="C1793" s="2" t="s">
        <v>594</v>
      </c>
      <c r="D1793" s="2" t="str">
        <f t="shared" si="27"/>
        <v>Error?</v>
      </c>
    </row>
    <row r="1794" spans="1:4" x14ac:dyDescent="0.2">
      <c r="A1794" s="5">
        <v>1733</v>
      </c>
      <c r="B1794" s="138">
        <f>'Tax Sched 23'!F6</f>
        <v>1115023</v>
      </c>
      <c r="C1794" s="2" t="s">
        <v>594</v>
      </c>
      <c r="D1794" s="2" t="str">
        <f t="shared" si="27"/>
        <v>Error?</v>
      </c>
    </row>
    <row r="1795" spans="1:4" x14ac:dyDescent="0.2">
      <c r="A1795" s="5">
        <v>1734</v>
      </c>
      <c r="B1795" s="138">
        <f>'Tax Sched 23'!F7</f>
        <v>203980</v>
      </c>
      <c r="C1795" s="2" t="s">
        <v>594</v>
      </c>
      <c r="D1795" s="2" t="str">
        <f t="shared" si="27"/>
        <v>Error?</v>
      </c>
    </row>
    <row r="1796" spans="1:4" x14ac:dyDescent="0.2">
      <c r="A1796" s="5">
        <v>1735</v>
      </c>
      <c r="B1796" s="138">
        <f>'Tax Sched 23'!F8</f>
        <v>86046</v>
      </c>
      <c r="C1796" s="2" t="s">
        <v>594</v>
      </c>
      <c r="D1796" s="2" t="str">
        <f t="shared" si="27"/>
        <v>Error?</v>
      </c>
    </row>
    <row r="1797" spans="1:4" x14ac:dyDescent="0.2">
      <c r="A1797" s="5">
        <v>1736</v>
      </c>
      <c r="B1797" s="138">
        <f>'Tax Sched 23'!F10</f>
        <v>42496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722761</v>
      </c>
      <c r="C1800" s="2" t="s">
        <v>594</v>
      </c>
      <c r="D1800" s="2" t="str">
        <f t="shared" si="27"/>
        <v>Error?</v>
      </c>
    </row>
    <row r="1801" spans="1:4" x14ac:dyDescent="0.2">
      <c r="A1801" s="5">
        <v>1740</v>
      </c>
      <c r="B1801" s="138">
        <f>'Tax Sched 23'!F12</f>
        <v>42496</v>
      </c>
      <c r="C1801" s="2" t="s">
        <v>594</v>
      </c>
      <c r="D1801" s="2" t="str">
        <f t="shared" si="27"/>
        <v>Error?</v>
      </c>
    </row>
    <row r="1802" spans="1:4" x14ac:dyDescent="0.2">
      <c r="A1802" s="5">
        <v>1741</v>
      </c>
      <c r="B1802" s="138">
        <f>'Tax Sched 23'!F14</f>
        <v>33997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5775638</v>
      </c>
      <c r="C1807" s="2" t="s">
        <v>594</v>
      </c>
      <c r="D1807" s="2" t="str">
        <f t="shared" si="27"/>
        <v>Error?</v>
      </c>
    </row>
    <row r="1808" spans="1:4" x14ac:dyDescent="0.2">
      <c r="A1808" s="5">
        <v>1747</v>
      </c>
      <c r="B1808" s="138">
        <f>'Tax Sched 23'!E4</f>
        <v>2711235</v>
      </c>
      <c r="D1808" s="2" t="str">
        <f t="shared" si="27"/>
        <v>Error?</v>
      </c>
    </row>
    <row r="1809" spans="1:4" x14ac:dyDescent="0.2">
      <c r="A1809" s="5">
        <v>1748</v>
      </c>
      <c r="B1809" s="138">
        <f>'Tax Sched 23'!E5</f>
        <v>637438</v>
      </c>
      <c r="D1809" s="2" t="str">
        <f t="shared" si="27"/>
        <v>Error?</v>
      </c>
    </row>
    <row r="1810" spans="1:4" x14ac:dyDescent="0.2">
      <c r="A1810" s="5">
        <v>1749</v>
      </c>
      <c r="B1810" s="138">
        <f>'Tax Sched 23'!E6</f>
        <v>1115023</v>
      </c>
      <c r="D1810" s="2" t="str">
        <f t="shared" si="27"/>
        <v>Error?</v>
      </c>
    </row>
    <row r="1811" spans="1:4" x14ac:dyDescent="0.2">
      <c r="A1811" s="5">
        <v>1750</v>
      </c>
      <c r="B1811" s="138">
        <f>'Tax Sched 23'!E7</f>
        <v>203980</v>
      </c>
      <c r="D1811" s="2" t="str">
        <f t="shared" si="27"/>
        <v>Error?</v>
      </c>
    </row>
    <row r="1812" spans="1:4" x14ac:dyDescent="0.2">
      <c r="A1812" s="5">
        <v>1751</v>
      </c>
      <c r="B1812" s="138">
        <f>'Tax Sched 23'!E8</f>
        <v>86046</v>
      </c>
      <c r="D1812" s="2" t="str">
        <f t="shared" si="27"/>
        <v>Error?</v>
      </c>
    </row>
    <row r="1813" spans="1:4" x14ac:dyDescent="0.2">
      <c r="A1813" s="5">
        <v>1752</v>
      </c>
      <c r="B1813" s="138">
        <f>'Tax Sched 23'!E10</f>
        <v>42496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722761</v>
      </c>
      <c r="D1816" s="2" t="str">
        <f t="shared" si="27"/>
        <v>Error?</v>
      </c>
    </row>
    <row r="1817" spans="1:4" x14ac:dyDescent="0.2">
      <c r="A1817" s="5">
        <v>1756</v>
      </c>
      <c r="B1817" s="138">
        <f>'Tax Sched 23'!E12</f>
        <v>42496</v>
      </c>
      <c r="D1817" s="2" t="str">
        <f t="shared" si="27"/>
        <v>Error?</v>
      </c>
    </row>
    <row r="1818" spans="1:4" x14ac:dyDescent="0.2">
      <c r="A1818" s="5">
        <v>1757</v>
      </c>
      <c r="B1818" s="138">
        <f>'Tax Sched 23'!E14</f>
        <v>33997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5775638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18343430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32790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32790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32790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47992</v>
      </c>
      <c r="D2008" s="2" t="str">
        <f t="shared" si="30"/>
        <v>Error?</v>
      </c>
    </row>
    <row r="2009" spans="1:4" x14ac:dyDescent="0.2">
      <c r="A2009" s="5">
        <v>1948</v>
      </c>
      <c r="B2009" s="138">
        <f>'Cap Outlay Deprec 26'!C8</f>
        <v>3027738</v>
      </c>
      <c r="D2009" s="2" t="str">
        <f t="shared" si="30"/>
        <v>Error?</v>
      </c>
    </row>
    <row r="2010" spans="1:4" x14ac:dyDescent="0.2">
      <c r="A2010" s="5">
        <v>1949</v>
      </c>
      <c r="B2010" s="138">
        <f>'Cap Outlay Deprec 26'!C10</f>
        <v>4428153</v>
      </c>
      <c r="D2010" s="2" t="str">
        <f t="shared" si="30"/>
        <v>Error?</v>
      </c>
    </row>
    <row r="2011" spans="1:4" x14ac:dyDescent="0.2">
      <c r="A2011" s="5">
        <v>1950</v>
      </c>
      <c r="B2011" s="138">
        <f>'Cap Outlay Deprec 26'!C12</f>
        <v>2291521</v>
      </c>
      <c r="D2011" s="2" t="str">
        <f t="shared" si="30"/>
        <v>Error?</v>
      </c>
    </row>
    <row r="2012" spans="1:4" x14ac:dyDescent="0.2">
      <c r="A2012" s="5">
        <v>1951</v>
      </c>
      <c r="B2012" s="138">
        <f>'Cap Outlay Deprec 26'!C13</f>
        <v>737704</v>
      </c>
      <c r="D2012" s="2" t="str">
        <f t="shared" si="30"/>
        <v>Error?</v>
      </c>
    </row>
    <row r="2013" spans="1:4" x14ac:dyDescent="0.2">
      <c r="A2013" s="5">
        <v>1952</v>
      </c>
      <c r="B2013" s="138">
        <f>'Cap Outlay Deprec 26'!C16</f>
        <v>23401353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17321849</v>
      </c>
      <c r="D2015" s="2" t="str">
        <f t="shared" si="30"/>
        <v>Error?</v>
      </c>
    </row>
    <row r="2016" spans="1:4" x14ac:dyDescent="0.2">
      <c r="A2016" s="5">
        <v>1955</v>
      </c>
      <c r="B2016" s="138">
        <f>'Cap Outlay Deprec 26'!D10</f>
        <v>79490</v>
      </c>
      <c r="D2016" s="2" t="str">
        <f t="shared" si="30"/>
        <v>Error?</v>
      </c>
    </row>
    <row r="2017" spans="1:4" x14ac:dyDescent="0.2">
      <c r="A2017" s="5">
        <v>1956</v>
      </c>
      <c r="B2017" s="138">
        <f>'Cap Outlay Deprec 26'!D12</f>
        <v>171918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17573257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12868245</v>
      </c>
      <c r="C2025" s="2" t="s">
        <v>594</v>
      </c>
      <c r="D2025" s="2" t="str">
        <f t="shared" si="30"/>
        <v>Error?</v>
      </c>
    </row>
    <row r="2026" spans="1:4" x14ac:dyDescent="0.2">
      <c r="A2026" s="5">
        <v>1965</v>
      </c>
      <c r="B2026" s="138">
        <f>'Cap Outlay Deprec 26'!F5</f>
        <v>47992</v>
      </c>
      <c r="C2026" s="2" t="s">
        <v>594</v>
      </c>
      <c r="D2026" s="2" t="str">
        <f t="shared" si="30"/>
        <v>Error?</v>
      </c>
    </row>
    <row r="2027" spans="1:4" x14ac:dyDescent="0.2">
      <c r="A2027" s="5">
        <v>1966</v>
      </c>
      <c r="B2027" s="138">
        <f>'Cap Outlay Deprec 26'!F8</f>
        <v>20349587</v>
      </c>
      <c r="C2027" s="2" t="s">
        <v>594</v>
      </c>
      <c r="D2027" s="2" t="str">
        <f t="shared" si="30"/>
        <v>Error?</v>
      </c>
    </row>
    <row r="2028" spans="1:4" x14ac:dyDescent="0.2">
      <c r="A2028" s="5">
        <v>1967</v>
      </c>
      <c r="B2028" s="138">
        <f>'Cap Outlay Deprec 26'!F10</f>
        <v>4507643</v>
      </c>
      <c r="C2028" s="2" t="s">
        <v>594</v>
      </c>
      <c r="D2028" s="2" t="str">
        <f t="shared" si="30"/>
        <v>Error?</v>
      </c>
    </row>
    <row r="2029" spans="1:4" x14ac:dyDescent="0.2">
      <c r="A2029" s="5">
        <v>1968</v>
      </c>
      <c r="B2029" s="138">
        <f>'Cap Outlay Deprec 26'!F12</f>
        <v>2463439</v>
      </c>
      <c r="C2029" s="2" t="s">
        <v>594</v>
      </c>
      <c r="D2029" s="2" t="str">
        <f t="shared" si="30"/>
        <v>Error?</v>
      </c>
    </row>
    <row r="2030" spans="1:4" x14ac:dyDescent="0.2">
      <c r="A2030" s="5">
        <v>1969</v>
      </c>
      <c r="B2030" s="138">
        <f>'Cap Outlay Deprec 26'!F13</f>
        <v>737704</v>
      </c>
      <c r="C2030" s="2" t="s">
        <v>594</v>
      </c>
      <c r="D2030" s="2" t="str">
        <f t="shared" si="30"/>
        <v>Error?</v>
      </c>
    </row>
    <row r="2031" spans="1:4" x14ac:dyDescent="0.2">
      <c r="A2031" s="5">
        <v>1970</v>
      </c>
      <c r="B2031" s="138">
        <f>'Cap Outlay Deprec 26'!F16</f>
        <v>28106365</v>
      </c>
      <c r="C2031" s="2" t="s">
        <v>594</v>
      </c>
      <c r="D2031" s="2" t="str">
        <f t="shared" si="30"/>
        <v>Error?</v>
      </c>
    </row>
    <row r="2032" spans="1:4" x14ac:dyDescent="0.2">
      <c r="A2032" s="10">
        <v>1971</v>
      </c>
      <c r="D2032" s="2" t="str">
        <f t="shared" si="30"/>
        <v>OK</v>
      </c>
    </row>
    <row r="2033" spans="1:4" x14ac:dyDescent="0.2">
      <c r="A2033" s="5">
        <v>1972</v>
      </c>
      <c r="B2033" s="138">
        <f>'Cap Outlay Deprec 26'!H8</f>
        <v>2238341</v>
      </c>
      <c r="D2033" s="2" t="str">
        <f t="shared" si="30"/>
        <v>Error?</v>
      </c>
    </row>
    <row r="2034" spans="1:4" x14ac:dyDescent="0.2">
      <c r="A2034" s="5">
        <v>1973</v>
      </c>
      <c r="B2034" s="138">
        <f>'Cap Outlay Deprec 26'!H10</f>
        <v>2438678</v>
      </c>
      <c r="D2034" s="2" t="str">
        <f t="shared" si="30"/>
        <v>Error?</v>
      </c>
    </row>
    <row r="2035" spans="1:4" x14ac:dyDescent="0.2">
      <c r="A2035" s="5">
        <v>1974</v>
      </c>
      <c r="B2035" s="138">
        <f>'Cap Outlay Deprec 26'!H12</f>
        <v>1801271</v>
      </c>
      <c r="D2035" s="2" t="str">
        <f t="shared" si="30"/>
        <v>Error?</v>
      </c>
    </row>
    <row r="2036" spans="1:4" x14ac:dyDescent="0.2">
      <c r="A2036" s="5">
        <v>1975</v>
      </c>
      <c r="B2036" s="138">
        <f>'Cap Outlay Deprec 26'!H13</f>
        <v>571880</v>
      </c>
      <c r="D2036" s="2" t="str">
        <f t="shared" si="30"/>
        <v>Error?</v>
      </c>
    </row>
    <row r="2037" spans="1:4" x14ac:dyDescent="0.2">
      <c r="A2037" s="5">
        <v>1976</v>
      </c>
      <c r="B2037" s="138">
        <f>'Cap Outlay Deprec 26'!H16</f>
        <v>7050170</v>
      </c>
      <c r="C2037" s="2" t="s">
        <v>594</v>
      </c>
      <c r="D2037" s="2" t="str">
        <f t="shared" si="30"/>
        <v>Error?</v>
      </c>
    </row>
    <row r="2038" spans="1:4" x14ac:dyDescent="0.2">
      <c r="A2038" s="10">
        <v>1977</v>
      </c>
      <c r="D2038" s="2" t="str">
        <f t="shared" si="30"/>
        <v>OK</v>
      </c>
    </row>
    <row r="2039" spans="1:4" x14ac:dyDescent="0.2">
      <c r="A2039" s="5">
        <v>1978</v>
      </c>
      <c r="B2039" s="138">
        <f>'Cap Outlay Deprec 26'!I8</f>
        <v>406991</v>
      </c>
      <c r="D2039" s="2" t="str">
        <f t="shared" si="30"/>
        <v>Error?</v>
      </c>
    </row>
    <row r="2040" spans="1:4" x14ac:dyDescent="0.2">
      <c r="A2040" s="5">
        <v>1979</v>
      </c>
      <c r="B2040" s="138">
        <f>'Cap Outlay Deprec 26'!I10</f>
        <v>225382</v>
      </c>
      <c r="D2040" s="2" t="str">
        <f t="shared" si="30"/>
        <v>Error?</v>
      </c>
    </row>
    <row r="2041" spans="1:4" x14ac:dyDescent="0.2">
      <c r="A2041" s="5">
        <v>1980</v>
      </c>
      <c r="B2041" s="138">
        <f>'Cap Outlay Deprec 26'!I12</f>
        <v>105873</v>
      </c>
      <c r="D2041" s="2" t="str">
        <f t="shared" si="30"/>
        <v>Error?</v>
      </c>
    </row>
    <row r="2042" spans="1:4" x14ac:dyDescent="0.2">
      <c r="A2042" s="5">
        <v>1981</v>
      </c>
      <c r="B2042" s="138">
        <f>'Cap Outlay Deprec 26'!I13</f>
        <v>98368</v>
      </c>
      <c r="D2042" s="2" t="str">
        <f t="shared" si="30"/>
        <v>Error?</v>
      </c>
    </row>
    <row r="2043" spans="1:4" x14ac:dyDescent="0.2">
      <c r="A2043" s="5">
        <v>1982</v>
      </c>
      <c r="B2043" s="138">
        <f>'Cap Outlay Deprec 26'!I16</f>
        <v>836614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250366</v>
      </c>
      <c r="D2048" s="2" t="str">
        <f t="shared" si="31"/>
        <v>Error?</v>
      </c>
    </row>
    <row r="2049" spans="1:4" x14ac:dyDescent="0.2">
      <c r="A2049" s="5">
        <v>1988</v>
      </c>
      <c r="B2049" s="138">
        <f>'Cap Outlay Deprec 26'!J16</f>
        <v>250366</v>
      </c>
      <c r="C2049" s="2" t="s">
        <v>594</v>
      </c>
      <c r="D2049" s="2" t="str">
        <f t="shared" si="31"/>
        <v>Error?</v>
      </c>
    </row>
    <row r="2050" spans="1:4" x14ac:dyDescent="0.2">
      <c r="A2050" s="10">
        <v>1989</v>
      </c>
      <c r="D2050" s="2" t="str">
        <f t="shared" si="31"/>
        <v>OK</v>
      </c>
    </row>
    <row r="2051" spans="1:4" x14ac:dyDescent="0.2">
      <c r="A2051" s="5">
        <v>1990</v>
      </c>
      <c r="B2051" s="138">
        <f>'Cap Outlay Deprec 26'!K8</f>
        <v>2645332</v>
      </c>
      <c r="C2051" s="2" t="s">
        <v>594</v>
      </c>
      <c r="D2051" s="2" t="str">
        <f t="shared" si="31"/>
        <v>Error?</v>
      </c>
    </row>
    <row r="2052" spans="1:4" x14ac:dyDescent="0.2">
      <c r="A2052" s="5">
        <v>1991</v>
      </c>
      <c r="B2052" s="138">
        <f>'Cap Outlay Deprec 26'!K10</f>
        <v>2664060</v>
      </c>
      <c r="C2052" s="2" t="s">
        <v>594</v>
      </c>
      <c r="D2052" s="2" t="str">
        <f t="shared" si="31"/>
        <v>Error?</v>
      </c>
    </row>
    <row r="2053" spans="1:4" x14ac:dyDescent="0.2">
      <c r="A2053" s="5">
        <v>1992</v>
      </c>
      <c r="B2053" s="138">
        <f>'Cap Outlay Deprec 26'!K12</f>
        <v>1907144</v>
      </c>
      <c r="C2053" s="2" t="s">
        <v>594</v>
      </c>
      <c r="D2053" s="2" t="str">
        <f t="shared" si="31"/>
        <v>Error?</v>
      </c>
    </row>
    <row r="2054" spans="1:4" x14ac:dyDescent="0.2">
      <c r="A2054" s="5">
        <v>1993</v>
      </c>
      <c r="B2054" s="138">
        <f>'Cap Outlay Deprec 26'!K13</f>
        <v>419882</v>
      </c>
      <c r="C2054" s="2" t="s">
        <v>594</v>
      </c>
      <c r="D2054" s="2" t="str">
        <f t="shared" si="31"/>
        <v>Error?</v>
      </c>
    </row>
    <row r="2055" spans="1:4" x14ac:dyDescent="0.2">
      <c r="A2055" s="5">
        <v>1994</v>
      </c>
      <c r="B2055" s="138">
        <f>'Cap Outlay Deprec 26'!K16</f>
        <v>7636418</v>
      </c>
      <c r="C2055" s="2" t="s">
        <v>594</v>
      </c>
      <c r="D2055" s="2" t="str">
        <f t="shared" si="31"/>
        <v>Error?</v>
      </c>
    </row>
    <row r="2056" spans="1:4" x14ac:dyDescent="0.2">
      <c r="A2056" s="5">
        <v>1995</v>
      </c>
      <c r="B2056" s="138">
        <f>'Cap Outlay Deprec 26'!L5</f>
        <v>47992</v>
      </c>
      <c r="C2056" s="2" t="s">
        <v>594</v>
      </c>
      <c r="D2056" s="2" t="str">
        <f t="shared" si="31"/>
        <v>Error?</v>
      </c>
    </row>
    <row r="2057" spans="1:4" x14ac:dyDescent="0.2">
      <c r="A2057" s="5">
        <v>1996</v>
      </c>
      <c r="B2057" s="138">
        <f>'Cap Outlay Deprec 26'!L8</f>
        <v>17704255</v>
      </c>
      <c r="C2057" s="2" t="s">
        <v>594</v>
      </c>
      <c r="D2057" s="2" t="str">
        <f t="shared" si="31"/>
        <v>Error?</v>
      </c>
    </row>
    <row r="2058" spans="1:4" x14ac:dyDescent="0.2">
      <c r="A2058" s="5">
        <v>1997</v>
      </c>
      <c r="B2058" s="138">
        <f>'Cap Outlay Deprec 26'!L10</f>
        <v>1843583</v>
      </c>
      <c r="C2058" s="2" t="s">
        <v>594</v>
      </c>
      <c r="D2058" s="2" t="str">
        <f t="shared" si="31"/>
        <v>Error?</v>
      </c>
    </row>
    <row r="2059" spans="1:4" x14ac:dyDescent="0.2">
      <c r="A2059" s="5">
        <v>1998</v>
      </c>
      <c r="B2059" s="138">
        <f>'Cap Outlay Deprec 26'!L12</f>
        <v>556295</v>
      </c>
      <c r="C2059" s="2" t="s">
        <v>594</v>
      </c>
      <c r="D2059" s="2" t="str">
        <f t="shared" si="31"/>
        <v>Error?</v>
      </c>
    </row>
    <row r="2060" spans="1:4" x14ac:dyDescent="0.2">
      <c r="A2060" s="5">
        <v>1999</v>
      </c>
      <c r="B2060" s="138">
        <f>'Cap Outlay Deprec 26'!L13</f>
        <v>317822</v>
      </c>
      <c r="C2060" s="2" t="s">
        <v>594</v>
      </c>
      <c r="D2060" s="2" t="str">
        <f t="shared" si="31"/>
        <v>Error?</v>
      </c>
    </row>
    <row r="2061" spans="1:4" x14ac:dyDescent="0.2">
      <c r="A2061" s="5">
        <v>2000</v>
      </c>
      <c r="B2061" s="138">
        <f>'Cap Outlay Deprec 26'!L16</f>
        <v>20469947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1078464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1078464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314427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3198827</v>
      </c>
      <c r="C2551" s="2" t="s">
        <v>594</v>
      </c>
      <c r="D2551" s="2" t="str">
        <f t="shared" si="38"/>
        <v>Error?</v>
      </c>
    </row>
    <row r="2552" spans="1:4" x14ac:dyDescent="0.2">
      <c r="A2552" s="10">
        <v>2491</v>
      </c>
      <c r="D2552" s="2" t="str">
        <f t="shared" si="38"/>
        <v>OK</v>
      </c>
    </row>
    <row r="2553" spans="1:4" x14ac:dyDescent="0.2">
      <c r="A2553" s="5">
        <v>2492</v>
      </c>
      <c r="B2553" s="138">
        <f>'Acct Summary 7-8'!C6</f>
        <v>1855807</v>
      </c>
      <c r="C2553" s="2" t="s">
        <v>594</v>
      </c>
      <c r="D2553" s="2" t="str">
        <f t="shared" si="38"/>
        <v>Error?</v>
      </c>
    </row>
    <row r="2554" spans="1:4" x14ac:dyDescent="0.2">
      <c r="A2554" s="5">
        <v>2493</v>
      </c>
      <c r="B2554" s="138">
        <f>'Acct Summary 7-8'!C7</f>
        <v>487651</v>
      </c>
      <c r="C2554" s="2" t="s">
        <v>594</v>
      </c>
      <c r="D2554" s="2" t="str">
        <f t="shared" si="38"/>
        <v>Error?</v>
      </c>
    </row>
    <row r="2555" spans="1:4" x14ac:dyDescent="0.2">
      <c r="A2555" s="5">
        <v>2494</v>
      </c>
      <c r="B2555" s="138">
        <f>'Acct Summary 7-8'!C8</f>
        <v>6384885</v>
      </c>
      <c r="C2555" s="2" t="s">
        <v>594</v>
      </c>
      <c r="D2555" s="2" t="str">
        <f t="shared" si="38"/>
        <v>Error?</v>
      </c>
    </row>
    <row r="2556" spans="1:4" x14ac:dyDescent="0.2">
      <c r="A2556" s="5">
        <v>2495</v>
      </c>
      <c r="B2556" s="138">
        <f>'Acct Summary 7-8'!C12</f>
        <v>3537921</v>
      </c>
      <c r="C2556" s="2" t="s">
        <v>594</v>
      </c>
      <c r="D2556" s="2" t="str">
        <f t="shared" si="38"/>
        <v>Error?</v>
      </c>
    </row>
    <row r="2557" spans="1:4" x14ac:dyDescent="0.2">
      <c r="A2557" s="5">
        <v>2496</v>
      </c>
      <c r="B2557" s="138">
        <f>'Acct Summary 7-8'!C13</f>
        <v>1130457</v>
      </c>
      <c r="C2557" s="2" t="s">
        <v>594</v>
      </c>
      <c r="D2557" s="2" t="str">
        <f t="shared" si="38"/>
        <v>Error?</v>
      </c>
    </row>
    <row r="2558" spans="1:4" x14ac:dyDescent="0.2">
      <c r="A2558" s="5">
        <v>2497</v>
      </c>
      <c r="B2558" s="138">
        <f>'Acct Summary 7-8'!C14</f>
        <v>32599</v>
      </c>
      <c r="C2558" s="2" t="s">
        <v>594</v>
      </c>
      <c r="D2558" s="2" t="str">
        <f t="shared" si="38"/>
        <v>Error?</v>
      </c>
    </row>
    <row r="2559" spans="1:4" x14ac:dyDescent="0.2">
      <c r="A2559" s="5">
        <v>2498</v>
      </c>
      <c r="B2559" s="138">
        <f>'Acct Summary 7-8'!C15</f>
        <v>1078464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5779441</v>
      </c>
      <c r="C2561" s="2" t="s">
        <v>594</v>
      </c>
      <c r="D2561" s="2" t="str">
        <f t="shared" si="39"/>
        <v>Error?</v>
      </c>
    </row>
    <row r="2562" spans="1:4" x14ac:dyDescent="0.2">
      <c r="A2562" s="5">
        <v>2501</v>
      </c>
      <c r="B2562" s="138">
        <f>'Acct Summary 7-8'!C20</f>
        <v>605444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685386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685386</v>
      </c>
      <c r="C2568" s="2" t="s">
        <v>594</v>
      </c>
      <c r="D2568" s="2" t="str">
        <f t="shared" si="39"/>
        <v>Error?</v>
      </c>
    </row>
    <row r="2569" spans="1:4" x14ac:dyDescent="0.2">
      <c r="A2569" s="5">
        <v>2508</v>
      </c>
      <c r="B2569" s="138">
        <f>'Acct Summary 7-8'!D13</f>
        <v>885947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885947</v>
      </c>
      <c r="C2573" s="2" t="s">
        <v>594</v>
      </c>
      <c r="D2573" s="2" t="str">
        <f t="shared" si="39"/>
        <v>Error?</v>
      </c>
    </row>
    <row r="2574" spans="1:4" x14ac:dyDescent="0.2">
      <c r="A2574" s="5">
        <v>2513</v>
      </c>
      <c r="B2574" s="138">
        <f>'Acct Summary 7-8'!D20</f>
        <v>-200561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199379</v>
      </c>
      <c r="C2591" s="2" t="s">
        <v>594</v>
      </c>
      <c r="D2591" s="2" t="str">
        <f t="shared" si="39"/>
        <v>Error?</v>
      </c>
    </row>
    <row r="2592" spans="1:4" x14ac:dyDescent="0.2">
      <c r="A2592" s="10">
        <v>2531</v>
      </c>
      <c r="D2592" s="2" t="str">
        <f t="shared" si="39"/>
        <v>OK</v>
      </c>
    </row>
    <row r="2593" spans="1:4" x14ac:dyDescent="0.2">
      <c r="A2593" s="5">
        <v>2532</v>
      </c>
      <c r="B2593" s="138">
        <f>'Acct Summary 7-8'!F6</f>
        <v>294680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494059</v>
      </c>
      <c r="C2595" s="2" t="s">
        <v>594</v>
      </c>
      <c r="D2595" s="2" t="str">
        <f t="shared" si="39"/>
        <v>Error?</v>
      </c>
    </row>
    <row r="2596" spans="1:4" x14ac:dyDescent="0.2">
      <c r="A2596" s="5">
        <v>2535</v>
      </c>
      <c r="B2596" s="138">
        <f>'Acct Summary 7-8'!F13</f>
        <v>363327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72382</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435709</v>
      </c>
      <c r="C2600" s="2" t="s">
        <v>594</v>
      </c>
      <c r="D2600" s="2" t="str">
        <f t="shared" si="39"/>
        <v>Error?</v>
      </c>
    </row>
    <row r="2601" spans="1:4" x14ac:dyDescent="0.2">
      <c r="A2601" s="5">
        <v>2540</v>
      </c>
      <c r="B2601" s="138">
        <f>'Acct Summary 7-8'!F20</f>
        <v>58350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225800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225800</v>
      </c>
      <c r="C2606" s="2" t="s">
        <v>594</v>
      </c>
      <c r="D2606" s="2" t="str">
        <f t="shared" si="39"/>
        <v>Error?</v>
      </c>
    </row>
    <row r="2607" spans="1:4" x14ac:dyDescent="0.2">
      <c r="A2607" s="5">
        <v>2546</v>
      </c>
      <c r="B2607" s="138">
        <f>'Acct Summary 7-8'!G12</f>
        <v>53102</v>
      </c>
      <c r="C2607" s="2" t="s">
        <v>594</v>
      </c>
      <c r="D2607" s="2" t="str">
        <f t="shared" si="39"/>
        <v>Error?</v>
      </c>
    </row>
    <row r="2608" spans="1:4" x14ac:dyDescent="0.2">
      <c r="A2608" s="5">
        <v>2547</v>
      </c>
      <c r="B2608" s="138">
        <f>'Acct Summary 7-8'!G13</f>
        <v>129664</v>
      </c>
      <c r="C2608" s="2" t="s">
        <v>594</v>
      </c>
      <c r="D2608" s="2" t="str">
        <f t="shared" si="39"/>
        <v>Error?</v>
      </c>
    </row>
    <row r="2609" spans="1:4" x14ac:dyDescent="0.2">
      <c r="A2609" s="5">
        <v>2548</v>
      </c>
      <c r="B2609" s="138">
        <f>'Acct Summary 7-8'!G14</f>
        <v>4279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187045</v>
      </c>
      <c r="C2612" s="2" t="s">
        <v>594</v>
      </c>
      <c r="D2612" s="2" t="str">
        <f t="shared" si="39"/>
        <v>Error?</v>
      </c>
    </row>
    <row r="2613" spans="1:4" x14ac:dyDescent="0.2">
      <c r="A2613" s="5">
        <v>2552</v>
      </c>
      <c r="B2613" s="138">
        <f>'Acct Summary 7-8'!G20</f>
        <v>38755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1096795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1096795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1092598</v>
      </c>
      <c r="C2634" s="2" t="s">
        <v>594</v>
      </c>
      <c r="D2634" s="2" t="str">
        <f t="shared" si="40"/>
        <v>Error?</v>
      </c>
    </row>
    <row r="2635" spans="1:4" x14ac:dyDescent="0.2">
      <c r="A2635" s="5">
        <v>2574</v>
      </c>
      <c r="B2635" s="138">
        <f>'Acct Summary 7-8'!E17</f>
        <v>1092598</v>
      </c>
      <c r="C2635" s="2" t="s">
        <v>594</v>
      </c>
      <c r="D2635" s="2" t="str">
        <f t="shared" si="40"/>
        <v>Error?</v>
      </c>
    </row>
    <row r="2636" spans="1:4" x14ac:dyDescent="0.2">
      <c r="A2636" s="5">
        <v>2575</v>
      </c>
      <c r="B2636" s="138">
        <f>'Acct Summary 7-8'!E20</f>
        <v>4197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5692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5692</v>
      </c>
      <c r="C2658" s="2" t="s">
        <v>594</v>
      </c>
      <c r="D2658" s="2" t="str">
        <f t="shared" si="40"/>
        <v>Error?</v>
      </c>
    </row>
    <row r="2659" spans="1:4" x14ac:dyDescent="0.2">
      <c r="A2659" s="5">
        <v>2598</v>
      </c>
      <c r="B2659" s="138">
        <f>'Acct Summary 7-8'!H13</f>
        <v>3903604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3903604</v>
      </c>
      <c r="C2661" s="2" t="s">
        <v>594</v>
      </c>
      <c r="D2661" s="2" t="str">
        <f t="shared" si="40"/>
        <v>Error?</v>
      </c>
    </row>
    <row r="2662" spans="1:4" x14ac:dyDescent="0.2">
      <c r="A2662" s="5">
        <v>2601</v>
      </c>
      <c r="B2662" s="138">
        <f>'Acct Summary 7-8'!H20</f>
        <v>-3897912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72382</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72382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1491014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1781924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64440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1781924</v>
      </c>
      <c r="D2912" s="2" t="str">
        <f t="shared" si="44"/>
        <v>Error?</v>
      </c>
    </row>
    <row r="2913" spans="1:4" x14ac:dyDescent="0.2">
      <c r="A2913" s="5">
        <v>2852</v>
      </c>
      <c r="B2913" s="138">
        <f>'Assets-Liab 5-6'!I41</f>
        <v>1781924</v>
      </c>
      <c r="C2913" s="2" t="s">
        <v>594</v>
      </c>
      <c r="D2913" s="2" t="str">
        <f t="shared" si="44"/>
        <v>Error?</v>
      </c>
    </row>
    <row r="2914" spans="1:4" x14ac:dyDescent="0.2">
      <c r="A2914" s="5">
        <v>2853</v>
      </c>
      <c r="B2914" s="138">
        <f>'Assets-Liab 5-6'!L33</f>
        <v>64440</v>
      </c>
      <c r="D2914" s="2" t="str">
        <f t="shared" si="44"/>
        <v>Error?</v>
      </c>
    </row>
    <row r="2915" spans="1:4" x14ac:dyDescent="0.2">
      <c r="A2915" s="10">
        <v>2854</v>
      </c>
      <c r="D2915" s="2" t="str">
        <f t="shared" si="44"/>
        <v>OK</v>
      </c>
    </row>
    <row r="2916" spans="1:4" x14ac:dyDescent="0.2">
      <c r="A2916" s="5">
        <v>2855</v>
      </c>
      <c r="B2916" s="138">
        <f>'Assets-Liab 5-6'!L34</f>
        <v>64440</v>
      </c>
      <c r="C2916" s="2" t="s">
        <v>594</v>
      </c>
      <c r="D2916" s="2" t="str">
        <f t="shared" si="44"/>
        <v>Error?</v>
      </c>
    </row>
    <row r="2917" spans="1:4" x14ac:dyDescent="0.2">
      <c r="A2917" s="5">
        <v>2856</v>
      </c>
      <c r="B2917" s="138">
        <f>'Assets-Liab 5-6'!L41</f>
        <v>64440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11303</v>
      </c>
      <c r="D2955" s="2" t="str">
        <f t="shared" si="45"/>
        <v>Error?</v>
      </c>
    </row>
    <row r="2956" spans="1:4" x14ac:dyDescent="0.2">
      <c r="A2956" s="5">
        <v>2895</v>
      </c>
      <c r="B2956" s="138">
        <f>'Expenditures 15-22'!H79</f>
        <v>603280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8581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455300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11303</v>
      </c>
      <c r="C2973" s="2" t="s">
        <v>594</v>
      </c>
      <c r="D2973" s="2" t="str">
        <f t="shared" si="45"/>
        <v>Error?</v>
      </c>
    </row>
    <row r="2974" spans="1:4" x14ac:dyDescent="0.2">
      <c r="A2974" s="5">
        <v>2913</v>
      </c>
      <c r="B2974" s="138">
        <f>'Expenditures 15-22'!K79</f>
        <v>603280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8581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455300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72382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72382</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99287</v>
      </c>
      <c r="D3055" s="2" t="str">
        <f t="shared" si="46"/>
        <v>Error?</v>
      </c>
    </row>
    <row r="3056" spans="1:4" x14ac:dyDescent="0.2">
      <c r="A3056" s="5">
        <v>2995</v>
      </c>
      <c r="B3056" s="138">
        <f>'Expenditures 15-22'!D10</f>
        <v>28858</v>
      </c>
      <c r="D3056" s="2" t="str">
        <f t="shared" si="46"/>
        <v>Error?</v>
      </c>
    </row>
    <row r="3057" spans="1:4" x14ac:dyDescent="0.2">
      <c r="A3057" s="5">
        <v>2996</v>
      </c>
      <c r="B3057" s="138">
        <f>'Expenditures 15-22'!E10</f>
        <v>51562</v>
      </c>
      <c r="D3057" s="2" t="str">
        <f t="shared" si="46"/>
        <v>Error?</v>
      </c>
    </row>
    <row r="3058" spans="1:4" x14ac:dyDescent="0.2">
      <c r="A3058" s="5">
        <v>2997</v>
      </c>
      <c r="B3058" s="138">
        <f>'Expenditures 15-22'!F10</f>
        <v>26716</v>
      </c>
      <c r="D3058" s="2" t="str">
        <f t="shared" si="46"/>
        <v>Error?</v>
      </c>
    </row>
    <row r="3059" spans="1:4" x14ac:dyDescent="0.2">
      <c r="A3059" s="5">
        <v>2998</v>
      </c>
      <c r="B3059" s="138">
        <f>'Expenditures 15-22'!G10</f>
        <v>69476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275899</v>
      </c>
      <c r="C3062" s="2" t="s">
        <v>594</v>
      </c>
      <c r="D3062" s="2" t="str">
        <f t="shared" si="46"/>
        <v>Error?</v>
      </c>
    </row>
    <row r="3063" spans="1:4" x14ac:dyDescent="0.2">
      <c r="A3063" s="10">
        <v>3002</v>
      </c>
      <c r="D3063" s="2" t="str">
        <f t="shared" si="46"/>
        <v>OK</v>
      </c>
    </row>
    <row r="3064" spans="1:4" x14ac:dyDescent="0.2">
      <c r="A3064" s="5">
        <v>3003</v>
      </c>
      <c r="B3064" s="138">
        <f>'Expenditures 15-22'!D219</f>
        <v>6154</v>
      </c>
      <c r="D3064" s="2" t="str">
        <f t="shared" si="46"/>
        <v>Error?</v>
      </c>
    </row>
    <row r="3065" spans="1:4" x14ac:dyDescent="0.2">
      <c r="A3065" s="5">
        <v>3004</v>
      </c>
      <c r="B3065" s="138">
        <f>'Expenditures 15-22'!K219</f>
        <v>6154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51365</v>
      </c>
      <c r="C3225" s="2" t="s">
        <v>594</v>
      </c>
      <c r="D3225" s="2" t="str">
        <f t="shared" si="49"/>
        <v>Error?</v>
      </c>
    </row>
    <row r="3226" spans="1:4" x14ac:dyDescent="0.2">
      <c r="A3226" s="5">
        <v>3165</v>
      </c>
      <c r="B3226" s="138">
        <f>'Acct Summary 7-8'!I8</f>
        <v>51365</v>
      </c>
      <c r="C3226" s="2" t="s">
        <v>594</v>
      </c>
      <c r="D3226" s="2" t="str">
        <f t="shared" si="49"/>
        <v>Error?</v>
      </c>
    </row>
    <row r="3227" spans="1:4" x14ac:dyDescent="0.2">
      <c r="A3227" s="5">
        <v>3166</v>
      </c>
      <c r="B3227" s="138">
        <f>'Acct Summary 7-8'!I20</f>
        <v>51365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605444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200000</v>
      </c>
      <c r="C3238" s="2" t="s">
        <v>594</v>
      </c>
      <c r="D3238" s="2" t="str">
        <f t="shared" si="49"/>
        <v>Error?</v>
      </c>
    </row>
    <row r="3239" spans="1:4" x14ac:dyDescent="0.2">
      <c r="A3239" s="5">
        <v>3178</v>
      </c>
      <c r="B3239" s="138">
        <f>'Acct Summary 7-8'!D78</f>
        <v>-561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58350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38755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4197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-3897912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202000</v>
      </c>
      <c r="C3318" s="2" t="s">
        <v>594</v>
      </c>
      <c r="D3318" s="2" t="str">
        <f t="shared" si="50"/>
        <v>Error?</v>
      </c>
    </row>
    <row r="3319" spans="1:4" x14ac:dyDescent="0.2">
      <c r="A3319" s="5">
        <v>3258</v>
      </c>
      <c r="B3319" s="138">
        <f>'Acct Summary 7-8'!I77</f>
        <v>-202000</v>
      </c>
      <c r="C3319" s="2" t="s">
        <v>594</v>
      </c>
      <c r="D3319" s="2" t="str">
        <f t="shared" si="50"/>
        <v>Error?</v>
      </c>
    </row>
    <row r="3320" spans="1:4" x14ac:dyDescent="0.2">
      <c r="A3320" s="5">
        <v>3259</v>
      </c>
      <c r="B3320" s="138">
        <f>'Acct Summary 7-8'!I78</f>
        <v>-150635</v>
      </c>
      <c r="C3320" s="2" t="s">
        <v>594</v>
      </c>
      <c r="D3320" s="2" t="str">
        <f t="shared" si="50"/>
        <v>Error?</v>
      </c>
    </row>
    <row r="3321" spans="1:4" x14ac:dyDescent="0.2">
      <c r="A3321" s="5">
        <v>3260</v>
      </c>
      <c r="B3321" s="138">
        <f>'Acct Summary 7-8'!I79</f>
        <v>1932559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1781924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34758</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34758</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842600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2117573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499289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12488</v>
      </c>
      <c r="D3417" s="2" t="str">
        <f t="shared" si="52"/>
        <v>Error?</v>
      </c>
    </row>
    <row r="3418" spans="1:4" x14ac:dyDescent="0.2">
      <c r="A3418" s="10">
        <v>3357</v>
      </c>
      <c r="D3418" s="2" t="str">
        <f t="shared" si="52"/>
        <v>OK</v>
      </c>
    </row>
    <row r="3419" spans="1:4" x14ac:dyDescent="0.2">
      <c r="A3419" s="5">
        <v>3358</v>
      </c>
      <c r="B3419" s="138">
        <f>'Assets-Liab 5-6'!F4</f>
        <v>292639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37296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2568</v>
      </c>
      <c r="D3425" s="2" t="str">
        <f t="shared" si="52"/>
        <v>Error?</v>
      </c>
    </row>
    <row r="3426" spans="1:4" x14ac:dyDescent="0.2">
      <c r="A3426" s="10">
        <v>3365</v>
      </c>
      <c r="D3426" s="2" t="str">
        <f t="shared" si="52"/>
        <v>OK</v>
      </c>
    </row>
    <row r="3427" spans="1:4" x14ac:dyDescent="0.2">
      <c r="A3427" s="5">
        <v>3366</v>
      </c>
      <c r="B3427" s="138">
        <f>'Assets-Liab 5-6'!I4</f>
        <v>290910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64440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132403</v>
      </c>
      <c r="C3446" s="2" t="s">
        <v>594</v>
      </c>
      <c r="D3446" s="2" t="str">
        <f t="shared" si="52"/>
        <v>Error?</v>
      </c>
    </row>
    <row r="3447" spans="1:4" x14ac:dyDescent="0.2">
      <c r="A3447" s="5">
        <v>3386</v>
      </c>
      <c r="B3447" s="138">
        <f>'Tax Sched 23'!D16</f>
        <v>132403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137670</v>
      </c>
      <c r="C3449" s="2" t="s">
        <v>594</v>
      </c>
      <c r="D3449" s="2" t="str">
        <f t="shared" si="52"/>
        <v>Error?</v>
      </c>
    </row>
    <row r="3450" spans="1:4" x14ac:dyDescent="0.2">
      <c r="A3450" s="5">
        <v>3389</v>
      </c>
      <c r="B3450" s="138">
        <f>'Tax Sched 23'!E16</f>
        <v>137670</v>
      </c>
      <c r="D3450" s="2" t="str">
        <f t="shared" si="52"/>
        <v>Error?</v>
      </c>
    </row>
    <row r="3451" spans="1:4" x14ac:dyDescent="0.2">
      <c r="A3451" s="5">
        <v>3390</v>
      </c>
      <c r="B3451" s="138">
        <f>'Cap Outlay Deprec 26'!C15</f>
        <v>12868245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12868245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24290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33000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57290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57290</v>
      </c>
      <c r="D3567" s="2" t="str">
        <f t="shared" si="54"/>
        <v>Error?</v>
      </c>
    </row>
    <row r="3568" spans="1:4" x14ac:dyDescent="0.2">
      <c r="A3568" s="5">
        <v>3507</v>
      </c>
      <c r="B3568" s="138">
        <f>'Assets-Liab 5-6'!K41</f>
        <v>57290</v>
      </c>
      <c r="C3568" s="2" t="s">
        <v>594</v>
      </c>
      <c r="D3568" s="2" t="str">
        <f t="shared" si="54"/>
        <v>Error?</v>
      </c>
    </row>
    <row r="3569" spans="1:4" x14ac:dyDescent="0.2">
      <c r="A3569" s="5">
        <v>3508</v>
      </c>
      <c r="B3569" s="138">
        <f>'Acct Summary 7-8'!K4</f>
        <v>43497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43497</v>
      </c>
      <c r="C3571" s="2" t="s">
        <v>594</v>
      </c>
      <c r="D3571" s="2" t="str">
        <f t="shared" si="54"/>
        <v>Error?</v>
      </c>
    </row>
    <row r="3572" spans="1:4" x14ac:dyDescent="0.2">
      <c r="A3572" s="5">
        <v>3511</v>
      </c>
      <c r="B3572" s="138">
        <f>'Acct Summary 7-8'!K13</f>
        <v>550000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550000</v>
      </c>
      <c r="C3575" s="2" t="s">
        <v>594</v>
      </c>
      <c r="D3575" s="2" t="str">
        <f t="shared" si="54"/>
        <v>Error?</v>
      </c>
    </row>
    <row r="3576" spans="1:4" x14ac:dyDescent="0.2">
      <c r="A3576" s="5">
        <v>3515</v>
      </c>
      <c r="B3576" s="138">
        <f>'Acct Summary 7-8'!K20</f>
        <v>-506503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-506503</v>
      </c>
      <c r="C3588" s="2" t="s">
        <v>594</v>
      </c>
      <c r="D3588" s="2" t="str">
        <f t="shared" si="55"/>
        <v>Error?</v>
      </c>
    </row>
    <row r="3589" spans="1:4" x14ac:dyDescent="0.2">
      <c r="A3589" s="5">
        <v>3528</v>
      </c>
      <c r="B3589" s="138">
        <f>'Acct Summary 7-8'!K79</f>
        <v>563793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57290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550000</v>
      </c>
      <c r="D3646" s="2" t="str">
        <f t="shared" si="55"/>
        <v>Error?</v>
      </c>
    </row>
    <row r="3647" spans="1:4" x14ac:dyDescent="0.2">
      <c r="A3647" s="5">
        <v>3586</v>
      </c>
      <c r="B3647" s="138">
        <f>'Expenditures 15-22'!G350</f>
        <v>550000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550000</v>
      </c>
      <c r="C3649" s="2" t="s">
        <v>594</v>
      </c>
      <c r="D3649" s="2" t="str">
        <f t="shared" si="56"/>
        <v>Error?</v>
      </c>
    </row>
    <row r="3650" spans="1:4" x14ac:dyDescent="0.2">
      <c r="A3650" s="5">
        <v>3589</v>
      </c>
      <c r="B3650" s="138">
        <f>'Expenditures 15-22'!G367</f>
        <v>550000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550000</v>
      </c>
      <c r="C3669" s="2" t="s">
        <v>594</v>
      </c>
      <c r="D3669" s="2" t="str">
        <f t="shared" si="56"/>
        <v>Error?</v>
      </c>
    </row>
    <row r="3670" spans="1:4" x14ac:dyDescent="0.2">
      <c r="A3670" s="5">
        <v>3609</v>
      </c>
      <c r="B3670" s="138">
        <f>'Expenditures 15-22'!K350</f>
        <v>550000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550000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550000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-506503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40991</v>
      </c>
      <c r="C3725" s="2" t="s">
        <v>594</v>
      </c>
      <c r="D3725" s="2" t="str">
        <f t="shared" si="57"/>
        <v>Error?</v>
      </c>
    </row>
    <row r="3726" spans="1:4" x14ac:dyDescent="0.2">
      <c r="A3726" s="5">
        <v>3665</v>
      </c>
      <c r="B3726" s="138">
        <f>'Tax Sched 23'!D13</f>
        <v>40991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42496</v>
      </c>
      <c r="C3728" s="2" t="s">
        <v>594</v>
      </c>
      <c r="D3728" s="2" t="str">
        <f t="shared" si="57"/>
        <v>Error?</v>
      </c>
    </row>
    <row r="3729" spans="1:4" x14ac:dyDescent="0.2">
      <c r="A3729" s="5">
        <v>3668</v>
      </c>
      <c r="B3729" s="138">
        <f>'Tax Sched 23'!E13</f>
        <v>42496</v>
      </c>
      <c r="D3729" s="2" t="str">
        <f t="shared" si="57"/>
        <v>Error?</v>
      </c>
    </row>
    <row r="3730" spans="1:4" x14ac:dyDescent="0.2">
      <c r="A3730" s="5">
        <v>3669</v>
      </c>
      <c r="B3730" s="138">
        <f>'ICR Computation 30'!E10</f>
        <v>127863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2263209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8648094</v>
      </c>
      <c r="C4122" s="2" t="s">
        <v>594</v>
      </c>
      <c r="D4122" s="2" t="str">
        <f t="shared" si="63"/>
        <v>Error?</v>
      </c>
    </row>
    <row r="4123" spans="1:4" x14ac:dyDescent="0.2">
      <c r="A4123" s="5">
        <v>4062</v>
      </c>
      <c r="B4123" s="138">
        <f>'Acct Summary 7-8'!D10</f>
        <v>685386</v>
      </c>
      <c r="C4123" s="2" t="s">
        <v>594</v>
      </c>
      <c r="D4123" s="2" t="str">
        <f t="shared" si="63"/>
        <v>Error?</v>
      </c>
    </row>
    <row r="4124" spans="1:4" x14ac:dyDescent="0.2">
      <c r="A4124" s="5">
        <v>4063</v>
      </c>
      <c r="B4124" s="138">
        <f>'Acct Summary 7-8'!E10</f>
        <v>1096795</v>
      </c>
      <c r="C4124" s="2" t="s">
        <v>594</v>
      </c>
      <c r="D4124" s="2" t="str">
        <f t="shared" si="63"/>
        <v>Error?</v>
      </c>
    </row>
    <row r="4125" spans="1:4" x14ac:dyDescent="0.2">
      <c r="A4125" s="5">
        <v>4064</v>
      </c>
      <c r="B4125" s="138">
        <f>'Acct Summary 7-8'!F10</f>
        <v>494059</v>
      </c>
      <c r="C4125" s="2" t="s">
        <v>594</v>
      </c>
      <c r="D4125" s="2" t="str">
        <f t="shared" si="63"/>
        <v>Error?</v>
      </c>
    </row>
    <row r="4126" spans="1:4" x14ac:dyDescent="0.2">
      <c r="A4126" s="5">
        <v>4065</v>
      </c>
      <c r="B4126" s="138">
        <f>'Acct Summary 7-8'!G10</f>
        <v>225800</v>
      </c>
      <c r="C4126" s="2" t="s">
        <v>594</v>
      </c>
      <c r="D4126" s="2" t="str">
        <f t="shared" si="63"/>
        <v>Error?</v>
      </c>
    </row>
    <row r="4127" spans="1:4" x14ac:dyDescent="0.2">
      <c r="A4127" s="5">
        <v>4066</v>
      </c>
      <c r="B4127" s="138">
        <f>'Acct Summary 7-8'!H10</f>
        <v>5692</v>
      </c>
      <c r="C4127" s="2" t="s">
        <v>594</v>
      </c>
      <c r="D4127" s="2" t="str">
        <f t="shared" si="63"/>
        <v>Error?</v>
      </c>
    </row>
    <row r="4128" spans="1:4" x14ac:dyDescent="0.2">
      <c r="A4128" s="5">
        <v>4067</v>
      </c>
      <c r="B4128" s="138">
        <f>'Acct Summary 7-8'!I10</f>
        <v>51365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43497</v>
      </c>
      <c r="C4130" s="2" t="s">
        <v>594</v>
      </c>
      <c r="D4130" s="2" t="str">
        <f t="shared" si="63"/>
        <v>Error?</v>
      </c>
    </row>
    <row r="4131" spans="1:4" x14ac:dyDescent="0.2">
      <c r="A4131" s="5">
        <v>4070</v>
      </c>
      <c r="B4131" s="138">
        <f>'Acct Summary 7-8'!C18</f>
        <v>2263209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8042650</v>
      </c>
      <c r="C4136" s="2" t="s">
        <v>594</v>
      </c>
      <c r="D4136" s="2" t="str">
        <f t="shared" si="63"/>
        <v>Error?</v>
      </c>
    </row>
    <row r="4137" spans="1:4" x14ac:dyDescent="0.2">
      <c r="A4137" s="5">
        <v>4076</v>
      </c>
      <c r="B4137" s="138">
        <f>'Acct Summary 7-8'!D19</f>
        <v>885947</v>
      </c>
      <c r="C4137" s="2" t="s">
        <v>594</v>
      </c>
      <c r="D4137" s="2" t="str">
        <f t="shared" si="63"/>
        <v>Error?</v>
      </c>
    </row>
    <row r="4138" spans="1:4" x14ac:dyDescent="0.2">
      <c r="A4138" s="5">
        <v>4077</v>
      </c>
      <c r="B4138" s="138">
        <f>'Acct Summary 7-8'!E19</f>
        <v>1092598</v>
      </c>
      <c r="C4138" s="2" t="s">
        <v>594</v>
      </c>
      <c r="D4138" s="2" t="str">
        <f t="shared" si="63"/>
        <v>Error?</v>
      </c>
    </row>
    <row r="4139" spans="1:4" x14ac:dyDescent="0.2">
      <c r="A4139" s="5">
        <v>4078</v>
      </c>
      <c r="B4139" s="138">
        <f>'Acct Summary 7-8'!F19</f>
        <v>435709</v>
      </c>
      <c r="C4139" s="2" t="s">
        <v>594</v>
      </c>
      <c r="D4139" s="2" t="str">
        <f t="shared" si="63"/>
        <v>Error?</v>
      </c>
    </row>
    <row r="4140" spans="1:4" x14ac:dyDescent="0.2">
      <c r="A4140" s="5">
        <v>4079</v>
      </c>
      <c r="B4140" s="138">
        <f>'Acct Summary 7-8'!G19</f>
        <v>187045</v>
      </c>
      <c r="C4140" s="2" t="s">
        <v>594</v>
      </c>
      <c r="D4140" s="2" t="str">
        <f t="shared" si="63"/>
        <v>Error?</v>
      </c>
    </row>
    <row r="4141" spans="1:4" x14ac:dyDescent="0.2">
      <c r="A4141" s="5">
        <v>4080</v>
      </c>
      <c r="B4141" s="138">
        <f>'Acct Summary 7-8'!H19</f>
        <v>3903604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550000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17990905</v>
      </c>
      <c r="C4171" s="2" t="s">
        <v>594</v>
      </c>
      <c r="D4171" s="2" t="str">
        <f t="shared" si="64"/>
        <v>Error?</v>
      </c>
    </row>
    <row r="4172" spans="1:4" x14ac:dyDescent="0.2">
      <c r="A4172" s="5">
        <v>4111</v>
      </c>
      <c r="B4172" s="138">
        <f>'Short-Term Long-Term Debt 24'!J49</f>
        <v>17978417</v>
      </c>
      <c r="C4172" s="2" t="s">
        <v>594</v>
      </c>
      <c r="D4172" s="2" t="str">
        <f t="shared" si="64"/>
        <v>Error?</v>
      </c>
    </row>
    <row r="4173" spans="1:4" x14ac:dyDescent="0.2">
      <c r="A4173" s="5">
        <v>4112</v>
      </c>
      <c r="B4173" s="138">
        <f>'Short-Term Long-Term Debt 24'!H49</f>
        <v>352525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3190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239.99999999999997</v>
      </c>
      <c r="C4267" s="2" t="s">
        <v>594</v>
      </c>
      <c r="D4267" s="2" t="str">
        <f t="shared" si="65"/>
        <v>Error?</v>
      </c>
      <c r="E4267" s="128"/>
    </row>
    <row r="4268" spans="1:5" x14ac:dyDescent="0.2">
      <c r="A4268" s="12">
        <v>4207</v>
      </c>
      <c r="B4268" s="138">
        <f>('FP Info 3'!J10)*100000</f>
        <v>4180</v>
      </c>
      <c r="C4268" s="2" t="s">
        <v>594</v>
      </c>
      <c r="D4268" s="2" t="str">
        <f t="shared" si="65"/>
        <v>Error?</v>
      </c>
    </row>
    <row r="4269" spans="1:5" x14ac:dyDescent="0.2">
      <c r="A4269" s="12">
        <v>4208</v>
      </c>
      <c r="B4269" s="138">
        <f>'FP Info 3'!J16</f>
        <v>6226326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31457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30591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10393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98329</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84991684</v>
      </c>
      <c r="D4995" s="2" t="str">
        <f t="shared" si="77"/>
        <v>Error?</v>
      </c>
    </row>
    <row r="4996" spans="1:4" x14ac:dyDescent="0.2">
      <c r="A4996" s="12">
        <v>4935</v>
      </c>
      <c r="B4996" s="138">
        <f>'FP Info 3'!H31</f>
        <v>11728852.392000001</v>
      </c>
      <c r="D4996" s="2" t="str">
        <f t="shared" si="77"/>
        <v>Error?</v>
      </c>
    </row>
    <row r="4997" spans="1:4" x14ac:dyDescent="0.2">
      <c r="A4997" s="12">
        <v>4936</v>
      </c>
      <c r="B4997" s="138">
        <f>'FP Info 3'!H37</f>
        <v>17990905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40991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2615232</v>
      </c>
      <c r="D5061" s="2" t="str">
        <f t="shared" si="78"/>
        <v>Error?</v>
      </c>
    </row>
    <row r="5062" spans="1:4" x14ac:dyDescent="0.2">
      <c r="A5062" s="10">
        <v>5001</v>
      </c>
      <c r="D5062" s="2" t="str">
        <f t="shared" si="78"/>
        <v>OK</v>
      </c>
    </row>
    <row r="5063" spans="1:4" x14ac:dyDescent="0.2">
      <c r="A5063" s="5">
        <v>5002</v>
      </c>
      <c r="B5063" s="138">
        <f>'Revenues 9-14'!C7</f>
        <v>32790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2689013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170613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170613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10779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10779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5675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49724</v>
      </c>
      <c r="C5096" s="2" t="s">
        <v>594</v>
      </c>
      <c r="D5096" s="2" t="str">
        <f t="shared" si="78"/>
        <v>Error?</v>
      </c>
    </row>
    <row r="5097" spans="1:4" x14ac:dyDescent="0.2">
      <c r="A5097" s="5">
        <v>5036</v>
      </c>
      <c r="B5097" s="138">
        <f>'Revenues 9-14'!C77</f>
        <v>28313</v>
      </c>
      <c r="D5097" s="2" t="str">
        <f t="shared" si="78"/>
        <v>Error?</v>
      </c>
    </row>
    <row r="5098" spans="1:4" x14ac:dyDescent="0.2">
      <c r="A5098" s="5">
        <v>5037</v>
      </c>
      <c r="B5098" s="138">
        <f>'Revenues 9-14'!C78</f>
        <v>6148</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34461</v>
      </c>
      <c r="C5102" s="2" t="s">
        <v>594</v>
      </c>
      <c r="D5102" s="2" t="str">
        <f t="shared" si="78"/>
        <v>Error?</v>
      </c>
    </row>
    <row r="5103" spans="1:4" x14ac:dyDescent="0.2">
      <c r="A5103" s="5">
        <v>5042</v>
      </c>
      <c r="B5103" s="138">
        <f>'Revenues 9-14'!C84</f>
        <v>27747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27747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43003</v>
      </c>
      <c r="D5114" s="2" t="str">
        <f t="shared" si="78"/>
        <v>Error?</v>
      </c>
    </row>
    <row r="5115" spans="1:4" x14ac:dyDescent="0.2">
      <c r="A5115" s="5">
        <v>5054</v>
      </c>
      <c r="B5115" s="138">
        <f>'Revenues 9-14'!C98</f>
        <v>17318</v>
      </c>
      <c r="D5115" s="2" t="str">
        <f t="shared" si="78"/>
        <v>Error?</v>
      </c>
    </row>
    <row r="5116" spans="1:4" x14ac:dyDescent="0.2">
      <c r="A5116" s="5">
        <v>5055</v>
      </c>
      <c r="B5116" s="138">
        <f>'Revenues 9-14'!C99</f>
        <v>53948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102221</v>
      </c>
      <c r="D5119" s="2" t="str">
        <f t="shared" ref="D5119:D5182" si="79">IF(ISBLANK(B5119),"OK",IF(A5119-B5119=0,"OK","Error?"))</f>
        <v>Error?</v>
      </c>
    </row>
    <row r="5120" spans="1:4" x14ac:dyDescent="0.2">
      <c r="A5120" s="5">
        <v>5059</v>
      </c>
      <c r="B5120" s="138">
        <f>'Revenues 9-14'!C108</f>
        <v>216490</v>
      </c>
      <c r="C5120" s="2" t="s">
        <v>594</v>
      </c>
      <c r="D5120" s="2" t="str">
        <f t="shared" si="79"/>
        <v>Error?</v>
      </c>
    </row>
    <row r="5121" spans="1:4" x14ac:dyDescent="0.2">
      <c r="A5121" s="5">
        <v>5060</v>
      </c>
      <c r="B5121" s="138">
        <f>'Revenues 9-14'!C109</f>
        <v>3198827</v>
      </c>
      <c r="C5121" s="2" t="s">
        <v>594</v>
      </c>
      <c r="D5121" s="2" t="str">
        <f t="shared" si="79"/>
        <v>Error?</v>
      </c>
    </row>
    <row r="5122" spans="1:4" x14ac:dyDescent="0.2">
      <c r="A5122" s="5">
        <v>5061</v>
      </c>
      <c r="B5122" s="138">
        <f>'Revenues 9-14'!C111</f>
        <v>690300</v>
      </c>
      <c r="D5122" s="2" t="str">
        <f t="shared" si="79"/>
        <v>Error?</v>
      </c>
    </row>
    <row r="5123" spans="1:4" x14ac:dyDescent="0.2">
      <c r="A5123" s="5">
        <v>5062</v>
      </c>
      <c r="B5123" s="138">
        <f>'Revenues 9-14'!C112</f>
        <v>152300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842600</v>
      </c>
      <c r="C5125" s="2" t="s">
        <v>594</v>
      </c>
      <c r="D5125" s="2" t="str">
        <f t="shared" si="79"/>
        <v>Error?</v>
      </c>
    </row>
    <row r="5126" spans="1:4" x14ac:dyDescent="0.2">
      <c r="A5126" s="5">
        <v>5065</v>
      </c>
      <c r="B5126" s="138">
        <f>'Revenues 9-14'!C117</f>
        <v>1643500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1741829</v>
      </c>
      <c r="C5132" s="2" t="s">
        <v>594</v>
      </c>
      <c r="D5132" s="2" t="str">
        <f t="shared" si="79"/>
        <v>Error?</v>
      </c>
    </row>
    <row r="5133" spans="1:4" x14ac:dyDescent="0.2">
      <c r="A5133" s="5">
        <v>5072</v>
      </c>
      <c r="B5133" s="138">
        <f>'Revenues 9-14'!C124</f>
        <v>21995</v>
      </c>
      <c r="D5133" s="2" t="str">
        <f t="shared" si="79"/>
        <v>Error?</v>
      </c>
    </row>
    <row r="5134" spans="1:4" x14ac:dyDescent="0.2">
      <c r="A5134" s="5">
        <v>5073</v>
      </c>
      <c r="B5134" s="138">
        <f>'Revenues 9-14'!C125</f>
        <v>42536</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3360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713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68604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4114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2460</v>
      </c>
      <c r="D5167" s="2" t="str">
        <f t="shared" si="79"/>
        <v>Error?</v>
      </c>
    </row>
    <row r="5168" spans="1:4" x14ac:dyDescent="0.2">
      <c r="A5168" s="5">
        <v>5107</v>
      </c>
      <c r="B5168" s="138">
        <f>'Revenues 9-14'!C147</f>
        <v>8209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113978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1855807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123778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24950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148728</v>
      </c>
      <c r="C5246" s="2" t="s">
        <v>594</v>
      </c>
      <c r="D5246" s="2" t="str">
        <f t="shared" si="80"/>
        <v>Error?</v>
      </c>
    </row>
    <row r="5247" spans="1:4" x14ac:dyDescent="0.2">
      <c r="A5247" s="5">
        <v>5186</v>
      </c>
      <c r="B5247" s="138">
        <f>'Revenues 9-14'!C203</f>
        <v>288474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288474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8599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8599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487651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487651</v>
      </c>
      <c r="C5326" s="2" t="s">
        <v>594</v>
      </c>
      <c r="D5326" s="2" t="str">
        <f t="shared" si="82"/>
        <v>Error?</v>
      </c>
    </row>
    <row r="5327" spans="1:4" x14ac:dyDescent="0.2">
      <c r="A5327" s="5">
        <v>5266</v>
      </c>
      <c r="B5327" s="138">
        <f>'Revenues 9-14'!C275</f>
        <v>6384885</v>
      </c>
      <c r="C5327" s="2" t="s">
        <v>594</v>
      </c>
      <c r="D5327" s="2" t="str">
        <f t="shared" si="82"/>
        <v>Error?</v>
      </c>
    </row>
    <row r="5328" spans="1:4" x14ac:dyDescent="0.2">
      <c r="A5328" s="5">
        <v>5267</v>
      </c>
      <c r="B5328" s="138">
        <f>'Revenues 9-14'!D5</f>
        <v>614867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614867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1919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5500</v>
      </c>
      <c r="D5349" s="2" t="str">
        <f t="shared" si="82"/>
        <v>Error?</v>
      </c>
    </row>
    <row r="5350" spans="1:4" x14ac:dyDescent="0.2">
      <c r="A5350" s="5">
        <v>5289</v>
      </c>
      <c r="B5350" s="138">
        <f>'Revenues 9-14'!D96</f>
        <v>2200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60900</v>
      </c>
      <c r="D5354" s="2" t="str">
        <f t="shared" si="82"/>
        <v>Error?</v>
      </c>
    </row>
    <row r="5355" spans="1:4" x14ac:dyDescent="0.2">
      <c r="A5355" s="5">
        <v>5294</v>
      </c>
      <c r="B5355" s="138">
        <f>'Revenues 9-14'!D108</f>
        <v>68600</v>
      </c>
      <c r="C5355" s="2" t="s">
        <v>594</v>
      </c>
      <c r="D5355" s="2" t="str">
        <f t="shared" si="82"/>
        <v>Error?</v>
      </c>
    </row>
    <row r="5356" spans="1:4" x14ac:dyDescent="0.2">
      <c r="A5356" s="5">
        <v>5295</v>
      </c>
      <c r="B5356" s="138">
        <f>'Revenues 9-14'!D109</f>
        <v>685386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685386</v>
      </c>
      <c r="C5508" s="2" t="s">
        <v>594</v>
      </c>
      <c r="D5508" s="2" t="str">
        <f t="shared" si="85"/>
        <v>Error?</v>
      </c>
    </row>
    <row r="5509" spans="1:4" x14ac:dyDescent="0.2">
      <c r="A5509" s="5">
        <v>5448</v>
      </c>
      <c r="B5509" s="138">
        <f>'Revenues 9-14'!E5</f>
        <v>1096795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1096795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1096795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1096795</v>
      </c>
      <c r="C5552" s="2" t="s">
        <v>594</v>
      </c>
      <c r="D5552" s="2" t="str">
        <f t="shared" si="85"/>
        <v>Error?</v>
      </c>
    </row>
    <row r="5553" spans="1:4" x14ac:dyDescent="0.2">
      <c r="A5553" s="5">
        <v>5492</v>
      </c>
      <c r="B5553" s="138">
        <f>'Revenues 9-14'!F5</f>
        <v>196759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196759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1640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1640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340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640</v>
      </c>
      <c r="D5586" s="2" t="str">
        <f t="shared" si="86"/>
        <v>Error?</v>
      </c>
    </row>
    <row r="5587" spans="1:4" x14ac:dyDescent="0.2">
      <c r="A5587" s="5">
        <v>5526</v>
      </c>
      <c r="B5587" s="138">
        <f>'Revenues 9-14'!F108</f>
        <v>980</v>
      </c>
      <c r="C5587" s="2" t="s">
        <v>594</v>
      </c>
      <c r="D5587" s="2" t="str">
        <f t="shared" si="86"/>
        <v>Error?</v>
      </c>
    </row>
    <row r="5588" spans="1:4" x14ac:dyDescent="0.2">
      <c r="A5588" s="5">
        <v>5527</v>
      </c>
      <c r="B5588" s="138">
        <f>'Revenues 9-14'!F109</f>
        <v>199379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222323</v>
      </c>
      <c r="D5615" s="2" t="str">
        <f t="shared" si="86"/>
        <v>Error?</v>
      </c>
    </row>
    <row r="5616" spans="1:4" x14ac:dyDescent="0.2">
      <c r="A5616" s="10">
        <v>5555</v>
      </c>
      <c r="D5616" s="2" t="str">
        <f t="shared" si="86"/>
        <v>OK</v>
      </c>
    </row>
    <row r="5617" spans="1:4" x14ac:dyDescent="0.2">
      <c r="A5617" s="5">
        <v>5556</v>
      </c>
      <c r="B5617" s="138">
        <f>'Revenues 9-14'!F152</f>
        <v>72357</v>
      </c>
      <c r="D5617" s="2" t="str">
        <f t="shared" si="86"/>
        <v>Error?</v>
      </c>
    </row>
    <row r="5618" spans="1:4" x14ac:dyDescent="0.2">
      <c r="A5618" s="5">
        <v>5557</v>
      </c>
      <c r="B5618" s="138">
        <f>'Revenues 9-14'!F154</f>
        <v>294680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294680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294680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494059</v>
      </c>
      <c r="C5720" s="2" t="s">
        <v>594</v>
      </c>
      <c r="D5720" s="2" t="str">
        <f t="shared" si="88"/>
        <v>Error?</v>
      </c>
    </row>
    <row r="5721" spans="1:4" x14ac:dyDescent="0.2">
      <c r="A5721" s="5">
        <v>5660</v>
      </c>
      <c r="B5721" s="138">
        <f>'Revenues 9-14'!G5</f>
        <v>82755</v>
      </c>
      <c r="D5721" s="2" t="str">
        <f t="shared" si="88"/>
        <v>Error?</v>
      </c>
    </row>
    <row r="5722" spans="1:4" x14ac:dyDescent="0.2">
      <c r="A5722" s="5">
        <v>5661</v>
      </c>
      <c r="B5722" s="138">
        <f>'Revenues 9-14'!G7</f>
        <v>0</v>
      </c>
      <c r="D5722" s="2" t="str">
        <f t="shared" si="88"/>
        <v>Error?</v>
      </c>
    </row>
    <row r="5723" spans="1:4" x14ac:dyDescent="0.2">
      <c r="A5723" s="5">
        <v>5662</v>
      </c>
      <c r="B5723" s="138">
        <f>'Revenues 9-14'!G8</f>
        <v>132403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215158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8040</v>
      </c>
      <c r="C5730" s="2" t="s">
        <v>594</v>
      </c>
      <c r="D5730" s="2" t="str">
        <f t="shared" si="88"/>
        <v>Error?</v>
      </c>
    </row>
    <row r="5731" spans="1:4" x14ac:dyDescent="0.2">
      <c r="A5731" s="5">
        <v>5670</v>
      </c>
      <c r="B5731" s="138">
        <f>'Revenues 9-14'!G65</f>
        <v>2602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225800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5692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5692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5692</v>
      </c>
      <c r="C5915" s="2" t="s">
        <v>594</v>
      </c>
      <c r="D5915" s="2" t="str">
        <f t="shared" si="91"/>
        <v>Error?</v>
      </c>
    </row>
    <row r="5916" spans="1:4" x14ac:dyDescent="0.2">
      <c r="A5916" s="5">
        <v>5855</v>
      </c>
      <c r="B5916" s="138">
        <f>'Revenues 9-14'!I5</f>
        <v>40991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40991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10374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10374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51365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40991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40991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2506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2506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43497</v>
      </c>
      <c r="C6023" s="2" t="s">
        <v>594</v>
      </c>
      <c r="D6023" s="2" t="str">
        <f t="shared" si="93"/>
        <v>Error?</v>
      </c>
    </row>
    <row r="6024" spans="1:5" x14ac:dyDescent="0.2">
      <c r="A6024" s="5">
        <v>5963</v>
      </c>
      <c r="B6024" s="138">
        <f>'Revenues 9-14'!G109</f>
        <v>225800</v>
      </c>
      <c r="C6024" s="2" t="s">
        <v>594</v>
      </c>
      <c r="D6024" s="2" t="str">
        <f t="shared" si="93"/>
        <v>Error?</v>
      </c>
    </row>
    <row r="6025" spans="1:5" x14ac:dyDescent="0.2">
      <c r="A6025" s="5">
        <v>5964</v>
      </c>
      <c r="B6025" s="138">
        <f>'Revenues 9-14'!H109</f>
        <v>5692</v>
      </c>
      <c r="C6025" s="2" t="s">
        <v>594</v>
      </c>
      <c r="D6025" s="2" t="str">
        <f t="shared" si="93"/>
        <v>Error?</v>
      </c>
    </row>
    <row r="6026" spans="1:5" x14ac:dyDescent="0.2">
      <c r="A6026" s="5">
        <v>5965</v>
      </c>
      <c r="B6026" s="138">
        <f>'Revenues 9-14'!I109</f>
        <v>51365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43497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44049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512.03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981439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981439</v>
      </c>
      <c r="D6215" s="2" t="str">
        <f t="shared" si="96"/>
        <v>Error?</v>
      </c>
      <c r="E6215" s="2" t="s">
        <v>199</v>
      </c>
    </row>
    <row r="6216" spans="1:5" x14ac:dyDescent="0.2">
      <c r="A6216">
        <v>6155</v>
      </c>
      <c r="B6216" s="138">
        <f>'Assets-Liab 5-6'!J41</f>
        <v>981439</v>
      </c>
      <c r="D6216" s="2" t="str">
        <f t="shared" si="96"/>
        <v>Error?</v>
      </c>
      <c r="E6216" s="2" t="s">
        <v>199</v>
      </c>
    </row>
    <row r="6217" spans="1:5" x14ac:dyDescent="0.2">
      <c r="A6217">
        <v>6156</v>
      </c>
      <c r="B6217" s="138">
        <f>'Assets-Liab 5-6'!J4</f>
        <v>281439</v>
      </c>
      <c r="D6217" s="2" t="str">
        <f t="shared" si="96"/>
        <v>Error?</v>
      </c>
      <c r="E6217" s="2" t="s">
        <v>199</v>
      </c>
    </row>
    <row r="6218" spans="1:5" x14ac:dyDescent="0.2">
      <c r="A6218">
        <v>6157</v>
      </c>
      <c r="B6218" s="138">
        <f>'Assets-Liab 5-6'!J5</f>
        <v>700000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704150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704150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704150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636295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636295</v>
      </c>
      <c r="D6229" s="2" t="str">
        <f t="shared" si="96"/>
        <v>Error?</v>
      </c>
      <c r="E6229" s="2" t="s">
        <v>199</v>
      </c>
    </row>
    <row r="6230" spans="1:5" x14ac:dyDescent="0.2">
      <c r="A6230">
        <v>6169</v>
      </c>
      <c r="B6230" s="138">
        <f>'Acct Summary 7-8'!J20</f>
        <v>67855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2000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67855</v>
      </c>
      <c r="D6263" s="2" t="str">
        <f t="shared" si="96"/>
        <v>Error?</v>
      </c>
      <c r="E6263" s="2" t="s">
        <v>199</v>
      </c>
    </row>
    <row r="6264" spans="1:5" x14ac:dyDescent="0.2">
      <c r="A6264">
        <v>6203</v>
      </c>
      <c r="B6264" s="138">
        <f>'Acct Summary 7-8'!J79</f>
        <v>913584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981439</v>
      </c>
      <c r="D6266" s="2" t="str">
        <f t="shared" si="96"/>
        <v>Error?</v>
      </c>
      <c r="E6266" s="2" t="s">
        <v>199</v>
      </c>
    </row>
    <row r="6267" spans="1:5" x14ac:dyDescent="0.2">
      <c r="A6267">
        <v>6206</v>
      </c>
      <c r="B6267" s="138">
        <f>'Acct Summary 7-8'!C82</f>
        <v>605444</v>
      </c>
      <c r="D6267" s="2" t="str">
        <f t="shared" si="96"/>
        <v>Error?</v>
      </c>
      <c r="E6267" s="2" t="s">
        <v>199</v>
      </c>
    </row>
    <row r="6268" spans="1:5" x14ac:dyDescent="0.2">
      <c r="A6268">
        <v>6207</v>
      </c>
      <c r="B6268" s="138">
        <f>'Acct Summary 7-8'!D82</f>
        <v>-561</v>
      </c>
      <c r="D6268" s="2" t="str">
        <f t="shared" si="96"/>
        <v>Error?</v>
      </c>
      <c r="E6268" s="2" t="s">
        <v>199</v>
      </c>
    </row>
    <row r="6269" spans="1:5" x14ac:dyDescent="0.2">
      <c r="A6269">
        <v>6208</v>
      </c>
      <c r="B6269" s="138">
        <f>'Acct Summary 7-8'!E82</f>
        <v>4197</v>
      </c>
      <c r="D6269" s="2" t="str">
        <f t="shared" si="96"/>
        <v>Error?</v>
      </c>
      <c r="E6269" s="2" t="s">
        <v>199</v>
      </c>
    </row>
    <row r="6270" spans="1:5" x14ac:dyDescent="0.2">
      <c r="A6270">
        <v>6209</v>
      </c>
      <c r="B6270" s="138">
        <f>'Acct Summary 7-8'!F82</f>
        <v>58350</v>
      </c>
      <c r="D6270" s="2" t="str">
        <f t="shared" si="96"/>
        <v>Error?</v>
      </c>
      <c r="E6270" s="2" t="s">
        <v>199</v>
      </c>
    </row>
    <row r="6271" spans="1:5" x14ac:dyDescent="0.2">
      <c r="A6271">
        <v>6210</v>
      </c>
      <c r="B6271" s="138">
        <f>'Acct Summary 7-8'!G82</f>
        <v>38755</v>
      </c>
      <c r="D6271" s="2" t="str">
        <f t="shared" ref="D6271:D6334" si="97">IF(ISBLANK(B6271),"OK",IF(A6271-B6271=0,"OK","Error?"))</f>
        <v>Error?</v>
      </c>
      <c r="E6271" s="2" t="s">
        <v>199</v>
      </c>
    </row>
    <row r="6272" spans="1:5" x14ac:dyDescent="0.2">
      <c r="A6272">
        <v>6211</v>
      </c>
      <c r="B6272" s="138">
        <f>'Acct Summary 7-8'!H82</f>
        <v>-3897912</v>
      </c>
      <c r="D6272" s="2" t="str">
        <f t="shared" si="97"/>
        <v>Error?</v>
      </c>
      <c r="E6272" s="2" t="s">
        <v>199</v>
      </c>
    </row>
    <row r="6273" spans="1:5" x14ac:dyDescent="0.2">
      <c r="A6273">
        <v>6212</v>
      </c>
      <c r="B6273" s="138">
        <f>'Acct Summary 7-8'!I82</f>
        <v>-150635</v>
      </c>
      <c r="D6273" s="2" t="str">
        <f t="shared" si="97"/>
        <v>Error?</v>
      </c>
      <c r="E6273" s="2" t="s">
        <v>199</v>
      </c>
    </row>
    <row r="6274" spans="1:5" x14ac:dyDescent="0.2">
      <c r="A6274">
        <v>6213</v>
      </c>
      <c r="B6274" s="138">
        <f>'Acct Summary 7-8'!J82</f>
        <v>67855</v>
      </c>
      <c r="D6274" s="2" t="str">
        <f t="shared" si="97"/>
        <v>Error?</v>
      </c>
      <c r="E6274" s="2" t="s">
        <v>199</v>
      </c>
    </row>
    <row r="6275" spans="1:5" x14ac:dyDescent="0.2">
      <c r="A6275">
        <v>6214</v>
      </c>
      <c r="B6275" s="138">
        <f>'Acct Summary 7-8'!K82</f>
        <v>-506503</v>
      </c>
      <c r="D6275" s="2" t="str">
        <f t="shared" si="97"/>
        <v>Error?</v>
      </c>
      <c r="E6275" s="2" t="s">
        <v>199</v>
      </c>
    </row>
    <row r="6276" spans="1:5" x14ac:dyDescent="0.2">
      <c r="A6276">
        <v>6215</v>
      </c>
      <c r="B6276" s="138">
        <f>'Acct Summary 7-8'!C83</f>
        <v>0.17873761489123896</v>
      </c>
      <c r="D6276" s="2" t="str">
        <f t="shared" si="97"/>
        <v>Error?</v>
      </c>
      <c r="E6276" s="2" t="s">
        <v>199</v>
      </c>
    </row>
    <row r="6277" spans="1:5" x14ac:dyDescent="0.2">
      <c r="A6277">
        <v>6216</v>
      </c>
      <c r="B6277" s="138">
        <f>'Acct Summary 7-8'!D83</f>
        <v>-8.9148229191992863E-4</v>
      </c>
      <c r="D6277" s="2" t="str">
        <f t="shared" si="97"/>
        <v>Error?</v>
      </c>
      <c r="E6277" s="2" t="s">
        <v>199</v>
      </c>
    </row>
    <row r="6278" spans="1:5" x14ac:dyDescent="0.2">
      <c r="A6278">
        <v>6217</v>
      </c>
      <c r="B6278" s="138">
        <f>'Acct Summary 7-8'!E83</f>
        <v>0.33608263933376042</v>
      </c>
      <c r="D6278" s="2" t="str">
        <f t="shared" si="97"/>
        <v>Error?</v>
      </c>
      <c r="E6278" s="2" t="s">
        <v>199</v>
      </c>
    </row>
    <row r="6279" spans="1:5" x14ac:dyDescent="0.2">
      <c r="A6279">
        <v>6218</v>
      </c>
      <c r="B6279" s="138">
        <f>'Acct Summary 7-8'!F83</f>
        <v>0.13640220768200403</v>
      </c>
      <c r="D6279" s="2" t="str">
        <f t="shared" si="97"/>
        <v>Error?</v>
      </c>
      <c r="E6279" s="2" t="s">
        <v>199</v>
      </c>
    </row>
    <row r="6280" spans="1:5" x14ac:dyDescent="0.2">
      <c r="A6280">
        <v>6219</v>
      </c>
      <c r="B6280" s="138">
        <f>'Acct Summary 7-8'!G83</f>
        <v>0.12325595448228047</v>
      </c>
      <c r="D6280" s="2" t="str">
        <f t="shared" si="97"/>
        <v>Error?</v>
      </c>
      <c r="E6280" s="2" t="s">
        <v>199</v>
      </c>
    </row>
    <row r="6281" spans="1:5" x14ac:dyDescent="0.2">
      <c r="A6281">
        <v>6220</v>
      </c>
      <c r="B6281" s="138">
        <f>'Acct Summary 7-8'!H83</f>
        <v>-1517.8785046728972</v>
      </c>
      <c r="D6281" s="2" t="str">
        <f t="shared" si="97"/>
        <v>Error?</v>
      </c>
      <c r="E6281" s="2" t="s">
        <v>199</v>
      </c>
    </row>
    <row r="6282" spans="1:5" x14ac:dyDescent="0.2">
      <c r="A6282">
        <v>6221</v>
      </c>
      <c r="B6282" s="138">
        <f>'Acct Summary 7-8'!I83</f>
        <v>-8.4535030674708911E-2</v>
      </c>
      <c r="D6282" s="2" t="str">
        <f t="shared" si="97"/>
        <v>Error?</v>
      </c>
      <c r="E6282" s="2" t="s">
        <v>199</v>
      </c>
    </row>
    <row r="6283" spans="1:5" x14ac:dyDescent="0.2">
      <c r="A6283">
        <v>6222</v>
      </c>
      <c r="B6283" s="138">
        <f>'Acct Summary 7-8'!J83</f>
        <v>6.913827553215228E-2</v>
      </c>
      <c r="D6283" s="2" t="str">
        <f t="shared" si="97"/>
        <v>Error?</v>
      </c>
      <c r="E6283" s="2" t="s">
        <v>199</v>
      </c>
    </row>
    <row r="6284" spans="1:5" x14ac:dyDescent="0.2">
      <c r="A6284">
        <v>6223</v>
      </c>
      <c r="B6284" s="138">
        <f>'Acct Summary 7-8'!K83</f>
        <v>-8.8410368301623325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695101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695101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5434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5434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3615</v>
      </c>
      <c r="D6350" s="2" t="str">
        <f t="shared" si="98"/>
        <v>Error?</v>
      </c>
      <c r="E6350" s="2" t="s">
        <v>199</v>
      </c>
    </row>
    <row r="6351" spans="1:5" x14ac:dyDescent="0.2">
      <c r="A6351">
        <v>6290</v>
      </c>
      <c r="B6351" s="138">
        <f>'Revenues 9-14'!J108</f>
        <v>3615</v>
      </c>
      <c r="D6351" s="2" t="str">
        <f t="shared" si="98"/>
        <v>Error?</v>
      </c>
      <c r="E6351" s="2" t="s">
        <v>199</v>
      </c>
    </row>
    <row r="6352" spans="1:5" x14ac:dyDescent="0.2">
      <c r="A6352">
        <v>6291</v>
      </c>
      <c r="B6352" s="138">
        <f>'Revenues 9-14'!J109</f>
        <v>704150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4114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93857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114811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21471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636295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704150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2684</v>
      </c>
      <c r="D7073" s="2" t="str">
        <f t="shared" si="109"/>
        <v>Error?</v>
      </c>
    </row>
    <row r="7074" spans="1:4" x14ac:dyDescent="0.2">
      <c r="A7074">
        <v>7013</v>
      </c>
      <c r="B7074" s="138">
        <f>'Expenditures 15-22'!K216</f>
        <v>2684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198</v>
      </c>
      <c r="D7079" s="2" t="str">
        <f t="shared" si="109"/>
        <v>Error?</v>
      </c>
    </row>
    <row r="7080" spans="1:4" x14ac:dyDescent="0.2">
      <c r="A7080">
        <v>7019</v>
      </c>
      <c r="B7080" s="138">
        <f>'Expenditures 15-22'!K226</f>
        <v>198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24220</v>
      </c>
      <c r="D7093" s="2" t="str">
        <f t="shared" si="109"/>
        <v>Error?</v>
      </c>
    </row>
    <row r="7094" spans="1:4" x14ac:dyDescent="0.2">
      <c r="A7094">
        <v>7033</v>
      </c>
      <c r="B7094" s="138">
        <f>'Expenditures 15-22'!K254</f>
        <v>24220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133749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133749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335454</v>
      </c>
      <c r="D7172" s="2" t="str">
        <f t="shared" si="111"/>
        <v>Error?</v>
      </c>
    </row>
    <row r="7173" spans="1:4" x14ac:dyDescent="0.2">
      <c r="A7173">
        <v>7112</v>
      </c>
      <c r="B7173" s="138">
        <f>'Expenditures 15-22'!D325</f>
        <v>63782</v>
      </c>
      <c r="D7173" s="2" t="str">
        <f t="shared" si="111"/>
        <v>Error?</v>
      </c>
    </row>
    <row r="7174" spans="1:4" x14ac:dyDescent="0.2">
      <c r="A7174">
        <v>7113</v>
      </c>
      <c r="B7174" s="138">
        <f>'Expenditures 15-22'!E325</f>
        <v>49269</v>
      </c>
      <c r="D7174" s="2" t="str">
        <f t="shared" si="111"/>
        <v>Error?</v>
      </c>
    </row>
    <row r="7175" spans="1:4" x14ac:dyDescent="0.2">
      <c r="A7175">
        <v>7114</v>
      </c>
      <c r="B7175" s="138">
        <f>'Expenditures 15-22'!F325</f>
        <v>46951</v>
      </c>
      <c r="D7175" s="2" t="str">
        <f t="shared" si="111"/>
        <v>Error?</v>
      </c>
    </row>
    <row r="7176" spans="1:4" x14ac:dyDescent="0.2">
      <c r="A7176">
        <v>7115</v>
      </c>
      <c r="B7176" s="138">
        <f>'Expenditures 15-22'!G325</f>
        <v>7090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502546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335454</v>
      </c>
      <c r="D7199" s="2" t="str">
        <f t="shared" si="111"/>
        <v>Error?</v>
      </c>
    </row>
    <row r="7200" spans="1:4" x14ac:dyDescent="0.2">
      <c r="A7200">
        <v>7139</v>
      </c>
      <c r="B7200" s="138">
        <f>'Expenditures 15-22'!D330</f>
        <v>63782</v>
      </c>
      <c r="D7200" s="2" t="str">
        <f t="shared" si="111"/>
        <v>Error?</v>
      </c>
    </row>
    <row r="7201" spans="1:4" x14ac:dyDescent="0.2">
      <c r="A7201">
        <v>7140</v>
      </c>
      <c r="B7201" s="138">
        <f>'Expenditures 15-22'!E330</f>
        <v>183018</v>
      </c>
      <c r="D7201" s="2" t="str">
        <f t="shared" si="111"/>
        <v>Error?</v>
      </c>
    </row>
    <row r="7202" spans="1:4" x14ac:dyDescent="0.2">
      <c r="A7202">
        <v>7141</v>
      </c>
      <c r="B7202" s="138">
        <f>'Expenditures 15-22'!F330</f>
        <v>46951</v>
      </c>
      <c r="D7202" s="2" t="str">
        <f t="shared" si="111"/>
        <v>Error?</v>
      </c>
    </row>
    <row r="7203" spans="1:4" x14ac:dyDescent="0.2">
      <c r="A7203">
        <v>7142</v>
      </c>
      <c r="B7203" s="138">
        <f>'Expenditures 15-22'!G330</f>
        <v>7090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636295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335454</v>
      </c>
      <c r="D7216" s="2" t="str">
        <f t="shared" si="111"/>
        <v>Error?</v>
      </c>
    </row>
    <row r="7217" spans="1:4" x14ac:dyDescent="0.2">
      <c r="A7217">
        <v>7156</v>
      </c>
      <c r="B7217" s="138">
        <f>'Expenditures 15-22'!D342</f>
        <v>63782</v>
      </c>
      <c r="D7217" s="2" t="str">
        <f t="shared" si="111"/>
        <v>Error?</v>
      </c>
    </row>
    <row r="7218" spans="1:4" x14ac:dyDescent="0.2">
      <c r="A7218">
        <v>7157</v>
      </c>
      <c r="B7218" s="138">
        <f>'Expenditures 15-22'!E342</f>
        <v>183018</v>
      </c>
      <c r="D7218" s="2" t="str">
        <f t="shared" si="111"/>
        <v>Error?</v>
      </c>
    </row>
    <row r="7219" spans="1:4" x14ac:dyDescent="0.2">
      <c r="A7219">
        <v>7158</v>
      </c>
      <c r="B7219" s="138">
        <f>'Expenditures 15-22'!F342</f>
        <v>46951</v>
      </c>
      <c r="D7219" s="2" t="str">
        <f t="shared" si="111"/>
        <v>Error?</v>
      </c>
    </row>
    <row r="7220" spans="1:4" x14ac:dyDescent="0.2">
      <c r="A7220">
        <v>7159</v>
      </c>
      <c r="B7220" s="138">
        <f>'Expenditures 15-22'!G342</f>
        <v>7090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636295</v>
      </c>
      <c r="D7224" s="2" t="str">
        <f t="shared" si="111"/>
        <v>Error?</v>
      </c>
    </row>
    <row r="7225" spans="1:4" x14ac:dyDescent="0.2">
      <c r="A7225">
        <v>7164</v>
      </c>
      <c r="B7225" s="138">
        <f>'Expenditures 15-22'!K343</f>
        <v>67855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18381</v>
      </c>
      <c r="D7246" s="2" t="str">
        <f t="shared" si="112"/>
        <v>Error?</v>
      </c>
    </row>
    <row r="7247" spans="1:4" x14ac:dyDescent="0.2">
      <c r="A7247">
        <f t="shared" si="113"/>
        <v>7186</v>
      </c>
      <c r="B7247" s="138">
        <f>'Expenditures 15-22'!E7</f>
        <v>642</v>
      </c>
      <c r="D7247" s="2" t="str">
        <f t="shared" si="112"/>
        <v>Error?</v>
      </c>
    </row>
    <row r="7248" spans="1:4" x14ac:dyDescent="0.2">
      <c r="A7248">
        <f t="shared" si="113"/>
        <v>7187</v>
      </c>
      <c r="B7248" s="138">
        <f>'Expenditures 15-22'!F7</f>
        <v>1931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14521</v>
      </c>
      <c r="D7263" s="2" t="str">
        <f t="shared" si="112"/>
        <v>Error?</v>
      </c>
    </row>
    <row r="7264" spans="1:4" x14ac:dyDescent="0.2">
      <c r="A7264">
        <f t="shared" si="113"/>
        <v>7203</v>
      </c>
      <c r="B7264" s="138">
        <f>'Expenditures 15-22'!D17</f>
        <v>2910</v>
      </c>
      <c r="D7264" s="2" t="str">
        <f t="shared" si="112"/>
        <v>Error?</v>
      </c>
    </row>
    <row r="7265" spans="1:5" x14ac:dyDescent="0.2">
      <c r="A7265">
        <f t="shared" si="113"/>
        <v>7204</v>
      </c>
      <c r="B7265" s="138">
        <f>'Expenditures 15-22'!E17</f>
        <v>3466</v>
      </c>
      <c r="D7265" s="2" t="str">
        <f t="shared" si="112"/>
        <v>Error?</v>
      </c>
    </row>
    <row r="7266" spans="1:5" x14ac:dyDescent="0.2">
      <c r="A7266">
        <f t="shared" si="113"/>
        <v>7205</v>
      </c>
      <c r="B7266" s="138">
        <f>'Expenditures 15-22'!F17</f>
        <v>574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836614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8209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8209</v>
      </c>
      <c r="D7719" s="2" t="str">
        <f t="shared" si="126"/>
        <v>Error?</v>
      </c>
      <c r="E7719" s="2" t="s">
        <v>881</v>
      </c>
    </row>
    <row r="7720" spans="1:6" x14ac:dyDescent="0.2">
      <c r="A7720">
        <v>7659</v>
      </c>
      <c r="B7720" s="138">
        <f>'Rest Tax Levies-Tort Im 25'!H14</f>
        <v>32790</v>
      </c>
      <c r="D7720" s="2" t="str">
        <f t="shared" si="126"/>
        <v>Error?</v>
      </c>
      <c r="E7720" s="2" t="s">
        <v>881</v>
      </c>
    </row>
    <row r="7721" spans="1:6" x14ac:dyDescent="0.2">
      <c r="A7721">
        <v>7660</v>
      </c>
      <c r="B7721" s="138">
        <f>'Rest Tax Levies-Tort Im 25'!K14</f>
        <v>8209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Milford Area PSD 124</v>
      </c>
      <c r="B7" s="2423"/>
      <c r="C7" s="2423"/>
      <c r="D7" s="2424"/>
      <c r="E7" s="2425">
        <f>COVER!A13</f>
        <v>32038124026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Dr Dale Hastings</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208 S CHICAGO</v>
      </c>
      <c r="B14" s="2407"/>
      <c r="C14" s="2407"/>
      <c r="D14" s="2407"/>
      <c r="E14" s="2407"/>
      <c r="F14" s="2408"/>
      <c r="G14" s="1196" t="s">
        <v>1247</v>
      </c>
      <c r="H14" s="1194"/>
      <c r="I14" s="1194"/>
      <c r="J14" s="1194"/>
      <c r="K14" s="1194"/>
      <c r="L14" s="1195"/>
    </row>
    <row r="15" spans="1:29" ht="13.5" customHeight="1" x14ac:dyDescent="0.2">
      <c r="A15" s="2406" t="str">
        <f>COVER!A21</f>
        <v>MILFORD</v>
      </c>
      <c r="B15" s="2407"/>
      <c r="C15" s="2407"/>
      <c r="D15" s="2407"/>
      <c r="E15" s="2407"/>
      <c r="F15" s="2408"/>
      <c r="G15" s="2403" t="str">
        <f>COVER!T15</f>
        <v>RUSS LEIGH</v>
      </c>
      <c r="H15" s="2404"/>
      <c r="I15" s="2404"/>
      <c r="J15" s="2404"/>
      <c r="K15" s="2404"/>
      <c r="L15" s="2405"/>
    </row>
    <row r="16" spans="1:29" ht="12.2" customHeight="1" x14ac:dyDescent="0.2">
      <c r="A16" s="2428">
        <f>COVER!A25</f>
        <v>60953</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Milford Area PSD 124</v>
      </c>
      <c r="B1" s="2421"/>
      <c r="C1" s="2421"/>
      <c r="D1" s="2421"/>
    </row>
    <row r="2" spans="1:11" s="1215" customFormat="1" ht="12.75" x14ac:dyDescent="0.2">
      <c r="A2" s="2445">
        <f>'Single Audit Cover'!E7</f>
        <v>32038124026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Milford Area PSD 124</v>
      </c>
      <c r="B1" s="2448"/>
      <c r="C1" s="2448"/>
      <c r="D1" s="2448"/>
      <c r="E1" s="2448"/>
    </row>
    <row r="2" spans="1:5" x14ac:dyDescent="0.2">
      <c r="A2" s="2449">
        <f>'Single Audit Cover'!E7</f>
        <v>32038124026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487651</v>
      </c>
    </row>
    <row r="11" spans="1:5" ht="18" customHeight="1" x14ac:dyDescent="0.2">
      <c r="A11" s="1261" t="s">
        <v>1302</v>
      </c>
      <c r="B11" s="1262"/>
      <c r="C11" s="1262"/>
    </row>
    <row r="12" spans="1:5" x14ac:dyDescent="0.2">
      <c r="A12" s="1261" t="s">
        <v>1301</v>
      </c>
      <c r="B12" s="1262" t="s">
        <v>1300</v>
      </c>
      <c r="C12" s="1262"/>
      <c r="D12" s="1264">
        <f>SUM('Revenues 9-14'!C112:D112,'Revenues 9-14'!F112:G112)</f>
        <v>152300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639951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639951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639951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Milford Area PSD 124</v>
      </c>
      <c r="B1" s="2461"/>
      <c r="C1" s="2461"/>
      <c r="D1" s="2461"/>
      <c r="E1" s="2461"/>
      <c r="F1" s="2461"/>
    </row>
    <row r="2" spans="1:7" ht="13.5" customHeight="1" x14ac:dyDescent="0.2">
      <c r="A2" s="2462">
        <f>'Single Audit Cover'!E7</f>
        <v>32038124026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Milford Area PSD 124</v>
      </c>
      <c r="C1" s="2465"/>
      <c r="D1" s="2465"/>
      <c r="E1" s="2465"/>
      <c r="F1" s="2465"/>
      <c r="G1" s="2465"/>
      <c r="H1" s="2465"/>
      <c r="I1" s="2465"/>
      <c r="J1" s="2465"/>
      <c r="K1" s="2465"/>
      <c r="L1" s="2465"/>
      <c r="M1" s="2465"/>
    </row>
    <row r="2" spans="2:14" ht="15" x14ac:dyDescent="0.2">
      <c r="B2" s="2462">
        <f>'Single Audit Cover'!E7</f>
        <v>32038124026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Milford Area PSD 124</v>
      </c>
      <c r="C1" s="2480"/>
      <c r="D1" s="2480"/>
      <c r="E1" s="2480"/>
      <c r="F1" s="2480"/>
      <c r="G1" s="2480"/>
      <c r="H1" s="2480"/>
      <c r="I1" s="2480"/>
      <c r="J1" s="1422"/>
    </row>
    <row r="2" spans="2:10" s="317" customFormat="1" ht="12.75" customHeight="1" x14ac:dyDescent="0.2">
      <c r="B2" s="2481">
        <f>'Single Audit Cover'!E7</f>
        <v>32038124026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Milford Area PSD 124</v>
      </c>
      <c r="C1" s="2479"/>
      <c r="D1" s="2479"/>
      <c r="E1" s="2479"/>
      <c r="F1" s="2479"/>
      <c r="G1" s="2479"/>
      <c r="H1" s="2479"/>
      <c r="I1" s="2479"/>
      <c r="J1" s="2479"/>
      <c r="K1" s="2479"/>
      <c r="L1" s="1374"/>
      <c r="M1" s="1374"/>
    </row>
    <row r="2" spans="1:13" ht="12" customHeight="1" x14ac:dyDescent="0.2">
      <c r="B2" s="2481">
        <f>'Single Audit Cover'!E7</f>
        <v>32038124026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Milford Area PSD 124</v>
      </c>
      <c r="C1" s="2502"/>
      <c r="D1" s="2502"/>
      <c r="E1" s="2502"/>
      <c r="F1" s="2502"/>
      <c r="G1" s="2502"/>
      <c r="H1" s="2502"/>
      <c r="I1" s="2502"/>
      <c r="J1" s="2502"/>
      <c r="K1" s="2502"/>
      <c r="L1" s="1465"/>
    </row>
    <row r="2" spans="1:12" ht="12.75" customHeight="1" x14ac:dyDescent="0.2">
      <c r="B2" s="2503">
        <f>'Single Audit Cover'!E7</f>
        <v>32038124026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Milford Area PSD 124</v>
      </c>
      <c r="C1" s="2479"/>
      <c r="D1" s="2479"/>
      <c r="E1" s="1491"/>
    </row>
    <row r="2" spans="2:5" s="1282" customFormat="1" ht="12.75" customHeight="1" x14ac:dyDescent="0.2">
      <c r="B2" s="2481">
        <f>'Single Audit Cover'!E7</f>
        <v>32038124026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purl.org/dc/elements/1.1/"/>
    <ds:schemaRef ds:uri="d21dc803-237d-4c68-8692-8d731fd29118"/>
    <ds:schemaRef ds:uri="http://schemas.microsoft.com/office/2006/documentManagement/types"/>
    <ds:schemaRef ds:uri="6ce3111e-7420-4802-b50a-75d4e9a0b980"/>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2018-10-12T19:03:14Z</cp:lastPrinted>
  <dcterms:created xsi:type="dcterms:W3CDTF">2003-10-29T19:06:34Z</dcterms:created>
  <dcterms:modified xsi:type="dcterms:W3CDTF">2018-11-20T19:09:44Z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