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70" windowWidth="20730" windowHeight="63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2)" sheetId="183" r:id="rId29"/>
    <sheet name=" SEFA" sheetId="179" r:id="rId30"/>
    <sheet name="SF&amp;QC Sec-1" sheetId="174" r:id="rId31"/>
    <sheet name="SF&amp;QC Sec-2" sheetId="175" r:id="rId32"/>
    <sheet name="SF&amp;QC Sec-3" sheetId="176" r:id="rId33"/>
    <sheet name="SSPAF" sheetId="177" r:id="rId34"/>
    <sheet name="Sheet2" sheetId="184" r:id="rId35"/>
  </sheets>
  <definedNames>
    <definedName name="_xlnm.Print_Area" localSheetId="29">' SEFA'!$B$1:$M$46</definedName>
    <definedName name="_xlnm.Print_Area" localSheetId="28">' SEFA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s="1"/>
  <c r="B7729" i="106"/>
  <c r="D7729" i="106" s="1"/>
  <c r="B7734" i="106"/>
  <c r="B7726" i="106"/>
  <c r="D7726" i="106" s="1"/>
  <c r="D76" i="36"/>
  <c r="F162" i="34"/>
  <c r="B30" i="36"/>
  <c r="B33" i="36" s="1"/>
  <c r="B43" i="36" s="1"/>
  <c r="B56" i="36" s="1"/>
  <c r="B66" i="36" s="1"/>
  <c r="B70" i="36" s="1"/>
  <c r="B74" i="36" s="1"/>
  <c r="D73" i="36"/>
  <c r="C191" i="5"/>
  <c r="C201" i="5"/>
  <c r="B5246" i="106" s="1"/>
  <c r="D5246" i="106" s="1"/>
  <c r="C211" i="5"/>
  <c r="C216" i="5"/>
  <c r="B4411" i="106" s="1"/>
  <c r="D4411" i="106" s="1"/>
  <c r="C224" i="5"/>
  <c r="C228" i="5"/>
  <c r="B5304" i="106" s="1"/>
  <c r="D5304" i="106" s="1"/>
  <c r="C259" i="5"/>
  <c r="B7761" i="106"/>
  <c r="D7761" i="106" s="1"/>
  <c r="L127" i="29"/>
  <c r="L129" i="29" s="1"/>
  <c r="L139" i="29"/>
  <c r="L149" i="29"/>
  <c r="I7" i="145"/>
  <c r="I6" i="145"/>
  <c r="D78" i="36"/>
  <c r="K75" i="29"/>
  <c r="K130" i="29"/>
  <c r="K185" i="29"/>
  <c r="B2836" i="106" s="1"/>
  <c r="D2836" i="106" s="1"/>
  <c r="K122" i="29"/>
  <c r="F15" i="145" s="1"/>
  <c r="F19" i="145" s="1"/>
  <c r="K67" i="29"/>
  <c r="K64" i="29"/>
  <c r="D31" i="108" s="1"/>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K69" i="29"/>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B2977" i="106" s="1"/>
  <c r="D2977" i="106" s="1"/>
  <c r="K83" i="29"/>
  <c r="B2978" i="106" s="1"/>
  <c r="D2978" i="106" s="1"/>
  <c r="K93" i="29"/>
  <c r="B6997" i="106" s="1"/>
  <c r="D6997" i="106" s="1"/>
  <c r="K94" i="29"/>
  <c r="K95" i="29"/>
  <c r="B7001" i="106" s="1"/>
  <c r="D7001" i="106" s="1"/>
  <c r="K96" i="29"/>
  <c r="K97" i="29"/>
  <c r="B7005" i="106" s="1"/>
  <c r="D7005" i="106" s="1"/>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s="1"/>
  <c r="B6320" i="106"/>
  <c r="D6320" i="106" s="1"/>
  <c r="B6321" i="106"/>
  <c r="D6321" i="106" s="1"/>
  <c r="B6322" i="106"/>
  <c r="D6322" i="106" s="1"/>
  <c r="B6323" i="106"/>
  <c r="D6323" i="106" s="1"/>
  <c r="B6324" i="106"/>
  <c r="D6324" i="106" s="1"/>
  <c r="B6325" i="106"/>
  <c r="D6325" i="106" s="1"/>
  <c r="B6326" i="106"/>
  <c r="D6326" i="106"/>
  <c r="B6327" i="106"/>
  <c r="D6327" i="106" s="1"/>
  <c r="B6328" i="106"/>
  <c r="D6328" i="106" s="1"/>
  <c r="B6329" i="106"/>
  <c r="D6329" i="106" s="1"/>
  <c r="B6330" i="106"/>
  <c r="D6330" i="106" s="1"/>
  <c r="B6331" i="106"/>
  <c r="D6331" i="106" s="1"/>
  <c r="B6332" i="106"/>
  <c r="D6332" i="106" s="1"/>
  <c r="B6333" i="106"/>
  <c r="D6333" i="106" s="1"/>
  <c r="B6334" i="106"/>
  <c r="D6334" i="106"/>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c r="B6363" i="106"/>
  <c r="D6363" i="106" s="1"/>
  <c r="B6364" i="106"/>
  <c r="D6364" i="106" s="1"/>
  <c r="B6365" i="106"/>
  <c r="D6365" i="106" s="1"/>
  <c r="B6366" i="106"/>
  <c r="D6366" i="106" s="1"/>
  <c r="B6367" i="106"/>
  <c r="D6367" i="106" s="1"/>
  <c r="B6368" i="106"/>
  <c r="D6368" i="106" s="1"/>
  <c r="B6369" i="106"/>
  <c r="D6369" i="106" s="1"/>
  <c r="B6370" i="106"/>
  <c r="D6370" i="106"/>
  <c r="B6371" i="106"/>
  <c r="D6371" i="106" s="1"/>
  <c r="B6372" i="106"/>
  <c r="D6372" i="106" s="1"/>
  <c r="B6373" i="106"/>
  <c r="D6373" i="106" s="1"/>
  <c r="B6374" i="106"/>
  <c r="D6374" i="106" s="1"/>
  <c r="B6375" i="106"/>
  <c r="D6375" i="106" s="1"/>
  <c r="B6376" i="106"/>
  <c r="D6376" i="106" s="1"/>
  <c r="B6377" i="106"/>
  <c r="D6377" i="106" s="1"/>
  <c r="B6378" i="106"/>
  <c r="D6378" i="106"/>
  <c r="B6379" i="106"/>
  <c r="D6379" i="106" s="1"/>
  <c r="B6380" i="106"/>
  <c r="D6380" i="106" s="1"/>
  <c r="B6381" i="106"/>
  <c r="D6381" i="106" s="1"/>
  <c r="B6382" i="106"/>
  <c r="D6382" i="106" s="1"/>
  <c r="B6383" i="106"/>
  <c r="D6383" i="106" s="1"/>
  <c r="B6384" i="106"/>
  <c r="D6384" i="106" s="1"/>
  <c r="B6385" i="106"/>
  <c r="D6385" i="106" s="1"/>
  <c r="B6386" i="106"/>
  <c r="D6386" i="106"/>
  <c r="B6387" i="106"/>
  <c r="D6387" i="106" s="1"/>
  <c r="B6388" i="106"/>
  <c r="D6388" i="106" s="1"/>
  <c r="B6389" i="106"/>
  <c r="D6389" i="106" s="1"/>
  <c r="B6390" i="106"/>
  <c r="D6390" i="106" s="1"/>
  <c r="B6391" i="106"/>
  <c r="D6391" i="106" s="1"/>
  <c r="B6392" i="106"/>
  <c r="D6392" i="106" s="1"/>
  <c r="B6393" i="106"/>
  <c r="D6393" i="106" s="1"/>
  <c r="B6394" i="106"/>
  <c r="D6394" i="106"/>
  <c r="B6395" i="106"/>
  <c r="D6395" i="106" s="1"/>
  <c r="B6398" i="106"/>
  <c r="D6398" i="106" s="1"/>
  <c r="B6399" i="106"/>
  <c r="D6399" i="106" s="1"/>
  <c r="B6401" i="106"/>
  <c r="D6401" i="106" s="1"/>
  <c r="B6402" i="106"/>
  <c r="D6402" i="106" s="1"/>
  <c r="B6403" i="106"/>
  <c r="D6403" i="106" s="1"/>
  <c r="B6404" i="106"/>
  <c r="D6404" i="106" s="1"/>
  <c r="B6405" i="106"/>
  <c r="D6405" i="106"/>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c r="B6620" i="106"/>
  <c r="D6620" i="106" s="1"/>
  <c r="B6621" i="106"/>
  <c r="D6621" i="106" s="1"/>
  <c r="B6622" i="106"/>
  <c r="D6622" i="106" s="1"/>
  <c r="B6623" i="106"/>
  <c r="D6623" i="106" s="1"/>
  <c r="B6624" i="106"/>
  <c r="D6624" i="106" s="1"/>
  <c r="B6625" i="106"/>
  <c r="D6625" i="106" s="1"/>
  <c r="B6626" i="106"/>
  <c r="D6626" i="106" s="1"/>
  <c r="B6627" i="106"/>
  <c r="D6627" i="106"/>
  <c r="B6628" i="106"/>
  <c r="D6628" i="106" s="1"/>
  <c r="B6629" i="106"/>
  <c r="D6629" i="106" s="1"/>
  <c r="B6630" i="106"/>
  <c r="D6630" i="106" s="1"/>
  <c r="B6631" i="106"/>
  <c r="D6631" i="106" s="1"/>
  <c r="B6632" i="106"/>
  <c r="D6632" i="106" s="1"/>
  <c r="B6633" i="106"/>
  <c r="D6633" i="106" s="1"/>
  <c r="B6634" i="106"/>
  <c r="D6634" i="106" s="1"/>
  <c r="B6635" i="106"/>
  <c r="D6635" i="106"/>
  <c r="B6636" i="106"/>
  <c r="D6636" i="106" s="1"/>
  <c r="B6637" i="106"/>
  <c r="D6637" i="106" s="1"/>
  <c r="B6638" i="106"/>
  <c r="D6638" i="106" s="1"/>
  <c r="B6639" i="106"/>
  <c r="D6639" i="106" s="1"/>
  <c r="B6640" i="106"/>
  <c r="D6640" i="106" s="1"/>
  <c r="B6641" i="106"/>
  <c r="D6641" i="106" s="1"/>
  <c r="B6642" i="106"/>
  <c r="D6642" i="106" s="1"/>
  <c r="B6643" i="106"/>
  <c r="D6643" i="106"/>
  <c r="B6644" i="106"/>
  <c r="D6644" i="106" s="1"/>
  <c r="B6645" i="106"/>
  <c r="D6645" i="106" s="1"/>
  <c r="B6646" i="106"/>
  <c r="D6646" i="106" s="1"/>
  <c r="B6647" i="106"/>
  <c r="D6647" i="106" s="1"/>
  <c r="B6648" i="106"/>
  <c r="D6648" i="106" s="1"/>
  <c r="B6649" i="106"/>
  <c r="D6649" i="106" s="1"/>
  <c r="B6650" i="106"/>
  <c r="D6650" i="106" s="1"/>
  <c r="B6651" i="106"/>
  <c r="D6651" i="106"/>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c r="B6676" i="106"/>
  <c r="D6676" i="106" s="1"/>
  <c r="B6677" i="106"/>
  <c r="D6677" i="106" s="1"/>
  <c r="B6678" i="106"/>
  <c r="D6678" i="106" s="1"/>
  <c r="B6679" i="106"/>
  <c r="D6679" i="106" s="1"/>
  <c r="B6680" i="106"/>
  <c r="D6680" i="106" s="1"/>
  <c r="B6681" i="106"/>
  <c r="D6681" i="106" s="1"/>
  <c r="B6682" i="106"/>
  <c r="D6682" i="106" s="1"/>
  <c r="B6683" i="106"/>
  <c r="D6683" i="106"/>
  <c r="B6684" i="106"/>
  <c r="D6684" i="106" s="1"/>
  <c r="B6685" i="106"/>
  <c r="D6685" i="106" s="1"/>
  <c r="B6686" i="106"/>
  <c r="D6686" i="106" s="1"/>
  <c r="B6687" i="106"/>
  <c r="D6687" i="106" s="1"/>
  <c r="B6688" i="106"/>
  <c r="D6688" i="106" s="1"/>
  <c r="B6689" i="106"/>
  <c r="D6689" i="106" s="1"/>
  <c r="B6690" i="106"/>
  <c r="D6690" i="106" s="1"/>
  <c r="B6691" i="106"/>
  <c r="D6691" i="106"/>
  <c r="B6692" i="106"/>
  <c r="D6692" i="106" s="1"/>
  <c r="B6693" i="106"/>
  <c r="D6693" i="106" s="1"/>
  <c r="B6694" i="106"/>
  <c r="D6694" i="106" s="1"/>
  <c r="B6695" i="106"/>
  <c r="D6695" i="106" s="1"/>
  <c r="B6696" i="106"/>
  <c r="D6696" i="106" s="1"/>
  <c r="B6697" i="106"/>
  <c r="D6697" i="106" s="1"/>
  <c r="B6698" i="106"/>
  <c r="D6698" i="106" s="1"/>
  <c r="B6699" i="106"/>
  <c r="D6699" i="106"/>
  <c r="B6700" i="106"/>
  <c r="D6700" i="106" s="1"/>
  <c r="B6701" i="106"/>
  <c r="D6701" i="106" s="1"/>
  <c r="B6702" i="106"/>
  <c r="D6702" i="106" s="1"/>
  <c r="B6703" i="106"/>
  <c r="D6703" i="106" s="1"/>
  <c r="B6704" i="106"/>
  <c r="D6704" i="106" s="1"/>
  <c r="B6705" i="106"/>
  <c r="D6705" i="106" s="1"/>
  <c r="B6706" i="106"/>
  <c r="D6706" i="106" s="1"/>
  <c r="B6707" i="106"/>
  <c r="D6707" i="106"/>
  <c r="B6708" i="106"/>
  <c r="D6708" i="106" s="1"/>
  <c r="B6709" i="106"/>
  <c r="D6709" i="106" s="1"/>
  <c r="B6710" i="106"/>
  <c r="D6710" i="106" s="1"/>
  <c r="B6711" i="106"/>
  <c r="D6711" i="106" s="1"/>
  <c r="B6712" i="106"/>
  <c r="D6712" i="106" s="1"/>
  <c r="B6713" i="106"/>
  <c r="D6713" i="106" s="1"/>
  <c r="B6714" i="106"/>
  <c r="D6714" i="106" s="1"/>
  <c r="B6715" i="106"/>
  <c r="D6715" i="106"/>
  <c r="B6716" i="106"/>
  <c r="D6716" i="106" s="1"/>
  <c r="B6717" i="106"/>
  <c r="D6717" i="106" s="1"/>
  <c r="B6718" i="106"/>
  <c r="D6718" i="106" s="1"/>
  <c r="B6719" i="106"/>
  <c r="D6719" i="106" s="1"/>
  <c r="B6720" i="106"/>
  <c r="D6720" i="106" s="1"/>
  <c r="B6721" i="106"/>
  <c r="D6721" i="106" s="1"/>
  <c r="B6722" i="106"/>
  <c r="D6722" i="106" s="1"/>
  <c r="B6723" i="106"/>
  <c r="D6723" i="106"/>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c r="B6735" i="106"/>
  <c r="D6735" i="106" s="1"/>
  <c r="B6736" i="106"/>
  <c r="D6736" i="106" s="1"/>
  <c r="B6737" i="106"/>
  <c r="D6737" i="106" s="1"/>
  <c r="B6738" i="106"/>
  <c r="D6738" i="106" s="1"/>
  <c r="B6739" i="106"/>
  <c r="D6739" i="106" s="1"/>
  <c r="B6740" i="106"/>
  <c r="D6740" i="106" s="1"/>
  <c r="B6741" i="106"/>
  <c r="D6741" i="106" s="1"/>
  <c r="B6742" i="106"/>
  <c r="D6742" i="106"/>
  <c r="B6743" i="106"/>
  <c r="D6743" i="106" s="1"/>
  <c r="B6744" i="106"/>
  <c r="D6744" i="106" s="1"/>
  <c r="B6745" i="106"/>
  <c r="D6745" i="106" s="1"/>
  <c r="B6746" i="106"/>
  <c r="D6746" i="106" s="1"/>
  <c r="B6747" i="106"/>
  <c r="D6747" i="106" s="1"/>
  <c r="B6748" i="106"/>
  <c r="D6748" i="106" s="1"/>
  <c r="B6749" i="106"/>
  <c r="D6749" i="106" s="1"/>
  <c r="B6750" i="106"/>
  <c r="D6750" i="106"/>
  <c r="B6751" i="106"/>
  <c r="D6751" i="106" s="1"/>
  <c r="B6752" i="106"/>
  <c r="D6752" i="106" s="1"/>
  <c r="B6753" i="106"/>
  <c r="D6753" i="106" s="1"/>
  <c r="B6754" i="106"/>
  <c r="D6754" i="106" s="1"/>
  <c r="B6755" i="106"/>
  <c r="D6755" i="106" s="1"/>
  <c r="B6756" i="106"/>
  <c r="D6756" i="106" s="1"/>
  <c r="B6757" i="106"/>
  <c r="D6757" i="106" s="1"/>
  <c r="B6758" i="106"/>
  <c r="D6758" i="106"/>
  <c r="B6759" i="106"/>
  <c r="D6759" i="106" s="1"/>
  <c r="B6760" i="106"/>
  <c r="D6760" i="106" s="1"/>
  <c r="B6761" i="106"/>
  <c r="D6761" i="106" s="1"/>
  <c r="B6762" i="106"/>
  <c r="D6762" i="106" s="1"/>
  <c r="B6763" i="106"/>
  <c r="D6763" i="106" s="1"/>
  <c r="B6764" i="106"/>
  <c r="D6764" i="106" s="1"/>
  <c r="B6765" i="106"/>
  <c r="D6765" i="106" s="1"/>
  <c r="B6766" i="106"/>
  <c r="D6766" i="106"/>
  <c r="B6767" i="106"/>
  <c r="D6767" i="106" s="1"/>
  <c r="B6768" i="106"/>
  <c r="D6768" i="106" s="1"/>
  <c r="B6769" i="106"/>
  <c r="D6769" i="106" s="1"/>
  <c r="B6770" i="106"/>
  <c r="D6770" i="106" s="1"/>
  <c r="B6771" i="106"/>
  <c r="D6771" i="106" s="1"/>
  <c r="B6772" i="106"/>
  <c r="D6772" i="106" s="1"/>
  <c r="B6773" i="106"/>
  <c r="D6773" i="106" s="1"/>
  <c r="B6774" i="106"/>
  <c r="D6774" i="106"/>
  <c r="B6775" i="106"/>
  <c r="D6775" i="106" s="1"/>
  <c r="B6776" i="106"/>
  <c r="D6776" i="106" s="1"/>
  <c r="B6777" i="106"/>
  <c r="D6777" i="106" s="1"/>
  <c r="B6778" i="106"/>
  <c r="D6778" i="106" s="1"/>
  <c r="B6779" i="106"/>
  <c r="D6779" i="106" s="1"/>
  <c r="B6780" i="106"/>
  <c r="D6780" i="106" s="1"/>
  <c r="B6781" i="106"/>
  <c r="D6781" i="106" s="1"/>
  <c r="B6782" i="106"/>
  <c r="D6782" i="106"/>
  <c r="B6783" i="106"/>
  <c r="D6783" i="106" s="1"/>
  <c r="B6784" i="106"/>
  <c r="D6784" i="106" s="1"/>
  <c r="B6785" i="106"/>
  <c r="D6785" i="106" s="1"/>
  <c r="B6786" i="106"/>
  <c r="D6786" i="106" s="1"/>
  <c r="B6787" i="106"/>
  <c r="D6787" i="106" s="1"/>
  <c r="B6788" i="106"/>
  <c r="D6788" i="106" s="1"/>
  <c r="B6789" i="106"/>
  <c r="D6789" i="106" s="1"/>
  <c r="B6790" i="106"/>
  <c r="D6790" i="106"/>
  <c r="B6791" i="106"/>
  <c r="D6791" i="106" s="1"/>
  <c r="B6792" i="106"/>
  <c r="D6792" i="106" s="1"/>
  <c r="B6793" i="106"/>
  <c r="D6793" i="106" s="1"/>
  <c r="B6794" i="106"/>
  <c r="D6794" i="106" s="1"/>
  <c r="B6795" i="106"/>
  <c r="D6795" i="106" s="1"/>
  <c r="B6796" i="106"/>
  <c r="D6796" i="106" s="1"/>
  <c r="B6797" i="106"/>
  <c r="D6797" i="106" s="1"/>
  <c r="B6798" i="106"/>
  <c r="D6798" i="106"/>
  <c r="B6799" i="106"/>
  <c r="D6799" i="106" s="1"/>
  <c r="B6800" i="106"/>
  <c r="D6800" i="106" s="1"/>
  <c r="B6801" i="106"/>
  <c r="D6801" i="106" s="1"/>
  <c r="B6802" i="106"/>
  <c r="D6802" i="106" s="1"/>
  <c r="B6803" i="106"/>
  <c r="D6803" i="106" s="1"/>
  <c r="B6804" i="106"/>
  <c r="D6804" i="106" s="1"/>
  <c r="B6805" i="106"/>
  <c r="D6805" i="106" s="1"/>
  <c r="B6806" i="106"/>
  <c r="D6806" i="106"/>
  <c r="B6807" i="106"/>
  <c r="D6807" i="106" s="1"/>
  <c r="B6808" i="106"/>
  <c r="D6808" i="106" s="1"/>
  <c r="B6809" i="106"/>
  <c r="D6809" i="106" s="1"/>
  <c r="B6810" i="106"/>
  <c r="D6810" i="106" s="1"/>
  <c r="B6811" i="106"/>
  <c r="D6811" i="106" s="1"/>
  <c r="B6812" i="106"/>
  <c r="D6812" i="106" s="1"/>
  <c r="B6813" i="106"/>
  <c r="D6813" i="106" s="1"/>
  <c r="B6814" i="106"/>
  <c r="D6814" i="106"/>
  <c r="B6815" i="106"/>
  <c r="D6815" i="106" s="1"/>
  <c r="B6816" i="106"/>
  <c r="D6816" i="106" s="1"/>
  <c r="B6817" i="106"/>
  <c r="D6817" i="106" s="1"/>
  <c r="B6818" i="106"/>
  <c r="D6818" i="106" s="1"/>
  <c r="B6819" i="106"/>
  <c r="D6819" i="106" s="1"/>
  <c r="B6820" i="106"/>
  <c r="D6820" i="106" s="1"/>
  <c r="B6821" i="106"/>
  <c r="D6821" i="106" s="1"/>
  <c r="B6822" i="106"/>
  <c r="D6822" i="106"/>
  <c r="B6823" i="106"/>
  <c r="D6823" i="106" s="1"/>
  <c r="B6824" i="106"/>
  <c r="D6824" i="106" s="1"/>
  <c r="B6825" i="106"/>
  <c r="D6825" i="106" s="1"/>
  <c r="B6826" i="106"/>
  <c r="D6826" i="106" s="1"/>
  <c r="B6827" i="106"/>
  <c r="D6827" i="106" s="1"/>
  <c r="B6828" i="106"/>
  <c r="D6828" i="106" s="1"/>
  <c r="B6829" i="106"/>
  <c r="D6829" i="106" s="1"/>
  <c r="B6830" i="106"/>
  <c r="D6830" i="106"/>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4" i="106"/>
  <c r="D6884" i="106" s="1"/>
  <c r="K24" i="29"/>
  <c r="B6886" i="106"/>
  <c r="D6886" i="106" s="1"/>
  <c r="K25" i="29"/>
  <c r="B6887" i="106" s="1"/>
  <c r="D6887" i="106" s="1"/>
  <c r="B6888" i="106"/>
  <c r="D6888" i="106" s="1"/>
  <c r="K26" i="29"/>
  <c r="B6889" i="106" s="1"/>
  <c r="D6889" i="106" s="1"/>
  <c r="B6890" i="106"/>
  <c r="D6890" i="106" s="1"/>
  <c r="K27" i="29"/>
  <c r="B6892" i="106"/>
  <c r="D6892" i="106" s="1"/>
  <c r="K28" i="29"/>
  <c r="B6894" i="106"/>
  <c r="D6894" i="106" s="1"/>
  <c r="K29" i="29"/>
  <c r="B6895" i="106" s="1"/>
  <c r="D6895" i="106" s="1"/>
  <c r="B6896" i="106"/>
  <c r="D6896" i="106" s="1"/>
  <c r="K30" i="29"/>
  <c r="B6897" i="106" s="1"/>
  <c r="D6897" i="106" s="1"/>
  <c r="B6898" i="106"/>
  <c r="D6898" i="106" s="1"/>
  <c r="K31" i="29"/>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7" i="106"/>
  <c r="D7077"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5" i="127"/>
  <c r="B66" i="127"/>
  <c r="D26" i="108"/>
  <c r="E26" i="108"/>
  <c r="F26" i="108"/>
  <c r="G26" i="108"/>
  <c r="E27" i="108"/>
  <c r="G27" i="108"/>
  <c r="E28" i="108"/>
  <c r="F31" i="108"/>
  <c r="F36" i="108"/>
  <c r="F37" i="108"/>
  <c r="G28" i="108"/>
  <c r="E29" i="108"/>
  <c r="E30" i="108"/>
  <c r="G30" i="108"/>
  <c r="D36" i="108"/>
  <c r="D37" i="108"/>
  <c r="E31" i="108"/>
  <c r="G31" i="108"/>
  <c r="E33" i="108"/>
  <c r="G33" i="108"/>
  <c r="E34" i="108"/>
  <c r="G34" i="108"/>
  <c r="E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C43" i="34"/>
  <c r="D43" i="34"/>
  <c r="C44" i="34"/>
  <c r="D44" i="34"/>
  <c r="F44" i="34"/>
  <c r="C45" i="34"/>
  <c r="D45" i="34"/>
  <c r="C46" i="34"/>
  <c r="D46" i="34"/>
  <c r="C47" i="34"/>
  <c r="D47" i="34"/>
  <c r="C48" i="34"/>
  <c r="D48" i="34"/>
  <c r="C49" i="34"/>
  <c r="D49" i="34"/>
  <c r="F49" i="34"/>
  <c r="C50" i="34"/>
  <c r="D50" i="34"/>
  <c r="C51" i="34"/>
  <c r="D51" i="34"/>
  <c r="C52" i="34"/>
  <c r="F52" i="34"/>
  <c r="C53" i="34"/>
  <c r="D53" i="34"/>
  <c r="C56" i="34"/>
  <c r="C57" i="34"/>
  <c r="D57" i="34"/>
  <c r="C61" i="34"/>
  <c r="C62" i="34"/>
  <c r="F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D9" i="7"/>
  <c r="B1767" i="106" s="1"/>
  <c r="D1767" i="106" s="1"/>
  <c r="F130" i="34"/>
  <c r="H173" i="5"/>
  <c r="B5906" i="106" s="1"/>
  <c r="D5906" i="106" s="1"/>
  <c r="B6899" i="106" l="1"/>
  <c r="D6899" i="106" s="1"/>
  <c r="F50" i="34"/>
  <c r="B6891" i="106"/>
  <c r="D6891" i="106" s="1"/>
  <c r="F46" i="34"/>
  <c r="B6883" i="106"/>
  <c r="D6883" i="106" s="1"/>
  <c r="F42" i="34"/>
  <c r="B3565" i="106"/>
  <c r="D3565" i="106" s="1"/>
  <c r="K41" i="3"/>
  <c r="B1364" i="106"/>
  <c r="D1364" i="106" s="1"/>
  <c r="G210" i="29"/>
  <c r="B7076" i="106"/>
  <c r="D7076" i="106" s="1"/>
  <c r="F68" i="34"/>
  <c r="B1380" i="106"/>
  <c r="D1380" i="106" s="1"/>
  <c r="G38" i="108"/>
  <c r="B1308" i="106"/>
  <c r="D1308" i="106" s="1"/>
  <c r="E174" i="29"/>
  <c r="B1309" i="106" s="1"/>
  <c r="D1309" i="106" s="1"/>
  <c r="B1136" i="106"/>
  <c r="D1136" i="106" s="1"/>
  <c r="G35" i="108"/>
  <c r="D27" i="108"/>
  <c r="F27" i="108"/>
  <c r="B1104" i="106"/>
  <c r="D1104" i="106" s="1"/>
  <c r="F37" i="34"/>
  <c r="B1053" i="106"/>
  <c r="D1053" i="106" s="1"/>
  <c r="H112" i="29"/>
  <c r="B7018" i="106" s="1"/>
  <c r="D7018" i="106" s="1"/>
  <c r="B2805" i="106"/>
  <c r="D2805" i="106" s="1"/>
  <c r="F56" i="34"/>
  <c r="L312" i="29"/>
  <c r="F21" i="8"/>
  <c r="D12" i="7"/>
  <c r="B1769" i="106" s="1"/>
  <c r="D1769" i="106" s="1"/>
  <c r="H342" i="29"/>
  <c r="B1124" i="106"/>
  <c r="D1124" i="106" s="1"/>
  <c r="K274" i="5"/>
  <c r="F34" i="34"/>
  <c r="D17" i="7"/>
  <c r="B4104" i="106" s="1"/>
  <c r="D4104" i="106" s="1"/>
  <c r="D13" i="7"/>
  <c r="B3726" i="106" s="1"/>
  <c r="D3726" i="106" s="1"/>
  <c r="J77" i="4"/>
  <c r="B6262" i="106" s="1"/>
  <c r="D6262" i="106" s="1"/>
  <c r="B3689" i="106"/>
  <c r="D3689" i="106" s="1"/>
  <c r="H76" i="4"/>
  <c r="B3298" i="106" s="1"/>
  <c r="D3298" i="106" s="1"/>
  <c r="B1274" i="106"/>
  <c r="D1274" i="106" s="1"/>
  <c r="H109" i="5"/>
  <c r="B6025" i="106" s="1"/>
  <c r="D6025" i="106" s="1"/>
  <c r="F111" i="34"/>
  <c r="F172" i="5"/>
  <c r="B5644" i="106" s="1"/>
  <c r="D5644" i="106" s="1"/>
  <c r="D7245" i="106"/>
  <c r="J41" i="3"/>
  <c r="L15" i="11"/>
  <c r="B3459" i="106" s="1"/>
  <c r="D3459" i="106" s="1"/>
  <c r="B1995" i="106"/>
  <c r="D1995" i="106" s="1"/>
  <c r="I24" i="12"/>
  <c r="E15" i="145"/>
  <c r="G15" i="145" s="1"/>
  <c r="B1126" i="106"/>
  <c r="D1126" i="106" s="1"/>
  <c r="H4" i="4"/>
  <c r="B2655" i="106" s="1"/>
  <c r="D2655" i="106" s="1"/>
  <c r="D7" i="7"/>
  <c r="B1763" i="106" s="1"/>
  <c r="D1763" i="106" s="1"/>
  <c r="K173" i="5"/>
  <c r="K6" i="4" s="1"/>
  <c r="B3570" i="106" s="1"/>
  <c r="D3570" i="106" s="1"/>
  <c r="F35" i="34"/>
  <c r="B3621" i="106"/>
  <c r="D3621" i="106" s="1"/>
  <c r="C367" i="29"/>
  <c r="B3254" i="106"/>
  <c r="D3254" i="106" s="1"/>
  <c r="F77" i="4"/>
  <c r="B3255" i="106" s="1"/>
  <c r="D3255" i="106" s="1"/>
  <c r="G172" i="5"/>
  <c r="L367" i="29"/>
  <c r="F41" i="34"/>
  <c r="D15" i="7"/>
  <c r="B1772" i="106" s="1"/>
  <c r="D1772" i="106" s="1"/>
  <c r="F106" i="34"/>
  <c r="F127" i="34"/>
  <c r="F136" i="34"/>
  <c r="L5" i="11"/>
  <c r="B2056" i="106" s="1"/>
  <c r="D2056" i="106" s="1"/>
  <c r="G5" i="4"/>
  <c r="B3409" i="106" s="1"/>
  <c r="D3409" i="106" s="1"/>
  <c r="I173" i="5"/>
  <c r="B4216" i="106" s="1"/>
  <c r="D4216" i="106" s="1"/>
  <c r="F66" i="34"/>
  <c r="F45" i="34"/>
  <c r="F131" i="34"/>
  <c r="D11" i="7"/>
  <c r="B1768" i="106" s="1"/>
  <c r="D1768" i="106" s="1"/>
  <c r="H6" i="4"/>
  <c r="B2656" i="106" s="1"/>
  <c r="D2656" i="106" s="1"/>
  <c r="D109" i="5"/>
  <c r="B5356" i="106" s="1"/>
  <c r="D5356" i="106" s="1"/>
  <c r="F128" i="34"/>
  <c r="D5" i="4"/>
  <c r="B3406" i="106" s="1"/>
  <c r="D3406" i="106" s="1"/>
  <c r="J274" i="5"/>
  <c r="B7054" i="106" s="1"/>
  <c r="D7054" i="106" s="1"/>
  <c r="D6103" i="106"/>
  <c r="K76" i="4"/>
  <c r="B3586" i="106" s="1"/>
  <c r="D3586" i="106" s="1"/>
  <c r="K24" i="12"/>
  <c r="G352" i="29"/>
  <c r="K350" i="29"/>
  <c r="B1410" i="106"/>
  <c r="D1410" i="106" s="1"/>
  <c r="G109" i="5"/>
  <c r="B6024" i="106" s="1"/>
  <c r="D6024" i="106" s="1"/>
  <c r="G29" i="108"/>
  <c r="K184" i="29"/>
  <c r="F13" i="4" s="1"/>
  <c r="B2596" i="106" s="1"/>
  <c r="D2596" i="106" s="1"/>
  <c r="B1329" i="106"/>
  <c r="D1329" i="106" s="1"/>
  <c r="F61" i="34"/>
  <c r="B1746" i="106"/>
  <c r="D1746" i="106" s="1"/>
  <c r="E109" i="5"/>
  <c r="E4" i="4" s="1"/>
  <c r="B2630" i="106" s="1"/>
  <c r="D2630" i="106" s="1"/>
  <c r="F28" i="108"/>
  <c r="F41" i="108" s="1"/>
  <c r="G43" i="108" s="1"/>
  <c r="D4" i="4"/>
  <c r="B2564" i="106" s="1"/>
  <c r="D2564" i="106" s="1"/>
  <c r="D5" i="7"/>
  <c r="B1761" i="106" s="1"/>
  <c r="D1761" i="106" s="1"/>
  <c r="C172" i="5"/>
  <c r="B5214" i="106" s="1"/>
  <c r="D5214" i="106" s="1"/>
  <c r="B5096" i="106"/>
  <c r="D5096" i="106" s="1"/>
  <c r="C109" i="5"/>
  <c r="B5121" i="106" s="1"/>
  <c r="D5121" i="106" s="1"/>
  <c r="D4" i="7"/>
  <c r="B1760" i="106" s="1"/>
  <c r="D1760" i="106" s="1"/>
  <c r="L342" i="29"/>
  <c r="D11" i="37"/>
  <c r="H29" i="118"/>
  <c r="K28" i="118" s="1"/>
  <c r="O27" i="118" s="1"/>
  <c r="O29" i="118" s="1"/>
  <c r="D31" i="36"/>
  <c r="L13" i="11"/>
  <c r="B2060" i="106" s="1"/>
  <c r="D2060" i="106" s="1"/>
  <c r="F19" i="7"/>
  <c r="B1807" i="106" s="1"/>
  <c r="D1807" i="106" s="1"/>
  <c r="H33" i="118"/>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D7254" i="106" l="1"/>
  <c r="D7256" i="106"/>
  <c r="D7251" i="106"/>
  <c r="D7250" i="106"/>
  <c r="B1879" i="106"/>
  <c r="D1879" i="106" s="1"/>
  <c r="H22" i="37"/>
  <c r="B1365" i="106"/>
  <c r="D1365" i="106" s="1"/>
  <c r="F65" i="34"/>
  <c r="B3568" i="106"/>
  <c r="D3568" i="106" s="1"/>
  <c r="D52" i="36"/>
  <c r="D7252" i="106"/>
  <c r="H367" i="29"/>
  <c r="B3660" i="106" s="1"/>
  <c r="D3660" i="106" s="1"/>
  <c r="B1996" i="106"/>
  <c r="D1996" i="106" s="1"/>
  <c r="I26" i="12"/>
  <c r="B7741" i="106" s="1"/>
  <c r="D7741" i="106" s="1"/>
  <c r="G173" i="5"/>
  <c r="B5770" i="106"/>
  <c r="D5770" i="106" s="1"/>
  <c r="B7733" i="106"/>
  <c r="D7733" i="106" s="1"/>
  <c r="K26" i="12"/>
  <c r="B7743" i="106" s="1"/>
  <c r="D7743" i="106" s="1"/>
  <c r="B3649" i="106"/>
  <c r="D3649" i="106" s="1"/>
  <c r="G367" i="29"/>
  <c r="B3650" i="106" s="1"/>
  <c r="D3650" i="106" s="1"/>
  <c r="B3670" i="106"/>
  <c r="D3670" i="106" s="1"/>
  <c r="K352" i="29"/>
  <c r="K342" i="29"/>
  <c r="F13" i="34" s="1"/>
  <c r="G4" i="4"/>
  <c r="B2603" i="106" s="1"/>
  <c r="D2603" i="106" s="1"/>
  <c r="D19" i="7"/>
  <c r="B1775" i="106" s="1"/>
  <c r="D1775" i="106" s="1"/>
  <c r="F6" i="4"/>
  <c r="B2593" i="106" s="1"/>
  <c r="D2593" i="106" s="1"/>
  <c r="F275" i="5"/>
  <c r="B1317" i="106"/>
  <c r="D1317" i="106" s="1"/>
  <c r="C114" i="29"/>
  <c r="B757" i="106" s="1"/>
  <c r="D757" i="106" s="1"/>
  <c r="C173" i="5"/>
  <c r="B5223" i="106" s="1"/>
  <c r="D5223" i="106" s="1"/>
  <c r="C4" i="4"/>
  <c r="B2551" i="106" s="1"/>
  <c r="D2551" i="106" s="1"/>
  <c r="L114" i="29"/>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B7224" i="106" l="1"/>
  <c r="D7224" i="106" s="1"/>
  <c r="B5778" i="106"/>
  <c r="D5778" i="106" s="1"/>
  <c r="G6" i="4"/>
  <c r="B2604" i="106" s="1"/>
  <c r="D2604" i="106" s="1"/>
  <c r="F8" i="4"/>
  <c r="K13" i="4"/>
  <c r="B3572" i="106" s="1"/>
  <c r="D3572" i="106" s="1"/>
  <c r="B3672" i="106"/>
  <c r="D3672" i="106" s="1"/>
  <c r="K367" i="29"/>
  <c r="B3678" i="106" s="1"/>
  <c r="D3678" i="106" s="1"/>
  <c r="B1145" i="106"/>
  <c r="D1145" i="106" s="1"/>
  <c r="E41" i="108"/>
  <c r="G41" i="108"/>
  <c r="G44" i="108" s="1"/>
  <c r="G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E44" i="108"/>
  <c r="E45" i="108" s="1"/>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K368" i="29" l="1"/>
  <c r="B3681" i="106" s="1"/>
  <c r="D3681"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authors>
    <author>Kurt</author>
  </authors>
  <commentList>
    <comment ref="B5" authorId="0" shapeId="0">
      <text>
        <r>
          <rPr>
            <b/>
            <sz val="9"/>
            <color indexed="81"/>
            <rFont val="Tahoma"/>
            <charset val="1"/>
          </rPr>
          <t>Kurt:</t>
        </r>
        <r>
          <rPr>
            <sz val="9"/>
            <color indexed="81"/>
            <rFont val="Tahoma"/>
            <charset val="1"/>
          </rPr>
          <t xml:space="preserve">
</t>
        </r>
      </text>
    </comment>
  </commentList>
</comments>
</file>

<file path=xl/sharedStrings.xml><?xml version="1.0" encoding="utf-8"?>
<sst xmlns="http://schemas.openxmlformats.org/spreadsheetml/2006/main" count="5179" uniqueCount="2180">
  <si>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</si>
  <si>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</si>
  <si>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</si>
  <si>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</si>
  <si>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</si>
  <si>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</si>
  <si>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</si>
  <si>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</si>
  <si>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</si>
  <si>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</si>
  <si>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</si>
  <si>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</si>
  <si>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</si>
  <si>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</si>
  <si>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</si>
  <si>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</si>
  <si>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</si>
  <si>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</si>
  <si>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</si>
  <si>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</si>
  <si>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</si>
  <si>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</si>
  <si>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</si>
  <si>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</si>
  <si>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</si>
  <si>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</si>
  <si>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</si>
  <si>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</si>
  <si>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</si>
  <si>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</si>
  <si>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</si>
  <si>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</si>
  <si>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</si>
  <si>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</si>
  <si>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</si>
  <si>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</si>
  <si>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</si>
  <si>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</si>
  <si>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</si>
  <si>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</si>
  <si>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</si>
  <si>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</si>
  <si>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</si>
  <si>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</si>
  <si>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</si>
  <si>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</si>
  <si>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</si>
  <si>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</si>
  <si>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</si>
  <si>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</si>
  <si>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</si>
  <si>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</si>
  <si>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</si>
  <si>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</si>
  <si>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</si>
  <si>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</si>
  <si>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</si>
  <si>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</si>
  <si>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</si>
  <si>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</si>
  <si>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</si>
  <si>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</si>
  <si>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</si>
  <si>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</si>
  <si>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</si>
  <si>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</si>
  <si>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</si>
  <si>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</si>
  <si>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</si>
  <si>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</si>
  <si>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</si>
  <si>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</si>
  <si>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</si>
  <si>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</si>
  <si>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</si>
  <si>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</si>
  <si>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</si>
  <si>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</si>
  <si>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</si>
  <si>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</si>
  <si>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</si>
  <si>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</si>
  <si>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</si>
  <si>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</si>
  <si>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</si>
  <si>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</si>
  <si>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</si>
  <si>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</si>
  <si>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</si>
  <si>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</si>
  <si>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</si>
  <si>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</si>
  <si>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</si>
  <si>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</si>
  <si>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</si>
  <si>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</si>
  <si>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</si>
  <si>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</si>
  <si>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</si>
  <si>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</si>
  <si>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</si>
  <si>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</si>
  <si>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</si>
  <si>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</si>
  <si>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</si>
  <si>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</si>
  <si>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</si>
  <si>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</si>
  <si>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</si>
  <si>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</si>
  <si>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</si>
  <si>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</si>
  <si>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</si>
  <si>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</si>
  <si>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</si>
  <si>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</si>
  <si>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</si>
  <si>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</si>
  <si>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</si>
  <si>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</si>
  <si>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</si>
  <si>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</si>
  <si>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</si>
  <si>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</si>
  <si>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</si>
  <si>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</si>
  <si>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</si>
  <si>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</si>
  <si>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</si>
  <si>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</si>
  <si>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</si>
  <si>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</si>
  <si>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</si>
  <si>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</si>
  <si>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</si>
  <si>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</si>
  <si>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</si>
  <si>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</si>
  <si>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</si>
  <si>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</si>
  <si>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</si>
  <si>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</si>
  <si>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</si>
  <si>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</si>
  <si>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</si>
  <si>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</si>
  <si>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</si>
  <si>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</si>
  <si>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</si>
  <si>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</si>
  <si>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</si>
  <si>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</si>
  <si>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</si>
  <si>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</si>
  <si>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</si>
  <si>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</si>
  <si>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</si>
  <si>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</si>
  <si>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</si>
  <si>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</si>
  <si>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</si>
  <si>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</si>
  <si>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</si>
  <si>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</si>
  <si>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</si>
  <si>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</si>
  <si>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</si>
  <si>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</si>
  <si>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</si>
  <si>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</si>
  <si>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</si>
  <si>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</si>
  <si>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</si>
  <si>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</si>
  <si>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</si>
  <si>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</si>
  <si>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</si>
  <si>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</si>
  <si>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</si>
  <si>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</si>
  <si>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</si>
  <si>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</si>
  <si>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</si>
  <si>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</si>
  <si>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</si>
  <si>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</si>
  <si>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</si>
  <si>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</si>
  <si>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</si>
  <si>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</si>
  <si>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</si>
  <si>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</si>
  <si>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</si>
  <si>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</si>
  <si>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</si>
  <si>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</si>
  <si>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</si>
  <si>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</si>
  <si>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</si>
  <si>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</si>
  <si>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</si>
  <si>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</si>
  <si>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</si>
  <si>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</si>
  <si>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</si>
  <si>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</si>
  <si>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</si>
  <si>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</si>
  <si>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</si>
  <si>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</si>
  <si>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</si>
  <si>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</si>
  <si>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</si>
  <si>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</si>
  <si>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</si>
  <si>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</si>
  <si>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</si>
  <si>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</si>
  <si>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</si>
  <si>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</si>
  <si>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</si>
  <si>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</si>
  <si>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</si>
  <si>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</si>
  <si>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</si>
  <si>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</si>
  <si>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</si>
  <si>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</si>
  <si>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</si>
  <si>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</si>
  <si>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</si>
  <si>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</si>
  <si>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</si>
  <si>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</si>
  <si>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</si>
  <si>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</si>
  <si>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</si>
  <si>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</si>
  <si>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</si>
  <si>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</si>
  <si>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</si>
  <si>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</si>
  <si>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</si>
  <si>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</si>
  <si>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</si>
  <si>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</si>
  <si>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</si>
  <si>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</si>
  <si>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</si>
  <si>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</si>
  <si>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</si>
  <si>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</si>
  <si>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</si>
  <si>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</si>
  <si>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</si>
  <si>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</si>
  <si>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</si>
  <si>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</si>
  <si>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</si>
  <si>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</si>
  <si>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</si>
  <si>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</si>
  <si>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</si>
  <si>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</si>
  <si>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</si>
  <si>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</si>
  <si>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</si>
  <si>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</si>
  <si>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</si>
  <si>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</si>
  <si>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</si>
  <si>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</si>
  <si>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</si>
  <si>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</si>
  <si>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</si>
  <si>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</si>
  <si>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</si>
  <si>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</si>
  <si>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</si>
  <si>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</si>
  <si>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</si>
  <si>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</si>
  <si>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</si>
  <si>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</si>
  <si>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</si>
  <si>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</si>
  <si>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</si>
  <si>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</si>
  <si>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</si>
  <si>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</si>
  <si>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</si>
  <si>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</si>
  <si>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</si>
  <si>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</si>
  <si>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</si>
  <si>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</si>
  <si>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</si>
  <si>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</si>
  <si>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</si>
  <si>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</si>
  <si>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</si>
  <si>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</si>
  <si>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</si>
  <si>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</si>
  <si>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</si>
  <si>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</si>
  <si>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</si>
  <si>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</si>
  <si>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</si>
  <si>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</si>
  <si>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</si>
  <si>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</si>
  <si>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</si>
  <si>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</si>
  <si>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</si>
  <si>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</si>
  <si>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</si>
  <si>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</si>
  <si>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</si>
  <si>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</si>
  <si>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</si>
  <si>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</si>
  <si>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</si>
  <si>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</si>
  <si>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</si>
  <si>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</si>
  <si>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</si>
  <si>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</si>
  <si>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</si>
  <si>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</si>
  <si>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</si>
  <si>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</si>
  <si>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</si>
  <si>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</si>
  <si>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</si>
  <si>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</si>
  <si>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</si>
  <si>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</si>
  <si>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</si>
  <si>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</si>
  <si>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</si>
  <si>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</si>
  <si>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</si>
  <si>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</si>
  <si>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</si>
  <si>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</si>
  <si>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</si>
  <si>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</si>
  <si>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</si>
  <si>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</si>
  <si>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</si>
  <si>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</si>
  <si>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</si>
  <si>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</si>
  <si>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</si>
  <si>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</si>
  <si>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</si>
  <si>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</si>
  <si>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</si>
  <si>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</si>
  <si>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</si>
  <si>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</si>
  <si>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</si>
  <si>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</si>
  <si>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</si>
  <si>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</si>
  <si>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</si>
  <si>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</si>
  <si>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</si>
  <si>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</si>
  <si>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</si>
  <si>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</si>
  <si>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</si>
  <si>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</si>
  <si>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</si>
  <si>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</si>
  <si>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</si>
  <si>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</si>
  <si>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</si>
  <si>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</si>
  <si>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</si>
  <si>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</si>
  <si>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</si>
  <si>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</si>
  <si>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</si>
  <si>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</si>
  <si>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</si>
  <si>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</si>
  <si>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</si>
  <si>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</si>
  <si>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</si>
  <si>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</si>
  <si>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</si>
  <si>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</si>
  <si>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</si>
  <si>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</si>
  <si>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</si>
  <si>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</si>
  <si>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</si>
  <si>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</si>
  <si>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</si>
  <si>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</si>
  <si>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</si>
  <si>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</si>
  <si>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</si>
  <si>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</si>
  <si>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</si>
  <si>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</si>
  <si>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</si>
  <si>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</si>
  <si>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</si>
  <si>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</si>
  <si>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</si>
  <si>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</si>
  <si>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</si>
  <si>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</si>
  <si>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</si>
  <si>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</si>
  <si>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</si>
  <si>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</si>
  <si>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</si>
  <si>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</si>
  <si>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</si>
  <si>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</si>
  <si>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</si>
  <si>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</si>
  <si>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</si>
  <si>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</si>
  <si>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</si>
  <si>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</si>
  <si>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</si>
  <si>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</si>
  <si>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</si>
  <si>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</si>
  <si>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</si>
  <si>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</si>
  <si>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</si>
  <si>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</si>
  <si>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</si>
  <si>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</si>
  <si>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</si>
  <si>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</si>
  <si>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</si>
  <si>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</si>
  <si>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</si>
  <si>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</si>
  <si>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</si>
  <si>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</si>
  <si>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</si>
  <si>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</si>
  <si>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</si>
  <si>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</si>
  <si>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</si>
  <si>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</si>
  <si>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</si>
  <si>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</si>
  <si>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</si>
  <si>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</si>
  <si>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</si>
  <si>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</si>
  <si>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</si>
  <si>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</si>
  <si>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</si>
  <si>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</si>
  <si>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</si>
  <si>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</si>
  <si>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</si>
  <si>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</si>
  <si>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</si>
  <si>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</si>
  <si>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</si>
  <si>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</si>
  <si>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</si>
  <si>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</si>
  <si>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</si>
  <si>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</si>
  <si>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</si>
  <si>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</si>
  <si>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</si>
  <si>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</si>
  <si>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</si>
  <si>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</si>
  <si>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</si>
  <si>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</si>
  <si>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</si>
  <si>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</si>
  <si>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</si>
  <si>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</si>
  <si>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</si>
  <si>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</si>
  <si>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</si>
  <si>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</si>
  <si>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</si>
  <si>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</si>
  <si>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</si>
  <si>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</si>
  <si>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</si>
  <si>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</si>
  <si>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</si>
  <si>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</si>
  <si>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</si>
  <si>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</si>
  <si>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</si>
  <si>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</si>
  <si>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</si>
  <si>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</si>
  <si>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</si>
  <si>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</si>
  <si>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</si>
  <si>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</si>
  <si>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</si>
  <si>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</si>
  <si>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</si>
  <si>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</si>
  <si>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</si>
  <si>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</si>
  <si>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</si>
  <si>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</si>
  <si>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</si>
  <si>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</si>
  <si>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</si>
  <si>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</si>
  <si>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</si>
  <si>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</si>
  <si>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</si>
  <si>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</si>
  <si>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</si>
  <si>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</si>
  <si>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</si>
  <si>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</si>
  <si>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</si>
  <si>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</si>
  <si>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</si>
  <si>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</si>
  <si>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</si>
  <si>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</si>
  <si>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</si>
  <si>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</si>
  <si>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</si>
  <si>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</si>
  <si>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</si>
  <si>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</si>
  <si>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</si>
  <si>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</si>
  <si>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</si>
  <si>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</si>
  <si>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</si>
  <si>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</si>
  <si>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</si>
  <si>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</si>
  <si>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</si>
  <si>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</si>
  <si>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</si>
  <si>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</si>
  <si>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</si>
  <si>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</si>
  <si>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</si>
  <si>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</si>
  <si>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</si>
  <si>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</si>
  <si>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</si>
  <si>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</si>
  <si>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</si>
  <si>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</si>
  <si>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</si>
  <si>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</si>
  <si>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</si>
  <si>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</si>
  <si>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</si>
  <si>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</si>
  <si>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</si>
  <si>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</si>
  <si>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</si>
  <si>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</si>
  <si>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</si>
  <si>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</si>
  <si>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</si>
  <si>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</si>
  <si>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</si>
  <si>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</si>
  <si>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</si>
  <si>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</si>
  <si>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</si>
  <si>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</si>
  <si>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</si>
  <si>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</si>
  <si>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</si>
  <si>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</si>
  <si>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</si>
  <si>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</si>
  <si>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</si>
  <si>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</si>
  <si>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</si>
  <si>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</si>
  <si>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</si>
  <si>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</si>
  <si>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</si>
  <si>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</si>
  <si>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</si>
  <si>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</si>
  <si>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</si>
  <si>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</si>
  <si>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</si>
  <si>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</si>
  <si>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</si>
  <si>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</si>
  <si>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</si>
  <si>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</si>
  <si>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</si>
  <si>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</si>
  <si>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</si>
  <si>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</si>
  <si>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</si>
  <si>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</si>
  <si>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</si>
  <si>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</si>
  <si>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</si>
  <si>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</si>
  <si>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</si>
  <si>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</si>
  <si>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</si>
  <si>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</si>
  <si>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</si>
  <si>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</si>
  <si>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</si>
  <si>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</si>
  <si>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</si>
  <si>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</si>
  <si>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</si>
  <si>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</si>
  <si>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</si>
  <si>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</si>
  <si>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</si>
  <si>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</si>
  <si>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</si>
  <si>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</si>
  <si>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</si>
  <si>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</si>
  <si>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</si>
  <si>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</si>
  <si>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</si>
  <si>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</si>
  <si>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</si>
  <si>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</si>
  <si>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</si>
  <si>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</si>
  <si>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</si>
  <si>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</si>
  <si>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</si>
  <si>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</si>
  <si>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</si>
  <si>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</si>
  <si>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</si>
  <si>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</si>
  <si>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</si>
  <si>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</si>
  <si>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</si>
  <si>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</si>
  <si>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</si>
  <si>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</si>
  <si>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</si>
  <si>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</si>
  <si>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</si>
  <si>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</si>
  <si>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</si>
  <si>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</si>
  <si>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</si>
  <si>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</si>
  <si>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</si>
  <si>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</si>
  <si>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</si>
  <si>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</si>
  <si>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</si>
  <si>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</si>
  <si>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</si>
  <si>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</si>
  <si>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</si>
  <si>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</si>
  <si>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</si>
  <si>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</si>
  <si>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</si>
  <si>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</si>
  <si>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</si>
  <si>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</si>
  <si>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</si>
  <si>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</si>
  <si>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</si>
  <si>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</si>
  <si>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</si>
  <si>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</si>
  <si>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</si>
  <si>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</si>
  <si>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</si>
  <si>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</si>
  <si>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</si>
  <si>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</si>
  <si>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</si>
  <si>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</si>
  <si>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</si>
  <si>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</si>
  <si>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</si>
  <si>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</si>
  <si>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</si>
  <si>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</si>
  <si>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</si>
  <si>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</si>
  <si>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</si>
  <si>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</si>
  <si>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</si>
  <si>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</si>
  <si>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</si>
  <si>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</si>
  <si>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</si>
  <si>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</si>
  <si>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</si>
  <si>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</si>
  <si>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</si>
  <si>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</si>
  <si>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</si>
  <si>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</si>
  <si>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</si>
  <si>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</si>
  <si>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</si>
  <si>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</si>
  <si>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</si>
  <si>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</si>
  <si>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</si>
  <si>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</si>
  <si>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</si>
  <si>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</si>
  <si>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</si>
  <si>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</si>
  <si>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</si>
  <si>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</si>
  <si>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</si>
  <si>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</si>
  <si>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</si>
  <si>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</si>
  <si>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</si>
  <si>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</si>
  <si>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</si>
  <si>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</si>
  <si>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</si>
  <si>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</si>
  <si>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</si>
  <si>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</si>
  <si>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</si>
  <si>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</si>
  <si>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</si>
  <si>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</si>
  <si>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</si>
  <si>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</si>
  <si>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</si>
  <si>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</si>
  <si>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</si>
  <si>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</si>
  <si>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</si>
  <si>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</si>
  <si>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</si>
  <si>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</si>
  <si>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</si>
  <si>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</si>
  <si>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</si>
  <si>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</si>
  <si>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</si>
  <si>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</si>
  <si>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</si>
  <si>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</si>
  <si>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</si>
  <si>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</si>
  <si>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</si>
  <si>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</si>
  <si>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</si>
  <si>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</si>
  <si>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</si>
  <si>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</si>
  <si>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</si>
  <si>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</si>
  <si>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</si>
  <si>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</si>
  <si>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</si>
  <si>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</si>
  <si>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</si>
  <si>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</si>
  <si>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</si>
  <si>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</si>
  <si>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</si>
  <si>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</si>
  <si>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</si>
  <si>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</si>
  <si>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</si>
  <si>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</si>
  <si>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</si>
  <si>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</si>
  <si>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</si>
  <si>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</si>
  <si>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</si>
  <si>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</si>
  <si>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</si>
  <si>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</si>
  <si>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</si>
  <si>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</si>
  <si>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</si>
  <si>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</si>
  <si>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</si>
  <si>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</si>
  <si>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</si>
  <si>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</si>
  <si>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</si>
  <si>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</si>
  <si>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</si>
  <si>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</si>
  <si>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</si>
  <si>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</si>
  <si>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</si>
  <si>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</si>
  <si>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</si>
  <si>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</si>
  <si>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</si>
  <si>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</si>
  <si>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</si>
  <si>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</si>
  <si>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</si>
  <si>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</si>
  <si>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</si>
  <si>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</si>
  <si>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</si>
  <si>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</si>
  <si>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</si>
  <si>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</si>
  <si>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</si>
  <si>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</si>
  <si>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</si>
  <si>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</si>
  <si>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</si>
  <si>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</si>
  <si>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</si>
  <si>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</si>
  <si>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</si>
  <si>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</si>
  <si>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</si>
  <si>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</si>
  <si>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</si>
  <si>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</si>
  <si>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</si>
  <si>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</si>
  <si>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</si>
  <si>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</si>
  <si>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</si>
  <si>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</si>
  <si>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</si>
  <si>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</si>
  <si>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</si>
  <si>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</si>
  <si>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</si>
  <si>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</si>
  <si>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</si>
  <si>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</si>
  <si>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</si>
  <si>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</si>
  <si>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</si>
  <si>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</si>
  <si>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</si>
  <si>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</si>
  <si>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</si>
  <si>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</si>
  <si>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</si>
  <si>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</si>
  <si>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</si>
  <si>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</si>
  <si>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</si>
  <si>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</si>
  <si>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</si>
  <si>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</si>
  <si>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</si>
  <si>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</si>
  <si>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</si>
  <si>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</si>
  <si>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</si>
  <si>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</si>
  <si>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</si>
  <si>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</si>
  <si>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</si>
  <si>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</si>
  <si>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</si>
  <si>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</si>
  <si>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</si>
  <si>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</si>
  <si>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</si>
  <si>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</si>
  <si>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</si>
  <si>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</si>
  <si>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</si>
  <si>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</si>
  <si>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</si>
  <si>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</si>
  <si>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</si>
  <si>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</si>
  <si>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</si>
  <si>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</si>
  <si>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</si>
  <si>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</si>
  <si>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</si>
  <si>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</si>
  <si>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</si>
  <si>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</si>
  <si>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</si>
  <si>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</si>
  <si>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</si>
  <si>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</si>
  <si>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</si>
  <si>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</si>
  <si>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</si>
  <si>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</si>
  <si>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</si>
  <si>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</si>
  <si>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</si>
  <si>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</si>
  <si>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</si>
  <si>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</si>
  <si>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</si>
  <si>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</si>
  <si>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</si>
  <si>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</si>
  <si>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</si>
  <si>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</si>
  <si>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</si>
  <si>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</si>
  <si>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</si>
  <si>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</si>
  <si>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</si>
  <si>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</si>
  <si>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</si>
  <si>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</si>
  <si>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</si>
  <si>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</si>
  <si>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</si>
  <si>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</si>
  <si>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</si>
  <si>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</si>
  <si>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</si>
  <si>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</si>
  <si>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</si>
  <si>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</si>
  <si>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</si>
  <si>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</si>
  <si>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</si>
  <si>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</si>
  <si>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</si>
  <si>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</si>
  <si>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</si>
  <si>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</si>
  <si>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</si>
  <si>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</si>
  <si>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</si>
  <si>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</si>
  <si>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</si>
  <si>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</si>
  <si>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</si>
  <si>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</si>
  <si>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</si>
  <si>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</si>
  <si>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</si>
  <si>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</si>
  <si>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</si>
  <si>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</si>
  <si>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</si>
  <si>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</si>
  <si>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</si>
  <si>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</si>
  <si>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</si>
  <si>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</si>
  <si>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</si>
  <si>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</si>
  <si>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</si>
  <si>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</si>
  <si>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</si>
  <si>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</si>
  <si>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</si>
  <si>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</si>
  <si>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</si>
  <si>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</si>
  <si>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</si>
  <si>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</si>
  <si>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</si>
  <si>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</si>
  <si>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</si>
  <si>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</si>
  <si>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</si>
  <si>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</si>
  <si>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</si>
  <si>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</si>
  <si>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</si>
  <si>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</si>
  <si>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</si>
  <si>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</si>
  <si>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</si>
  <si>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</si>
  <si>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</si>
  <si>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</si>
  <si>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</si>
  <si>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</si>
  <si>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</si>
  <si>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</si>
  <si>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</si>
  <si>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</si>
  <si>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</si>
  <si>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</si>
  <si>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</si>
  <si>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</si>
  <si>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</si>
  <si>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</si>
  <si>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</si>
  <si>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</si>
  <si>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</si>
  <si>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</si>
  <si>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</si>
  <si>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</si>
  <si>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</si>
  <si>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</si>
  <si>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</si>
  <si>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</si>
  <si>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</si>
  <si>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</si>
  <si>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</si>
  <si>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</si>
  <si>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</si>
  <si>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</si>
  <si>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</si>
  <si>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</si>
  <si>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</si>
  <si>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</si>
  <si>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</si>
  <si>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</si>
  <si>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</si>
  <si>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</si>
  <si>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</si>
  <si>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</si>
  <si>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</si>
  <si>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</si>
  <si>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</si>
  <si>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</si>
  <si>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</si>
  <si>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</si>
  <si>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</si>
  <si>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</si>
  <si>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</si>
  <si>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</si>
  <si>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</si>
  <si>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</si>
  <si>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</si>
  <si>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</si>
  <si>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</si>
  <si>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</si>
  <si>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</si>
  <si>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</si>
  <si>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</si>
  <si>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</si>
  <si>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</si>
  <si>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</si>
  <si>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</si>
  <si>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</si>
  <si>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</si>
  <si>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</si>
  <si>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</si>
  <si>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</si>
  <si>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</si>
  <si>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</si>
  <si>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</si>
  <si>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</si>
  <si>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</si>
  <si>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</si>
  <si>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</si>
  <si>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</si>
  <si>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</si>
  <si>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</si>
  <si>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</si>
  <si>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</si>
  <si>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</si>
  <si>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</si>
  <si>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</si>
  <si>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</si>
  <si>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</si>
  <si>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</si>
  <si>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</si>
  <si>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</si>
  <si>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</si>
  <si>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</si>
  <si>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</si>
  <si>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</si>
  <si>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</si>
  <si>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</si>
  <si>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</si>
  <si>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</si>
  <si>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</si>
  <si>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</si>
  <si>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</si>
  <si>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</si>
  <si>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</si>
  <si>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</si>
  <si>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</si>
  <si>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</si>
  <si>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</si>
  <si>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</si>
  <si>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</si>
  <si>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</si>
  <si>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</si>
  <si>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</si>
  <si>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</si>
  <si>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</si>
  <si>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</si>
  <si>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</si>
  <si>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</si>
  <si>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</si>
  <si>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</si>
  <si>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</si>
  <si>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</si>
  <si>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</si>
  <si>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</si>
  <si>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</si>
  <si>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</si>
  <si>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</si>
  <si>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</si>
  <si>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</si>
  <si>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</si>
  <si>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</si>
  <si>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</si>
  <si>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</si>
  <si>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</si>
  <si>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</si>
  <si>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</si>
  <si>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</si>
  <si>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</si>
  <si>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</si>
  <si>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</si>
  <si>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</si>
  <si>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</si>
  <si>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</si>
  <si>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</si>
  <si>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</si>
  <si>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</si>
  <si>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</si>
  <si>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</si>
  <si>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</si>
  <si>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</si>
  <si>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</si>
  <si>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</si>
  <si>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</si>
  <si>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</si>
  <si>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</si>
  <si>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</si>
  <si>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</si>
  <si>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</si>
  <si>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</si>
  <si>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</si>
  <si>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</si>
  <si>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</si>
  <si>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</si>
  <si>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</si>
  <si>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</si>
  <si>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</si>
  <si>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</si>
  <si>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</si>
  <si>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</si>
  <si>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</si>
  <si>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</si>
  <si>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</si>
  <si>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</si>
  <si>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</si>
  <si>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</si>
  <si>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</si>
  <si>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</si>
  <si>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</si>
  <si>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</si>
  <si>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</si>
  <si>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</si>
  <si>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</si>
  <si>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</si>
  <si>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</si>
  <si>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</si>
  <si>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</si>
  <si>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</si>
  <si>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</si>
  <si>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</si>
  <si>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</si>
  <si>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</si>
  <si>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</si>
  <si>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</si>
  <si>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</si>
  <si>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</si>
  <si>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</si>
  <si>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</si>
  <si>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</si>
  <si>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</si>
  <si>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</si>
  <si>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</si>
  <si>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</si>
  <si>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</si>
  <si>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</si>
  <si>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</si>
  <si>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</si>
  <si>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</si>
  <si>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</si>
  <si>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</si>
  <si>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</si>
  <si>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</si>
  <si>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</si>
  <si>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</si>
  <si>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</si>
  <si>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</si>
  <si>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</si>
  <si>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</si>
  <si>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</si>
  <si>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</si>
  <si>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</si>
  <si>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</si>
  <si>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</si>
  <si>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</si>
  <si>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</si>
  <si>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</si>
  <si>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</si>
  <si>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</si>
  <si>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</si>
  <si>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</si>
  <si>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</si>
  <si>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</si>
  <si>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</si>
  <si>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</si>
  <si>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</si>
  <si>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</si>
  <si>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</si>
  <si>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</si>
  <si>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</si>
  <si>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</si>
  <si>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</si>
  <si>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</si>
  <si>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</si>
  <si>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</si>
  <si>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</si>
  <si>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</si>
  <si>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</si>
  <si>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</si>
  <si>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</si>
  <si>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</si>
  <si>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</si>
  <si>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</si>
  <si>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</si>
  <si>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</si>
  <si>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</si>
  <si>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</si>
  <si>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</si>
  <si>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</si>
  <si>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</si>
  <si>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</si>
  <si>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</si>
  <si>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</si>
  <si>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</si>
  <si>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</si>
  <si>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</si>
  <si>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</si>
  <si>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</si>
  <si>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</si>
  <si>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</si>
  <si>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</si>
  <si>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</si>
  <si>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</si>
  <si>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</si>
  <si>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</si>
  <si>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</si>
  <si>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</si>
  <si>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</si>
  <si>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</si>
  <si>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</si>
  <si>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</si>
  <si>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</si>
  <si>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</si>
  <si>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</si>
  <si>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</si>
  <si>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</si>
  <si>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</si>
  <si>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</si>
  <si>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</si>
  <si>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</si>
  <si>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</si>
  <si>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</si>
  <si>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</si>
  <si>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</si>
  <si>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</si>
  <si>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</si>
  <si>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</si>
  <si>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</si>
  <si>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</si>
  <si>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</si>
  <si>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</si>
  <si>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</si>
  <si>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</si>
  <si>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</si>
  <si>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</si>
  <si>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</si>
  <si>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</si>
  <si>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</si>
  <si>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</si>
  <si>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</si>
  <si>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</si>
  <si>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</si>
  <si>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</si>
  <si>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</si>
  <si>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</si>
  <si>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</si>
  <si>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</si>
  <si>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</si>
  <si>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</si>
  <si>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</si>
  <si>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</si>
  <si>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</si>
  <si>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</si>
  <si>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</si>
  <si>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</si>
  <si>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</si>
  <si>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</si>
  <si>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</si>
  <si>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</si>
  <si>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</si>
  <si>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</si>
  <si>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</si>
  <si>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</si>
  <si>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</si>
  <si>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</si>
  <si>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</si>
  <si>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</si>
  <si>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</si>
  <si>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</si>
  <si>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</si>
  <si>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</si>
  <si>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</si>
  <si>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</si>
  <si>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</si>
  <si>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</si>
  <si>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</si>
  <si>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</si>
  <si>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</si>
  <si>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</si>
  <si>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</si>
  <si>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</si>
  <si>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</si>
  <si>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</si>
  <si>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</si>
  <si>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</si>
  <si>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</si>
  <si>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</si>
  <si>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</si>
  <si>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</si>
  <si>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</si>
  <si>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</si>
  <si>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</si>
  <si>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</si>
  <si>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</si>
  <si>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</si>
  <si>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</si>
  <si>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</si>
  <si>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</si>
  <si>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</si>
  <si>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</si>
  <si>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</si>
  <si>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</si>
  <si>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</si>
  <si>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</si>
  <si>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</si>
  <si>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</si>
  <si>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</si>
  <si>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</si>
  <si>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</si>
  <si>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</si>
  <si>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</si>
  <si>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</si>
  <si>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</si>
  <si>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</si>
  <si>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</si>
  <si>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</si>
  <si>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</si>
  <si>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</si>
  <si>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</si>
  <si>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</si>
  <si>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</si>
  <si>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</si>
  <si>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</si>
  <si>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</si>
  <si>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</si>
  <si>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</si>
  <si>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</si>
  <si>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</si>
  <si>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</si>
  <si>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</si>
  <si>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</si>
  <si>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</si>
  <si>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</si>
  <si>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</si>
  <si>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</si>
  <si>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</si>
  <si>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</si>
  <si>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</si>
  <si>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</si>
  <si>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</si>
  <si>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</si>
  <si>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</si>
  <si>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</si>
  <si>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</si>
  <si>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</si>
  <si>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</si>
  <si>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</si>
  <si>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</si>
  <si>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</si>
  <si>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</si>
  <si>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</si>
  <si>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</si>
  <si>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</si>
  <si>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</si>
  <si>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</si>
  <si>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</si>
  <si>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</si>
  <si>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</si>
  <si>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</si>
  <si>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</si>
  <si>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</si>
  <si>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</si>
  <si>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</si>
  <si>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</si>
  <si>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</si>
  <si>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</si>
  <si>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</si>
  <si>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</si>
  <si>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</si>
  <si>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</si>
  <si>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</si>
  <si>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</si>
  <si>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</si>
  <si>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</si>
  <si>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</si>
  <si>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</si>
  <si>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</si>
  <si>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</si>
  <si>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</si>
  <si>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</si>
  <si>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</si>
  <si>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</si>
  <si>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</si>
  <si>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</si>
  <si>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</si>
  <si>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</si>
  <si>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</si>
  <si>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</si>
  <si>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</si>
  <si>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</si>
  <si>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</si>
  <si>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</si>
  <si>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</si>
  <si>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</si>
  <si>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</si>
  <si>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</si>
  <si>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</si>
  <si>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</si>
  <si>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</si>
  <si>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</si>
  <si>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</si>
  <si>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</si>
  <si>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</si>
  <si>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</si>
  <si>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</si>
  <si>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</si>
  <si>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</si>
  <si>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</si>
  <si>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</si>
  <si>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</si>
  <si>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</si>
  <si>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</si>
  <si>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</si>
  <si>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</si>
  <si>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</si>
  <si>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</si>
  <si>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</si>
  <si>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</si>
  <si>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</si>
  <si>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</si>
  <si>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</si>
  <si>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</si>
  <si>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</si>
  <si>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</si>
  <si>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</si>
  <si>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</si>
  <si>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</si>
  <si>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</si>
  <si>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</si>
  <si>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</si>
  <si>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</si>
  <si>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</si>
  <si>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</si>
  <si>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</si>
  <si>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</si>
  <si>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</si>
  <si>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</si>
  <si>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</si>
  <si>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</si>
  <si>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</si>
  <si>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</si>
  <si>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</si>
  <si>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</si>
  <si>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</si>
  <si>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</si>
  <si>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</si>
  <si>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</si>
  <si>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</si>
  <si>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</si>
  <si>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</si>
  <si>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</si>
  <si>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</si>
  <si>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</si>
  <si>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</si>
  <si>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</si>
  <si>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</si>
  <si>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</si>
  <si>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</si>
  <si>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</si>
  <si>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</si>
  <si>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</si>
  <si>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</si>
  <si>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</si>
  <si>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</si>
  <si>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</si>
  <si>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</si>
  <si>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</si>
  <si>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</si>
  <si>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</si>
  <si>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</si>
  <si>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</si>
  <si>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</si>
  <si>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</si>
  <si>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</si>
  <si>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</si>
  <si>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</si>
  <si>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</si>
  <si>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</si>
  <si>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</si>
  <si>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</si>
  <si>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</si>
  <si>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</si>
  <si>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</si>
  <si>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</si>
  <si>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</si>
  <si>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</si>
  <si>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</si>
  <si>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</si>
  <si>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</si>
  <si>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</si>
  <si>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</si>
  <si>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</si>
  <si>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</si>
  <si>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</si>
  <si>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</si>
  <si>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</si>
  <si>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</si>
  <si>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</si>
  <si>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</si>
  <si>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</si>
  <si>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</si>
  <si>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</si>
  <si>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</si>
  <si>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</si>
  <si>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</si>
  <si>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</si>
  <si>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</si>
  <si>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</si>
  <si>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</si>
  <si>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</si>
  <si>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</si>
  <si>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</si>
  <si>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</si>
  <si>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</si>
  <si>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</si>
  <si>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</si>
  <si>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</si>
  <si>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</si>
  <si>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</si>
  <si>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</si>
  <si>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</si>
  <si>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</si>
  <si>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</si>
  <si>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</si>
  <si>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</si>
  <si>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</si>
  <si>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</si>
  <si>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</si>
  <si>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</si>
  <si>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</si>
  <si>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</si>
  <si>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</si>
  <si>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</si>
  <si>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</si>
  <si>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</si>
  <si>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</si>
  <si>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</si>
  <si>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</si>
  <si>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</si>
  <si>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</si>
  <si>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</si>
  <si>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</si>
  <si>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</si>
  <si>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</si>
  <si>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</si>
  <si>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</si>
  <si>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</si>
  <si>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</si>
  <si>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</si>
  <si>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</si>
  <si>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</si>
  <si>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</si>
  <si>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</si>
  <si>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</si>
  <si>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</si>
  <si>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</si>
  <si>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</si>
  <si>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</si>
  <si>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</si>
  <si>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</si>
  <si>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</si>
  <si>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</si>
  <si>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</si>
  <si>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</si>
  <si>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</si>
  <si>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</si>
  <si>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</si>
  <si>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</si>
  <si>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</si>
  <si>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</si>
  <si>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</si>
  <si>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</si>
  <si>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</si>
  <si>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</si>
  <si>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</si>
  <si>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</si>
  <si>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</si>
  <si>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</si>
  <si>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</si>
  <si>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</si>
  <si>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</si>
  <si>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</si>
  <si>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</si>
  <si>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</si>
  <si>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</si>
  <si>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</si>
  <si>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</si>
  <si>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</si>
  <si>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</si>
  <si>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</si>
  <si>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</si>
  <si>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</si>
  <si>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</si>
  <si>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</si>
  <si>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</si>
  <si>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</si>
  <si>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</si>
  <si>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</si>
  <si>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</si>
  <si>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</si>
  <si>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</si>
  <si>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</si>
  <si>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</si>
  <si>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</si>
  <si>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</si>
  <si>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</si>
  <si>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</si>
  <si>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</si>
  <si>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</si>
  <si>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</si>
  <si>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</si>
  <si>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</si>
  <si>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</si>
  <si>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</si>
  <si>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</si>
  <si>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</si>
  <si>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</si>
  <si>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</si>
  <si>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</si>
  <si>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</si>
  <si>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</si>
  <si>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</si>
  <si>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</si>
  <si>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</si>
  <si>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</si>
  <si>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</si>
  <si>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</si>
  <si>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</si>
  <si>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</si>
  <si>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</si>
  <si>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</si>
  <si>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</si>
  <si>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</si>
  <si>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</si>
  <si>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</si>
  <si>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</si>
  <si>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</si>
  <si>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</si>
  <si>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</si>
  <si>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</si>
  <si>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</si>
  <si>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</si>
  <si>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</si>
  <si>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</si>
  <si>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</si>
  <si>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</si>
  <si>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</si>
  <si>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</si>
  <si>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</si>
  <si>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</si>
  <si>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</si>
  <si>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</si>
  <si>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</si>
  <si>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</si>
  <si>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</si>
  <si>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</si>
  <si>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</si>
  <si>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</si>
  <si>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</si>
  <si>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</si>
  <si>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</si>
  <si>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</si>
  <si>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</si>
  <si>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</si>
  <si>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</si>
  <si>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</si>
  <si>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</si>
  <si>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</si>
  <si>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</si>
  <si>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</si>
  <si>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</si>
  <si>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</si>
  <si>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</si>
  <si>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</si>
  <si>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</si>
  <si>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</si>
  <si>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</si>
  <si>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</si>
  <si>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</si>
  <si>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</si>
  <si>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</si>
  <si>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</si>
  <si>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</si>
  <si>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</si>
  <si>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</si>
  <si>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</si>
  <si>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</si>
  <si>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</si>
  <si>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</si>
  <si>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</si>
  <si>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</si>
  <si>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</si>
  <si>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</si>
  <si>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</si>
  <si>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</si>
  <si>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</si>
  <si>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</si>
  <si>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</si>
  <si>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</si>
  <si>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</si>
  <si>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</si>
  <si>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</si>
  <si>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</si>
  <si>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</si>
  <si>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</si>
  <si>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</si>
  <si>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</si>
  <si>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</si>
  <si>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</si>
  <si>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</si>
  <si>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</si>
  <si>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</si>
  <si>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</si>
  <si>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</si>
  <si>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</si>
  <si>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</si>
  <si>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</si>
  <si>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</si>
  <si>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</si>
  <si>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</si>
  <si>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</si>
  <si>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</si>
  <si>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</si>
  <si>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</si>
  <si>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</si>
  <si>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</si>
  <si>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</si>
  <si>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</si>
  <si>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</si>
  <si>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</si>
  <si>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</si>
  <si>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</si>
  <si>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</si>
  <si>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</si>
  <si>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</si>
  <si>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</si>
  <si>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</si>
  <si>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</si>
  <si>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</si>
  <si>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</si>
  <si>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</si>
  <si>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</si>
  <si>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</si>
  <si>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</si>
  <si>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</si>
  <si>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</si>
  <si>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</si>
  <si>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</si>
  <si>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</si>
  <si>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</si>
  <si>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</si>
  <si>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</si>
  <si>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</si>
  <si>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</si>
  <si>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</si>
  <si>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</si>
  <si>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</si>
  <si>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</si>
  <si>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</si>
  <si>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</si>
  <si>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</si>
  <si>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</si>
  <si>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</si>
  <si>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</si>
  <si>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</si>
  <si>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</si>
  <si>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</si>
  <si>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</si>
  <si>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</si>
  <si>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</si>
  <si>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</si>
  <si>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</si>
  <si>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</si>
  <si>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</si>
  <si>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</si>
  <si>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</si>
  <si>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</si>
  <si>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</si>
  <si>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</si>
  <si>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</si>
  <si>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</si>
  <si>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</si>
  <si>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</si>
  <si>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</si>
  <si>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</si>
  <si>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</si>
  <si>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</si>
  <si>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</si>
  <si>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</si>
  <si>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</si>
  <si>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</si>
  <si>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</si>
  <si>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</si>
  <si>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</si>
  <si>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</si>
  <si>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</si>
  <si>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</si>
  <si>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</si>
  <si>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</si>
  <si>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</si>
  <si>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</si>
  <si>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</si>
  <si>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</si>
  <si>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</si>
  <si>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</si>
  <si>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</si>
  <si>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</si>
  <si>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</si>
  <si>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</si>
  <si>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</si>
  <si>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</si>
  <si>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</si>
  <si>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</si>
  <si>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</si>
  <si>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</si>
  <si>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</si>
  <si>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</si>
  <si>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</si>
  <si>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</si>
  <si>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</si>
  <si>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</si>
  <si>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</si>
  <si>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</si>
  <si>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</si>
  <si>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</si>
  <si>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</si>
  <si>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</si>
  <si>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</si>
  <si>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</si>
  <si>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</si>
  <si>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</si>
  <si>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</si>
  <si>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</si>
  <si>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</si>
  <si>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</si>
  <si>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</si>
  <si>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</si>
  <si>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</si>
  <si>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</si>
  <si>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</si>
  <si>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</si>
  <si>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</si>
  <si>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</si>
  <si>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</si>
  <si>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</si>
  <si>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</si>
  <si>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</si>
  <si>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</si>
  <si>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</si>
  <si>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</si>
  <si>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</si>
  <si>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</si>
  <si>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</si>
  <si>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</si>
  <si>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</si>
  <si>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</si>
  <si>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</si>
  <si>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</si>
  <si>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</si>
  <si>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</si>
  <si>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</si>
  <si>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</si>
  <si>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</si>
  <si>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</si>
  <si>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</si>
  <si>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</si>
  <si>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</si>
  <si>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</si>
  <si>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</si>
  <si>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</si>
  <si>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</si>
  <si>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</si>
  <si>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</si>
  <si>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</si>
  <si>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</si>
  <si>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</si>
  <si>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</si>
  <si>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</si>
  <si>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</si>
  <si>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</si>
  <si>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</si>
  <si>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</si>
  <si>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</si>
  <si>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</si>
  <si>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</si>
  <si>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</si>
  <si>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</si>
  <si>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</si>
  <si>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</si>
  <si>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</si>
  <si>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</si>
  <si>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</si>
  <si>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</si>
  <si>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</si>
  <si>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</si>
  <si>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</si>
  <si>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</si>
  <si>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</si>
  <si>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</si>
  <si>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</si>
  <si>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</si>
  <si>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</si>
  <si>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</si>
  <si>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</si>
  <si>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</si>
  <si>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</si>
  <si>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</si>
  <si>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</si>
  <si>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</si>
  <si>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</si>
  <si>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</si>
  <si>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</si>
  <si>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</si>
  <si>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</si>
  <si>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</si>
  <si>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</si>
  <si>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</si>
  <si>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</si>
  <si>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</si>
  <si>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</si>
  <si>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</si>
  <si>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</si>
  <si>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</si>
  <si>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</si>
  <si>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</si>
  <si>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</si>
  <si>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</si>
  <si>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</si>
  <si>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</si>
  <si>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</si>
  <si>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</si>
  <si>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</si>
  <si>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</si>
  <si>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</si>
  <si>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</si>
  <si>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</si>
  <si>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</si>
  <si>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</si>
  <si>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</si>
  <si>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</si>
  <si>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</si>
  <si>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</si>
  <si>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</si>
  <si>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</si>
  <si>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</si>
  <si>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</si>
  <si>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</si>
  <si>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</si>
  <si>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</si>
  <si>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</si>
  <si>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</si>
  <si>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</si>
  <si>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</si>
  <si>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</si>
  <si>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</si>
  <si>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</si>
  <si>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</si>
  <si>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</si>
  <si>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</si>
  <si>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</si>
  <si>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</si>
  <si>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</si>
  <si>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</si>
  <si>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</si>
  <si>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</si>
  <si>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</si>
  <si>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</si>
  <si>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</si>
  <si>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</si>
  <si>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</si>
  <si>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</si>
  <si>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</si>
  <si>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</si>
  <si>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</si>
  <si>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</si>
  <si>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</si>
  <si>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</si>
  <si>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</si>
  <si>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</si>
  <si>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</si>
  <si>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</si>
  <si>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</si>
  <si>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</si>
  <si>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</si>
  <si>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</si>
  <si>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</si>
  <si>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</si>
  <si>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</si>
  <si>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</si>
  <si>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</si>
  <si>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</si>
  <si>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</si>
  <si>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</si>
  <si>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</si>
  <si>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</si>
  <si>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</si>
  <si>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</si>
  <si>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</si>
  <si>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</si>
  <si>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</si>
  <si>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</si>
  <si>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</si>
  <si>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</si>
  <si>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</si>
  <si>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</si>
  <si>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</si>
  <si>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</si>
  <si>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</si>
  <si>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</si>
  <si>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</si>
  <si>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</si>
  <si>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</si>
  <si>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</si>
  <si>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RUSSELL LEIGH &amp; ASSOCIATES</t>
  </si>
  <si>
    <t>RUSS LEIGH</t>
  </si>
  <si>
    <t>228 E MAIN ST</t>
  </si>
  <si>
    <t>HOOPESTON</t>
  </si>
  <si>
    <t>IL</t>
  </si>
  <si>
    <t>217.283.9336</t>
  </si>
  <si>
    <t>217.283.9736</t>
  </si>
  <si>
    <t>065.018319</t>
  </si>
  <si>
    <t>admin@russleigh.com</t>
  </si>
  <si>
    <t>Russell Leigh &amp; Associates</t>
  </si>
  <si>
    <t>IROQUOIS</t>
  </si>
  <si>
    <t>1411 WEST LAFAYETTE STREET</t>
  </si>
  <si>
    <t>WATSEKA</t>
  </si>
  <si>
    <t>Guy Gradert</t>
  </si>
  <si>
    <t>Ser 2010 GO Working Cash Bond-Qual Zone Academy Bonds</t>
  </si>
  <si>
    <t>Ser 2016B GO Fire Prev &amp; Safety Bond</t>
  </si>
  <si>
    <t>Ser 2016A GO Working Cash Bond</t>
  </si>
  <si>
    <t>Iroquois Special Education Association</t>
  </si>
  <si>
    <t>815.432.4931</t>
  </si>
  <si>
    <t>815.432.6889</t>
  </si>
  <si>
    <t>Media Com</t>
  </si>
  <si>
    <t>20-2540-300</t>
  </si>
  <si>
    <t>O &amp; M - Oper &amp; Maint of Plant Services - Purchased Services</t>
  </si>
  <si>
    <t>Other Food Service - Misc reimbursements $18,948</t>
  </si>
  <si>
    <t>Page 11 - Acct #1999 - Other Local Revenues</t>
  </si>
  <si>
    <t>Page 10 - Acct #1690 - Other Food Service</t>
  </si>
  <si>
    <t>Col 10 - Educational</t>
  </si>
  <si>
    <t>Col 10 - Educational - Misc refunds/reimbursements $262,322</t>
  </si>
  <si>
    <t>Col 20 - Oper &amp; Maint - Misc refunds/reimbursements $324,114</t>
  </si>
  <si>
    <t>Col 40 - Transportation - Misc refunds/reimbursements $15,855</t>
  </si>
  <si>
    <t>Col 80 - Tort - Misc refunds/reimbursements $4,374</t>
  </si>
  <si>
    <t>Page 12 - Acct #3999 - Other Restricted Revenue from State Sources</t>
  </si>
  <si>
    <t>Col 10 - Educational - State Library Grant $1,500</t>
  </si>
  <si>
    <t>Page 15 &amp; 19 - Funct# 2190 - Other Support Services - Pupils</t>
  </si>
  <si>
    <t xml:space="preserve">Educ &amp; Mun Ret - Detention Supervision </t>
  </si>
  <si>
    <t>Page 18 - Funct #5400 - Debt Services - Other</t>
  </si>
  <si>
    <t>Bond Fee $700</t>
  </si>
  <si>
    <t>The accompanying Schedule of Expenditures of Federal Awards includes the federal grant activity of Iroquois County CUSD # 9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</si>
  <si>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 xml:space="preserve"> x</t>
  </si>
  <si>
    <t>Of the federal expenditures presented in the schedule, Iroquois County CUSD # 9 provided federal awards to subrecipients as follows:</t>
  </si>
  <si>
    <t>none</t>
  </si>
  <si>
    <t>no</t>
  </si>
  <si>
    <t>U.S. Department of Agriculture</t>
  </si>
  <si>
    <t xml:space="preserve">     Passed Through Illinois State Board of Education</t>
  </si>
  <si>
    <t>17-4210</t>
  </si>
  <si>
    <t>18-4210</t>
  </si>
  <si>
    <t xml:space="preserve">       School Breakfast</t>
  </si>
  <si>
    <t>17-4220</t>
  </si>
  <si>
    <t>18-4220</t>
  </si>
  <si>
    <t xml:space="preserve">       Special Milk</t>
  </si>
  <si>
    <t>17-4215</t>
  </si>
  <si>
    <t>18-4215</t>
  </si>
  <si>
    <t xml:space="preserve">       Fresh Fruits and Vegtables</t>
  </si>
  <si>
    <t>18-4250</t>
  </si>
  <si>
    <t xml:space="preserve">       School Commodities</t>
  </si>
  <si>
    <t xml:space="preserve">          Total U.S. Department of Agriculture</t>
  </si>
  <si>
    <t>U.S. Department of Education</t>
  </si>
  <si>
    <t xml:space="preserve">     Passed Through the Illinois State Board of Education</t>
  </si>
  <si>
    <t>84.010a</t>
  </si>
  <si>
    <t>17-4300</t>
  </si>
  <si>
    <t>(M) Title 1-Low Income</t>
  </si>
  <si>
    <t>18-4300</t>
  </si>
  <si>
    <t xml:space="preserve">       Title II-Teacher Quality</t>
  </si>
  <si>
    <t>84.367a</t>
  </si>
  <si>
    <t>17-4932</t>
  </si>
  <si>
    <t>18-4932</t>
  </si>
  <si>
    <t xml:space="preserve">       Title IV-Rural Education intiative</t>
  </si>
  <si>
    <t>84.358b</t>
  </si>
  <si>
    <t>18-4107</t>
  </si>
  <si>
    <t xml:space="preserve">          Total U.S. Department of Education</t>
  </si>
  <si>
    <t>U.S. Department of Health &amp;Human Services</t>
  </si>
  <si>
    <t xml:space="preserve">     Passed Through the Illinois Department of Healthcare &amp; Family Serices</t>
  </si>
  <si>
    <t xml:space="preserve">       Medicaid-Admin Outreach</t>
  </si>
  <si>
    <t>18-4991</t>
  </si>
  <si>
    <t xml:space="preserve">           Total U.S. Department of Health &amp; Human Services</t>
  </si>
  <si>
    <t xml:space="preserve">          Total Federal Finaical Assistance</t>
  </si>
  <si>
    <t>Adverse Gaap/Qualified-Regulatory</t>
  </si>
  <si>
    <t>(M)School Lunch-Regular</t>
  </si>
  <si>
    <t>x</t>
  </si>
  <si>
    <t>Unmodified</t>
  </si>
  <si>
    <t>Title 1-Low Income</t>
  </si>
  <si>
    <t>School Lunch-Regular</t>
  </si>
  <si>
    <t>The District is required to maintain a system of controls over the preparation of financial statements.  The District's internal controls over financial reporting should include adequately trained personnel with the knowledge and expertise to review the finacial statement to ensure they are free of mistatement</t>
  </si>
  <si>
    <t>For year-end reporting purposes the District relies on the auditor to propose year-end adjustments, and to prepare a draft of the finacial statements, including notes since the District lacks the expertise to prepare financial statements and disclosures in accordance with accounting standards</t>
  </si>
  <si>
    <t>Although the auditor can propose adjustments and assist in assembling or drafting the financial statements, thye cannot establish or maintain the District's internal controls, including monitoring ongoing activities,since to do so would impair the auditor's independence</t>
  </si>
  <si>
    <t>Lack of sufficient knowledge and expertise to prepare or thoroughly review the financial statements could result in controls not being effective in preventing or detecting material misstatements particularly in the related notes to the financial statements</t>
  </si>
  <si>
    <t>Due to errors in the books the District was not reviewing and monitoring its internally generated financial statements</t>
  </si>
  <si>
    <t>We recommend that the District establish effective review policies and procedures for financial reports. Staff should be properly trained to understand the requirements of the Illinois Administrative Code</t>
  </si>
  <si>
    <t>The District agrees with this corrective action plan and will evaluate year-end reporting controls and pursue additional training when it is considered cost beneficial and effective</t>
  </si>
  <si>
    <t>2017-001</t>
  </si>
  <si>
    <t>Lack of Segregation of Duties</t>
  </si>
  <si>
    <t>Controls have been reviewed and updated</t>
  </si>
  <si>
    <t>2017-002</t>
  </si>
  <si>
    <t>District not properly trained to accept report</t>
  </si>
  <si>
    <t>District has tried to review and understand the reports</t>
  </si>
  <si>
    <t>2017-003</t>
  </si>
  <si>
    <t>Not adequate bonds on custodians of activity funds</t>
  </si>
  <si>
    <t>2017-004</t>
  </si>
  <si>
    <t>Personnel aware of proper procedures to report irregularities</t>
  </si>
  <si>
    <t>.District has upgraded the bonds to proper amount</t>
  </si>
  <si>
    <t>District updated policies to show procedures</t>
  </si>
  <si>
    <t>2017-005</t>
  </si>
  <si>
    <t>District still has lack of segregation of duties</t>
  </si>
  <si>
    <t>Iroquois Co CUSD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</si>
</sst>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color indexed="81"/>
      <name val="Tahoma"/>
      <charset val="1"/>
    </font>
    <font>
      <b/>
      <sz val="9"/>
      <color indexed="81"/>
      <name val="Tahoma"/>
      <charset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64" fillId="0" borderId="0" xfId="0"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3249" name="Object 1" hidden="1">
              <a:extLst>
                <a:ext uri="{63B3BB69-23CF-44E3-9099-C40C66FF867C}">
                  <a14:compatExt spid="_x0000_s532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6" t="s">
        <v>425</v>
      </c>
      <c r="J1" s="2037"/>
      <c r="K1" s="2037"/>
      <c r="L1" s="2037"/>
      <c r="M1" s="2037"/>
      <c r="N1" s="2037"/>
      <c r="O1" s="2037"/>
      <c r="P1" s="2037"/>
      <c r="Q1" s="2037"/>
      <c r="R1" s="2037"/>
      <c r="S1" s="2037"/>
    </row>
    <row r="2" spans="1:28" ht="12" customHeight="1" x14ac:dyDescent="0.2">
      <c r="A2" s="47" t="s">
        <v>1684</v>
      </c>
      <c r="D2" s="48"/>
      <c r="I2" s="2038" t="s">
        <v>1036</v>
      </c>
      <c r="J2" s="2037"/>
      <c r="K2" s="2037"/>
      <c r="L2" s="2037"/>
      <c r="M2" s="2037"/>
      <c r="N2" s="2037"/>
      <c r="O2" s="2037"/>
      <c r="P2" s="2037"/>
      <c r="Q2" s="2037"/>
      <c r="R2" s="2037"/>
      <c r="S2" s="2037"/>
    </row>
    <row r="3" spans="1:28" ht="12" customHeight="1" x14ac:dyDescent="0.2">
      <c r="A3" s="155" t="s">
        <v>1685</v>
      </c>
      <c r="B3" s="156"/>
      <c r="C3" s="156"/>
      <c r="D3" s="157"/>
      <c r="I3" s="2038" t="s">
        <v>54</v>
      </c>
      <c r="J3" s="2037"/>
      <c r="K3" s="2037"/>
      <c r="L3" s="2037"/>
      <c r="M3" s="2037"/>
      <c r="N3" s="2037"/>
      <c r="O3" s="2037"/>
      <c r="P3" s="2037"/>
      <c r="Q3" s="2037"/>
      <c r="R3" s="2037"/>
      <c r="S3" s="2037"/>
    </row>
    <row r="4" spans="1:28" ht="12" customHeight="1" x14ac:dyDescent="0.2">
      <c r="A4" s="37"/>
      <c r="I4" s="2038" t="s">
        <v>545</v>
      </c>
      <c r="J4" s="2037"/>
      <c r="K4" s="2037"/>
      <c r="L4" s="2037"/>
      <c r="M4" s="2037"/>
      <c r="N4" s="2037"/>
      <c r="O4" s="2037"/>
      <c r="P4" s="2037"/>
      <c r="Q4" s="2037"/>
      <c r="R4" s="2037"/>
      <c r="S4" s="2037"/>
    </row>
    <row r="5" spans="1:28" ht="14.1" customHeight="1" x14ac:dyDescent="0.2">
      <c r="B5" s="104" t="s">
        <v>2075</v>
      </c>
      <c r="C5" s="26" t="s">
        <v>966</v>
      </c>
      <c r="D5" s="84"/>
      <c r="E5" s="84"/>
      <c r="H5" s="38"/>
      <c r="I5" s="2045" t="s">
        <v>701</v>
      </c>
      <c r="J5" s="1989"/>
      <c r="K5" s="1989"/>
      <c r="L5" s="1989"/>
      <c r="M5" s="1989"/>
      <c r="N5" s="1989"/>
      <c r="O5" s="1989"/>
      <c r="P5" s="1989"/>
      <c r="Q5" s="1989"/>
      <c r="R5" s="1989"/>
      <c r="S5" s="1989"/>
    </row>
    <row r="6" spans="1:28" ht="14.1" customHeight="1" x14ac:dyDescent="0.2">
      <c r="B6" s="104"/>
      <c r="C6" s="26" t="s">
        <v>967</v>
      </c>
      <c r="D6" s="84"/>
      <c r="E6" s="84"/>
      <c r="I6" s="2044" t="s">
        <v>938</v>
      </c>
      <c r="J6" s="1989"/>
      <c r="K6" s="1989"/>
      <c r="L6" s="1989"/>
      <c r="M6" s="1989"/>
      <c r="N6" s="1989"/>
      <c r="O6" s="1989"/>
      <c r="P6" s="1989"/>
      <c r="Q6" s="1989"/>
      <c r="R6" s="1989"/>
      <c r="S6" s="1989"/>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695</v>
      </c>
      <c r="J9" s="2042"/>
      <c r="K9" s="2042"/>
      <c r="L9" s="2042"/>
      <c r="M9" s="2042"/>
      <c r="N9" s="2042"/>
      <c r="O9" s="2042"/>
      <c r="P9" s="2042"/>
      <c r="Q9" s="2042"/>
      <c r="R9" s="2042"/>
      <c r="S9" s="2043"/>
      <c r="T9" s="1985" t="s">
        <v>554</v>
      </c>
      <c r="U9" s="1986"/>
      <c r="V9" s="1986"/>
      <c r="W9" s="1986"/>
      <c r="X9" s="1986"/>
      <c r="Y9" s="1986"/>
      <c r="Z9" s="1986"/>
      <c r="AA9" s="1987"/>
    </row>
    <row r="10" spans="1:28" ht="13.5" customHeight="1" x14ac:dyDescent="0.2">
      <c r="A10" s="1994" t="s">
        <v>696</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1012</v>
      </c>
      <c r="B11" s="1998"/>
      <c r="C11" s="1998"/>
      <c r="D11" s="1998"/>
      <c r="E11" s="1998"/>
      <c r="F11" s="1998"/>
      <c r="G11" s="1998"/>
      <c r="H11" s="1999"/>
      <c r="I11" s="27"/>
      <c r="J11" s="74"/>
      <c r="K11" s="27"/>
      <c r="O11" s="148" t="s">
        <v>2075</v>
      </c>
      <c r="P11" s="100" t="s">
        <v>210</v>
      </c>
      <c r="Q11" s="30"/>
      <c r="R11" s="28"/>
      <c r="S11" s="27"/>
      <c r="T11" s="1991"/>
      <c r="U11" s="1992"/>
      <c r="V11" s="1992"/>
      <c r="W11" s="1992"/>
      <c r="X11" s="1992"/>
      <c r="Y11" s="1992"/>
      <c r="Z11" s="1992"/>
      <c r="AA11" s="199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5">
        <v>32038009026</v>
      </c>
      <c r="B13" s="2006"/>
      <c r="C13" s="2006"/>
      <c r="D13" s="2006"/>
      <c r="E13" s="2006"/>
      <c r="F13" s="2006"/>
      <c r="G13" s="2006"/>
      <c r="H13" s="2007"/>
      <c r="I13" s="31"/>
      <c r="J13" s="30"/>
      <c r="K13" s="28"/>
      <c r="L13" s="30"/>
      <c r="M13" s="30"/>
      <c r="N13" s="30"/>
      <c r="O13" s="30"/>
      <c r="P13" s="30"/>
      <c r="Q13" s="30"/>
      <c r="R13" s="30"/>
      <c r="S13" s="30"/>
      <c r="T13" s="2010" t="s">
        <v>2076</v>
      </c>
      <c r="U13" s="2011"/>
      <c r="V13" s="2011"/>
      <c r="W13" s="2011"/>
      <c r="X13" s="2011"/>
      <c r="Y13" s="2012"/>
      <c r="Z13" s="2012"/>
      <c r="AA13" s="201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3" t="s">
        <v>2086</v>
      </c>
      <c r="B15" s="2008"/>
      <c r="C15" s="2008"/>
      <c r="D15" s="2008"/>
      <c r="E15" s="2008"/>
      <c r="F15" s="2008"/>
      <c r="G15" s="2008"/>
      <c r="H15" s="2009"/>
      <c r="T15" s="1971" t="s">
        <v>2077</v>
      </c>
      <c r="U15" s="1972"/>
      <c r="V15" s="1972"/>
      <c r="W15" s="1972"/>
      <c r="X15" s="1972"/>
      <c r="Y15" s="2014"/>
      <c r="Z15" s="2014"/>
      <c r="AA15" s="201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3" t="s">
        <v>2179</v>
      </c>
      <c r="B17" s="2034"/>
      <c r="C17" s="2034"/>
      <c r="D17" s="2034"/>
      <c r="E17" s="2034"/>
      <c r="F17" s="2034"/>
      <c r="G17" s="2034"/>
      <c r="H17" s="2035"/>
      <c r="T17" s="2020" t="s">
        <v>2078</v>
      </c>
      <c r="U17" s="2021"/>
      <c r="V17" s="2021"/>
      <c r="W17" s="2021"/>
      <c r="X17" s="2021"/>
      <c r="Y17" s="2021"/>
      <c r="Z17" s="2021"/>
      <c r="AA17" s="2022"/>
    </row>
    <row r="18" spans="1:27" ht="13.5" customHeight="1" x14ac:dyDescent="0.2">
      <c r="A18" s="85" t="s">
        <v>551</v>
      </c>
      <c r="B18" s="76"/>
      <c r="C18" s="72"/>
      <c r="D18" s="76"/>
      <c r="E18" s="76"/>
      <c r="F18" s="76"/>
      <c r="G18" s="76"/>
      <c r="H18" s="56"/>
      <c r="I18" s="2030" t="s">
        <v>697</v>
      </c>
      <c r="J18" s="2031"/>
      <c r="K18" s="2031"/>
      <c r="L18" s="2031"/>
      <c r="M18" s="2031"/>
      <c r="N18" s="2031"/>
      <c r="O18" s="2031"/>
      <c r="P18" s="2031"/>
      <c r="Q18" s="2031"/>
      <c r="R18" s="2031"/>
      <c r="S18" s="2032"/>
      <c r="T18" s="85" t="s">
        <v>735</v>
      </c>
      <c r="U18" s="51"/>
      <c r="V18" s="72"/>
      <c r="W18" s="50"/>
      <c r="X18" s="85" t="s">
        <v>284</v>
      </c>
      <c r="Y18" s="81"/>
      <c r="Z18" s="159" t="s">
        <v>698</v>
      </c>
      <c r="AA18" s="46"/>
    </row>
    <row r="19" spans="1:27" ht="13.5" customHeight="1" x14ac:dyDescent="0.2">
      <c r="A19" s="2003" t="s">
        <v>2087</v>
      </c>
      <c r="B19" s="2004"/>
      <c r="C19" s="2004"/>
      <c r="D19" s="2004"/>
      <c r="E19" s="2004"/>
      <c r="F19" s="2004"/>
      <c r="G19" s="2004"/>
      <c r="H19" s="2002"/>
      <c r="I19" s="30"/>
      <c r="J19" s="99"/>
      <c r="K19" s="40"/>
      <c r="L19" s="38"/>
      <c r="M19" s="112" t="s">
        <v>333</v>
      </c>
      <c r="P19" s="27"/>
      <c r="Q19" s="27"/>
      <c r="R19" s="27"/>
      <c r="S19" s="31"/>
      <c r="T19" s="2003" t="s">
        <v>2079</v>
      </c>
      <c r="U19" s="2001"/>
      <c r="V19" s="2001"/>
      <c r="W19" s="2002"/>
      <c r="X19" s="2018" t="s">
        <v>2080</v>
      </c>
      <c r="Y19" s="2019"/>
      <c r="Z19" s="2016">
        <v>60942</v>
      </c>
      <c r="AA19" s="201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0" t="s">
        <v>2088</v>
      </c>
      <c r="B21" s="2001"/>
      <c r="C21" s="2001"/>
      <c r="D21" s="2001"/>
      <c r="E21" s="2001"/>
      <c r="F21" s="2001"/>
      <c r="G21" s="2001"/>
      <c r="H21" s="2002"/>
      <c r="I21" s="2026" t="s">
        <v>699</v>
      </c>
      <c r="J21" s="1989"/>
      <c r="K21" s="1989"/>
      <c r="L21" s="1989"/>
      <c r="M21" s="1989"/>
      <c r="N21" s="1989"/>
      <c r="O21" s="1989"/>
      <c r="P21" s="1989"/>
      <c r="Q21" s="1989"/>
      <c r="R21" s="1989"/>
      <c r="S21" s="1990"/>
      <c r="T21" s="1968" t="s">
        <v>2081</v>
      </c>
      <c r="U21" s="1969"/>
      <c r="V21" s="1969"/>
      <c r="W21" s="1969"/>
      <c r="X21" s="1982" t="s">
        <v>2082</v>
      </c>
      <c r="Y21" s="1983"/>
      <c r="Z21" s="1983"/>
      <c r="AA21" s="1984"/>
    </row>
    <row r="22" spans="1:27" ht="13.5" customHeight="1" x14ac:dyDescent="0.2">
      <c r="A22" s="87" t="s">
        <v>552</v>
      </c>
      <c r="B22" s="59"/>
      <c r="C22" s="59"/>
      <c r="D22" s="59"/>
      <c r="E22" s="59"/>
      <c r="F22" s="59"/>
      <c r="G22" s="59"/>
      <c r="H22" s="60"/>
      <c r="I22" s="2027" t="s">
        <v>1504</v>
      </c>
      <c r="J22" s="2028"/>
      <c r="K22" s="2028"/>
      <c r="L22" s="2028"/>
      <c r="M22" s="2028"/>
      <c r="N22" s="2028"/>
      <c r="O22" s="2028"/>
      <c r="P22" s="2028"/>
      <c r="Q22" s="2028"/>
      <c r="R22" s="2028"/>
      <c r="S22" s="2029"/>
      <c r="T22" s="85" t="s">
        <v>1596</v>
      </c>
      <c r="U22" s="51"/>
      <c r="V22" s="72"/>
      <c r="W22" s="51"/>
      <c r="X22" s="160" t="s">
        <v>1385</v>
      </c>
      <c r="Z22" s="45"/>
      <c r="AA22" s="46"/>
    </row>
    <row r="23" spans="1:27" ht="13.5" customHeight="1" x14ac:dyDescent="0.2">
      <c r="A23" s="2023"/>
      <c r="B23" s="2024"/>
      <c r="C23" s="2024"/>
      <c r="D23" s="2024"/>
      <c r="E23" s="2024"/>
      <c r="F23" s="2024"/>
      <c r="G23" s="2024"/>
      <c r="H23" s="2025"/>
      <c r="T23" s="1963" t="s">
        <v>2083</v>
      </c>
      <c r="U23" s="1964"/>
      <c r="V23" s="1964"/>
      <c r="W23" s="1964"/>
      <c r="X23" s="1979">
        <v>44469</v>
      </c>
      <c r="Y23" s="1980"/>
      <c r="Z23" s="1980"/>
      <c r="AA23" s="1981"/>
    </row>
    <row r="24" spans="1:27" ht="14.1" customHeight="1" x14ac:dyDescent="0.2">
      <c r="A24" s="88" t="s">
        <v>698</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552</v>
      </c>
      <c r="U24" s="106"/>
      <c r="V24" s="106"/>
      <c r="W24" s="106"/>
      <c r="X24" s="107"/>
      <c r="Y24" s="107"/>
      <c r="Z24" s="107"/>
      <c r="AA24" s="108"/>
    </row>
    <row r="25" spans="1:27" ht="14.1" customHeight="1" x14ac:dyDescent="0.2">
      <c r="A25" s="2000">
        <v>60970</v>
      </c>
      <c r="B25" s="2001"/>
      <c r="C25" s="2001"/>
      <c r="D25" s="2001"/>
      <c r="E25" s="2001"/>
      <c r="F25" s="2001"/>
      <c r="G25" s="2001"/>
      <c r="H25" s="2002"/>
      <c r="I25" s="113"/>
      <c r="J25" s="2068"/>
      <c r="K25" s="2068"/>
      <c r="L25" s="2068"/>
      <c r="M25" s="2068"/>
      <c r="N25" s="2068"/>
      <c r="O25" s="2068"/>
      <c r="P25" s="2068"/>
      <c r="Q25" s="2068"/>
      <c r="R25" s="2068"/>
      <c r="S25" s="2069"/>
      <c r="T25" s="1960" t="s">
        <v>2084</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9" t="s">
        <v>1591</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2075</v>
      </c>
      <c r="K29" s="28" t="s">
        <v>597</v>
      </c>
      <c r="L29" s="148"/>
      <c r="M29" s="40" t="s">
        <v>101</v>
      </c>
      <c r="N29" s="32" t="s">
        <v>1604</v>
      </c>
      <c r="O29" s="32"/>
      <c r="P29" s="32"/>
      <c r="Q29" s="32"/>
      <c r="R29" s="32"/>
      <c r="S29" s="123"/>
      <c r="T29" s="6"/>
      <c r="U29" s="6"/>
      <c r="V29" s="6"/>
      <c r="W29" s="6"/>
      <c r="X29" s="6"/>
      <c r="Y29" s="6"/>
      <c r="Z29" s="6"/>
      <c r="AA29" s="132"/>
    </row>
    <row r="30" spans="1:27" ht="13.5" customHeight="1" x14ac:dyDescent="0.2">
      <c r="A30" s="153"/>
      <c r="B30" s="136" t="s">
        <v>2075</v>
      </c>
      <c r="C30" s="124" t="s">
        <v>1226</v>
      </c>
      <c r="D30" s="28"/>
      <c r="E30" s="28"/>
      <c r="F30" s="140"/>
      <c r="G30" s="114"/>
      <c r="H30" s="114"/>
      <c r="I30" s="54"/>
      <c r="J30" s="148" t="s">
        <v>2075</v>
      </c>
      <c r="K30" s="28" t="s">
        <v>597</v>
      </c>
      <c r="L30" s="148"/>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2075</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2075</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3" t="s">
        <v>2089</v>
      </c>
      <c r="B38" s="2034"/>
      <c r="C38" s="2034"/>
      <c r="D38" s="2034"/>
      <c r="E38" s="2034"/>
      <c r="F38" s="2001"/>
      <c r="G38" s="2001"/>
      <c r="H38" s="2002"/>
      <c r="I38" s="2053"/>
      <c r="J38" s="1972"/>
      <c r="K38" s="1972"/>
      <c r="L38" s="1972"/>
      <c r="M38" s="1972"/>
      <c r="N38" s="1972"/>
      <c r="O38" s="1972"/>
      <c r="P38" s="1973"/>
      <c r="Q38" s="1973"/>
      <c r="R38" s="1973"/>
      <c r="S38" s="1974"/>
      <c r="T38" s="1971"/>
      <c r="U38" s="1972"/>
      <c r="V38" s="1972"/>
      <c r="W38" s="1972"/>
      <c r="X38" s="1973"/>
      <c r="Y38" s="1973"/>
      <c r="Z38" s="1973"/>
      <c r="AA38" s="1974"/>
    </row>
    <row r="39" spans="1:27" ht="12" customHeight="1" x14ac:dyDescent="0.2">
      <c r="A39" s="2057" t="s">
        <v>552</v>
      </c>
      <c r="B39" s="2058"/>
      <c r="C39" s="72"/>
      <c r="D39" s="69"/>
      <c r="E39" s="69"/>
      <c r="F39" s="79"/>
      <c r="G39" s="69"/>
      <c r="H39" s="56"/>
      <c r="I39" s="2057" t="s">
        <v>552</v>
      </c>
      <c r="J39" s="2058"/>
      <c r="K39" s="2058"/>
      <c r="L39" s="2058"/>
      <c r="M39" s="2058"/>
      <c r="N39" s="67"/>
      <c r="O39" s="72"/>
      <c r="P39" s="72"/>
      <c r="Q39" s="78"/>
      <c r="R39" s="72"/>
      <c r="S39" s="56"/>
      <c r="T39" s="72" t="s">
        <v>552</v>
      </c>
      <c r="U39" s="51"/>
      <c r="V39" s="72"/>
      <c r="W39" s="50"/>
      <c r="X39" s="78"/>
      <c r="Y39" s="45"/>
      <c r="Z39" s="45"/>
      <c r="AA39" s="46"/>
    </row>
    <row r="40" spans="1:27" ht="13.5" customHeight="1" x14ac:dyDescent="0.2">
      <c r="A40" s="2060"/>
      <c r="B40" s="2061"/>
      <c r="C40" s="2062"/>
      <c r="D40" s="2062"/>
      <c r="E40" s="2062"/>
      <c r="F40" s="2063"/>
      <c r="G40" s="2063"/>
      <c r="H40" s="2064"/>
      <c r="I40" s="1975"/>
      <c r="J40" s="1977"/>
      <c r="K40" s="1977"/>
      <c r="L40" s="1977"/>
      <c r="M40" s="1977"/>
      <c r="N40" s="1977"/>
      <c r="O40" s="1977"/>
      <c r="P40" s="1977"/>
      <c r="Q40" s="1977"/>
      <c r="R40" s="1977"/>
      <c r="S40" s="1978"/>
      <c r="T40" s="1975"/>
      <c r="U40" s="1976"/>
      <c r="V40" s="1977"/>
      <c r="W40" s="1977"/>
      <c r="X40" s="1977"/>
      <c r="Y40" s="1977"/>
      <c r="Z40" s="1977"/>
      <c r="AA40" s="197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0" t="s">
        <v>2094</v>
      </c>
      <c r="B42" s="2051"/>
      <c r="C42" s="2052"/>
      <c r="D42" s="2065" t="s">
        <v>2095</v>
      </c>
      <c r="E42" s="2051"/>
      <c r="F42" s="2051"/>
      <c r="G42" s="2051"/>
      <c r="H42" s="2052"/>
      <c r="I42" s="1970"/>
      <c r="J42" s="1966"/>
      <c r="K42" s="1966"/>
      <c r="L42" s="1966"/>
      <c r="M42" s="1966"/>
      <c r="N42" s="1966"/>
      <c r="O42" s="1967"/>
      <c r="P42" s="1965"/>
      <c r="Q42" s="1966"/>
      <c r="R42" s="1966"/>
      <c r="S42" s="1967"/>
      <c r="T42" s="1970"/>
      <c r="U42" s="1966"/>
      <c r="V42" s="1966"/>
      <c r="W42" s="1967"/>
      <c r="X42" s="1965"/>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9" t="s">
        <v>1709</v>
      </c>
    </row>
    <row r="23" spans="1:5" x14ac:dyDescent="0.2">
      <c r="A23" s="168"/>
      <c r="B23" s="162" t="s">
        <v>1966</v>
      </c>
      <c r="D23" s="167" t="s">
        <v>658</v>
      </c>
      <c r="E23" s="1859"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1731</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2085</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81822122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2.92E-2</v>
      </c>
      <c r="E10" s="356" t="s">
        <v>1062</v>
      </c>
      <c r="F10" s="355">
        <v>5.0000000000000001E-3</v>
      </c>
      <c r="G10" s="356" t="s">
        <v>1062</v>
      </c>
      <c r="H10" s="355">
        <v>2E-3</v>
      </c>
      <c r="I10" s="356" t="s">
        <v>1063</v>
      </c>
      <c r="J10" s="1754">
        <f>ROUND(D10+F10+H10,5)</f>
        <v>3.6200000000000003E-2</v>
      </c>
      <c r="K10" s="222"/>
      <c r="L10" s="355">
        <v>5.0000000000000001E-4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10713799</v>
      </c>
      <c r="E16" s="356"/>
      <c r="F16" s="1755">
        <f>SUM('Acct Summary 7-8'!C17,'Acct Summary 7-8'!D17,'Acct Summary 7-8'!F17)</f>
        <v>10047097</v>
      </c>
      <c r="G16" s="356"/>
      <c r="H16" s="1755">
        <f>SUM(D16-F16)</f>
        <v>666702</v>
      </c>
      <c r="I16" s="222"/>
      <c r="J16" s="1755">
        <f>SUM('Acct Summary 7-8'!C81,'Acct Summary 7-8'!D81,'Acct Summary 7-8'!F81,'Acct Summary 7-8'!I81)</f>
        <v>7139917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11291452.836000001</v>
      </c>
      <c r="I31" s="368"/>
      <c r="J31" s="222"/>
      <c r="K31" s="222"/>
      <c r="L31" s="222"/>
      <c r="M31" s="222"/>
    </row>
    <row r="32" spans="1:13" ht="13.35" customHeight="1" x14ac:dyDescent="0.2">
      <c r="B32" s="369" t="s">
        <v>2075</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3105000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Iroquois Co CUSD 9</v>
      </c>
      <c r="E7" s="391"/>
      <c r="G7" s="252"/>
      <c r="H7" s="387"/>
      <c r="I7" s="387"/>
      <c r="J7" s="387"/>
      <c r="K7" s="387"/>
      <c r="L7" s="329"/>
      <c r="M7" s="329"/>
      <c r="N7" s="329"/>
      <c r="O7" s="329"/>
      <c r="P7" s="329"/>
    </row>
    <row r="8" spans="1:18" ht="12.75" x14ac:dyDescent="0.2">
      <c r="A8" s="329"/>
      <c r="B8" s="329"/>
      <c r="C8" s="389" t="s">
        <v>1187</v>
      </c>
      <c r="D8" s="392">
        <f>COVER!A13</f>
        <v>32038009026</v>
      </c>
      <c r="E8" s="393"/>
      <c r="G8" s="329"/>
      <c r="H8" s="329"/>
      <c r="I8" s="329"/>
      <c r="J8" s="329"/>
      <c r="K8" s="329"/>
      <c r="L8" s="329"/>
      <c r="M8" s="329"/>
      <c r="N8" s="329"/>
      <c r="O8" s="329"/>
      <c r="P8" s="329"/>
    </row>
    <row r="9" spans="1:18" ht="12.75" x14ac:dyDescent="0.2">
      <c r="A9" s="329"/>
      <c r="B9" s="329"/>
      <c r="C9" s="389" t="s">
        <v>737</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7139917</v>
      </c>
      <c r="I12" s="404"/>
      <c r="J12" s="404"/>
      <c r="K12" s="405">
        <f>TRUNC((H12/H13*100000),5)/100000</f>
        <v>0.66642252660000001</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10713799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10047097</v>
      </c>
      <c r="I17" s="404"/>
      <c r="J17" s="416"/>
      <c r="K17" s="405">
        <f>TRUNC((H17/H18*100000),5)/100000</f>
        <v>0.93777165309999999</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10713799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7139917</v>
      </c>
      <c r="I24" s="422"/>
      <c r="J24" s="422"/>
      <c r="K24" s="423">
        <f>TRUNC(((H24/H25*100000)/100000),2)</f>
        <v>255.83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27908.602780000001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2068</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2517666.6939400001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3105000</v>
      </c>
      <c r="I32" s="420"/>
      <c r="J32" s="420"/>
      <c r="K32" s="423">
        <f>TRUNC(100-((((H32/H33*100))*100)/100),2)</f>
        <v>72.5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11291452.836000001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4" sqref="A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1750</v>
      </c>
      <c r="B4" s="464"/>
      <c r="C4" s="465">
        <v>4030771</v>
      </c>
      <c r="D4" s="466">
        <v>832200</v>
      </c>
      <c r="E4" s="466">
        <v>977360</v>
      </c>
      <c r="F4" s="466">
        <v>399243</v>
      </c>
      <c r="G4" s="466">
        <v>446941</v>
      </c>
      <c r="H4" s="466"/>
      <c r="I4" s="466">
        <v>1877703</v>
      </c>
      <c r="J4" s="467">
        <v>687149</v>
      </c>
      <c r="K4" s="466">
        <v>18527</v>
      </c>
      <c r="L4" s="466">
        <v>150809</v>
      </c>
      <c r="M4" s="468"/>
      <c r="N4" s="469"/>
    </row>
    <row r="5" spans="1:14" x14ac:dyDescent="0.2">
      <c r="A5" s="463" t="s">
        <v>1049</v>
      </c>
      <c r="B5" s="470">
        <v>120</v>
      </c>
      <c r="C5" s="465"/>
      <c r="D5" s="466"/>
      <c r="E5" s="466"/>
      <c r="F5" s="466"/>
      <c r="G5" s="466"/>
      <c r="H5" s="466"/>
      <c r="I5" s="466"/>
      <c r="J5" s="467"/>
      <c r="K5" s="471"/>
      <c r="L5" s="472">
        <v>114131</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4030771</v>
      </c>
      <c r="D13" s="1759">
        <f t="shared" ref="D13:L13" si="0">SUM(D4:D12)</f>
        <v>832200</v>
      </c>
      <c r="E13" s="1759">
        <f t="shared" si="0"/>
        <v>977360</v>
      </c>
      <c r="F13" s="1759">
        <f t="shared" si="0"/>
        <v>399243</v>
      </c>
      <c r="G13" s="1759">
        <f t="shared" si="0"/>
        <v>446941</v>
      </c>
      <c r="H13" s="1759">
        <f t="shared" si="0"/>
        <v>0</v>
      </c>
      <c r="I13" s="1759">
        <f t="shared" si="0"/>
        <v>1877703</v>
      </c>
      <c r="J13" s="1759">
        <f t="shared" si="0"/>
        <v>687149</v>
      </c>
      <c r="K13" s="1759">
        <f t="shared" si="0"/>
        <v>18527</v>
      </c>
      <c r="L13" s="1759">
        <f t="shared" si="0"/>
        <v>264940</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51937</v>
      </c>
      <c r="N16" s="484"/>
    </row>
    <row r="17" spans="1:14" s="485" customFormat="1" ht="12.75" customHeight="1" x14ac:dyDescent="0.2">
      <c r="A17" s="482" t="s">
        <v>1470</v>
      </c>
      <c r="B17" s="483">
        <v>230</v>
      </c>
      <c r="C17" s="477"/>
      <c r="D17" s="477"/>
      <c r="E17" s="477"/>
      <c r="F17" s="477"/>
      <c r="G17" s="477"/>
      <c r="H17" s="477"/>
      <c r="I17" s="477"/>
      <c r="J17" s="477"/>
      <c r="K17" s="477"/>
      <c r="L17" s="477"/>
      <c r="M17" s="467">
        <v>8599216</v>
      </c>
      <c r="N17" s="484"/>
    </row>
    <row r="18" spans="1:14" s="485" customFormat="1" ht="12.75" customHeight="1" x14ac:dyDescent="0.2">
      <c r="A18" s="482" t="s">
        <v>1471</v>
      </c>
      <c r="B18" s="483">
        <v>240</v>
      </c>
      <c r="C18" s="477"/>
      <c r="D18" s="477"/>
      <c r="E18" s="477"/>
      <c r="F18" s="477"/>
      <c r="G18" s="477"/>
      <c r="H18" s="477"/>
      <c r="I18" s="477"/>
      <c r="J18" s="477"/>
      <c r="K18" s="477"/>
      <c r="L18" s="477"/>
      <c r="M18" s="467">
        <v>519702</v>
      </c>
      <c r="N18" s="484"/>
    </row>
    <row r="19" spans="1:14" s="485" customFormat="1" ht="12.75" customHeight="1" x14ac:dyDescent="0.2">
      <c r="A19" s="482" t="s">
        <v>1472</v>
      </c>
      <c r="B19" s="483">
        <v>250</v>
      </c>
      <c r="C19" s="477"/>
      <c r="D19" s="477"/>
      <c r="E19" s="477"/>
      <c r="F19" s="477"/>
      <c r="G19" s="477"/>
      <c r="H19" s="477"/>
      <c r="I19" s="477"/>
      <c r="J19" s="477"/>
      <c r="K19" s="477"/>
      <c r="L19" s="477"/>
      <c r="M19" s="467">
        <v>5009978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977360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2127640</v>
      </c>
    </row>
    <row r="23" spans="1:14" ht="13.5" customHeight="1" thickBot="1" x14ac:dyDescent="0.25">
      <c r="A23" s="1758" t="s">
        <v>664</v>
      </c>
      <c r="B23" s="1763"/>
      <c r="C23" s="468"/>
      <c r="D23" s="468"/>
      <c r="E23" s="468"/>
      <c r="F23" s="468"/>
      <c r="G23" s="468"/>
      <c r="H23" s="468"/>
      <c r="I23" s="468"/>
      <c r="J23" s="468"/>
      <c r="K23" s="468"/>
      <c r="L23" s="468"/>
      <c r="M23" s="1710">
        <f>SUM(M15:M22)</f>
        <v>14180833</v>
      </c>
      <c r="N23" s="1710">
        <f>SUM(N21:N22)</f>
        <v>3105000</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264940</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264940</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3105000</v>
      </c>
    </row>
    <row r="37" spans="1:14" ht="13.5" thickBot="1" x14ac:dyDescent="0.25">
      <c r="A37" s="1758" t="s">
        <v>674</v>
      </c>
      <c r="B37" s="1763"/>
      <c r="C37" s="477"/>
      <c r="D37" s="477"/>
      <c r="E37" s="477"/>
      <c r="F37" s="477"/>
      <c r="G37" s="477"/>
      <c r="H37" s="477"/>
      <c r="I37" s="477"/>
      <c r="J37" s="477"/>
      <c r="K37" s="477"/>
      <c r="L37" s="480"/>
      <c r="M37" s="468"/>
      <c r="N37" s="1710">
        <f>SUM(N36:N36)</f>
        <v>3105000</v>
      </c>
    </row>
    <row r="38" spans="1:14" s="329" customFormat="1" ht="13.5" customHeight="1" thickTop="1" x14ac:dyDescent="0.2">
      <c r="A38" s="496" t="s">
        <v>440</v>
      </c>
      <c r="B38" s="483">
        <v>714</v>
      </c>
      <c r="C38" s="466"/>
      <c r="D38" s="466"/>
      <c r="E38" s="466"/>
      <c r="F38" s="466"/>
      <c r="G38" s="466">
        <v>446941</v>
      </c>
      <c r="H38" s="466"/>
      <c r="I38" s="466"/>
      <c r="J38" s="467"/>
      <c r="K38" s="466"/>
      <c r="L38" s="481"/>
      <c r="M38" s="497"/>
      <c r="N38" s="497"/>
    </row>
    <row r="39" spans="1:14" s="329" customFormat="1" ht="13.5" customHeight="1" x14ac:dyDescent="0.2">
      <c r="A39" s="496" t="s">
        <v>360</v>
      </c>
      <c r="B39" s="483">
        <v>730</v>
      </c>
      <c r="C39" s="466">
        <v>4030771</v>
      </c>
      <c r="D39" s="466">
        <v>832200</v>
      </c>
      <c r="E39" s="466">
        <v>977360</v>
      </c>
      <c r="F39" s="466">
        <v>399243</v>
      </c>
      <c r="G39" s="466"/>
      <c r="H39" s="466"/>
      <c r="I39" s="466">
        <v>1877703</v>
      </c>
      <c r="J39" s="467">
        <v>687149</v>
      </c>
      <c r="K39" s="466">
        <v>18527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14180833</v>
      </c>
      <c r="N40" s="497"/>
    </row>
    <row r="41" spans="1:14" ht="13.5" customHeight="1" thickBot="1" x14ac:dyDescent="0.25">
      <c r="A41" s="1758" t="s">
        <v>676</v>
      </c>
      <c r="B41" s="1728"/>
      <c r="C41" s="1710">
        <f>(SUM(C34,C37,C38,C39))</f>
        <v>4030771</v>
      </c>
      <c r="D41" s="1710">
        <f t="shared" ref="D41:L41" si="2">SUM(D34,D37,D38:D39)</f>
        <v>832200</v>
      </c>
      <c r="E41" s="1710">
        <f t="shared" si="2"/>
        <v>977360</v>
      </c>
      <c r="F41" s="1710">
        <f t="shared" si="2"/>
        <v>399243</v>
      </c>
      <c r="G41" s="1710">
        <f t="shared" si="2"/>
        <v>446941</v>
      </c>
      <c r="H41" s="1710">
        <f t="shared" si="2"/>
        <v>0</v>
      </c>
      <c r="I41" s="1710">
        <f t="shared" si="2"/>
        <v>1877703</v>
      </c>
      <c r="J41" s="1710">
        <f t="shared" si="2"/>
        <v>687149</v>
      </c>
      <c r="K41" s="1710">
        <f t="shared" si="2"/>
        <v>18527</v>
      </c>
      <c r="L41" s="1710">
        <f t="shared" si="2"/>
        <v>264940</v>
      </c>
      <c r="M41" s="1710">
        <f>SUM(M40)</f>
        <v>14180833</v>
      </c>
      <c r="N41" s="1710">
        <f>SUM(N37)</f>
        <v>3105000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3" sqref="C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54" t="s">
        <v>1579</v>
      </c>
      <c r="B4" s="1955">
        <v>1000</v>
      </c>
      <c r="C4" s="1764">
        <f>'Revenues 9-14'!C109</f>
        <v>3462872</v>
      </c>
      <c r="D4" s="1764">
        <f>'Revenues 9-14'!D109</f>
        <v>743714</v>
      </c>
      <c r="E4" s="1764">
        <f>'Revenues 9-14'!E109</f>
        <v>473818</v>
      </c>
      <c r="F4" s="1764">
        <f>'Revenues 9-14'!F109</f>
        <v>194665</v>
      </c>
      <c r="G4" s="1764">
        <f>'Revenues 9-14'!G109</f>
        <v>255711</v>
      </c>
      <c r="H4" s="1764">
        <f>'Revenues 9-14'!H109</f>
        <v>0</v>
      </c>
      <c r="I4" s="1764">
        <f>'Revenues 9-14'!I109</f>
        <v>53016</v>
      </c>
      <c r="J4" s="1764">
        <f>'Revenues 9-14'!J109</f>
        <v>663374</v>
      </c>
      <c r="K4" s="1764">
        <f>'Revenues 9-14'!K109</f>
        <v>40757</v>
      </c>
      <c r="L4" s="347"/>
    </row>
    <row r="5" spans="1:13" ht="15.75" customHeight="1" x14ac:dyDescent="0.2">
      <c r="A5" s="1598" t="s">
        <v>1580</v>
      </c>
      <c r="B5" s="1599">
        <v>2000</v>
      </c>
      <c r="C5" s="1765">
        <f>'Revenues 9-14'!C114</f>
        <v>90000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4814763</v>
      </c>
      <c r="D6" s="1765">
        <f>'Revenues 9-14'!D173</f>
        <v>100000</v>
      </c>
      <c r="E6" s="1765">
        <f>'Revenues 9-14'!E173</f>
        <v>0</v>
      </c>
      <c r="F6" s="1765">
        <f>'Revenues 9-14'!F173</f>
        <v>384445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870324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9237959</v>
      </c>
      <c r="D8" s="1710">
        <f t="shared" ref="D8:K8" si="0">SUM(D4:D7)</f>
        <v>843714</v>
      </c>
      <c r="E8" s="1710">
        <f t="shared" si="0"/>
        <v>473818</v>
      </c>
      <c r="F8" s="1710">
        <f t="shared" si="0"/>
        <v>579110</v>
      </c>
      <c r="G8" s="1710">
        <f t="shared" si="0"/>
        <v>255711</v>
      </c>
      <c r="H8" s="1710">
        <f t="shared" si="0"/>
        <v>0</v>
      </c>
      <c r="I8" s="1710">
        <f t="shared" si="0"/>
        <v>53016</v>
      </c>
      <c r="J8" s="1710">
        <f t="shared" si="0"/>
        <v>663374</v>
      </c>
      <c r="K8" s="1710">
        <f t="shared" si="0"/>
        <v>40757</v>
      </c>
      <c r="L8" s="347"/>
    </row>
    <row r="9" spans="1:13" ht="15.75" thickTop="1" x14ac:dyDescent="0.2">
      <c r="A9" s="514" t="s">
        <v>1752</v>
      </c>
      <c r="B9" s="515">
        <v>3998</v>
      </c>
      <c r="C9" s="481">
        <v>3604791</v>
      </c>
      <c r="D9" s="516"/>
      <c r="E9" s="481"/>
      <c r="F9" s="481"/>
      <c r="G9" s="517"/>
      <c r="H9" s="481"/>
      <c r="I9" s="509" t="s">
        <v>1231</v>
      </c>
      <c r="J9" s="478"/>
      <c r="K9" s="481"/>
      <c r="L9" s="347"/>
    </row>
    <row r="10" spans="1:13" s="519" customFormat="1" ht="13.5" thickBot="1" x14ac:dyDescent="0.25">
      <c r="A10" s="1758" t="s">
        <v>1235</v>
      </c>
      <c r="B10" s="1731"/>
      <c r="C10" s="1710">
        <f>SUM(C8:C9)</f>
        <v>12842750</v>
      </c>
      <c r="D10" s="1710">
        <f t="shared" ref="D10:K10" si="1">SUM(D8:D9)</f>
        <v>843714</v>
      </c>
      <c r="E10" s="1710">
        <f t="shared" si="1"/>
        <v>473818</v>
      </c>
      <c r="F10" s="1710">
        <f t="shared" si="1"/>
        <v>579110</v>
      </c>
      <c r="G10" s="1710">
        <f t="shared" si="1"/>
        <v>255711</v>
      </c>
      <c r="H10" s="1710">
        <f t="shared" si="1"/>
        <v>0</v>
      </c>
      <c r="I10" s="1710">
        <f t="shared" si="1"/>
        <v>53016</v>
      </c>
      <c r="J10" s="1710">
        <f t="shared" si="1"/>
        <v>663374</v>
      </c>
      <c r="K10" s="1710">
        <f t="shared" si="1"/>
        <v>40757</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4">
        <f>'Expenditures 15-22'!K33</f>
        <v>5617999</v>
      </c>
      <c r="D12" s="520" t="s">
        <v>1231</v>
      </c>
      <c r="E12" s="468" t="s">
        <v>1231</v>
      </c>
      <c r="F12" s="468" t="s">
        <v>1231</v>
      </c>
      <c r="G12" s="1764">
        <f>'Expenditures 15-22'!K229</f>
        <v>80555</v>
      </c>
      <c r="H12" s="521"/>
      <c r="I12" s="468" t="s">
        <v>1231</v>
      </c>
      <c r="J12" s="468" t="s">
        <v>1231</v>
      </c>
      <c r="K12" s="521" t="s">
        <v>1231</v>
      </c>
      <c r="L12" s="347"/>
    </row>
    <row r="13" spans="1:13" ht="15.75" customHeight="1" x14ac:dyDescent="0.2">
      <c r="A13" s="1598" t="s">
        <v>477</v>
      </c>
      <c r="B13" s="1600">
        <v>2000</v>
      </c>
      <c r="C13" s="1765">
        <f>'Expenditures 15-22'!K74</f>
        <v>1911010</v>
      </c>
      <c r="D13" s="1765">
        <f>'Expenditures 15-22'!K129</f>
        <v>986792</v>
      </c>
      <c r="E13" s="469" t="s">
        <v>1231</v>
      </c>
      <c r="F13" s="1765">
        <f>'Expenditures 15-22'!K184</f>
        <v>278166</v>
      </c>
      <c r="G13" s="1765">
        <f>'Expenditures 15-22'!K279</f>
        <v>133090</v>
      </c>
      <c r="H13" s="1765">
        <f>'Expenditures 15-22'!K303</f>
        <v>0</v>
      </c>
      <c r="I13" s="468" t="s">
        <v>1231</v>
      </c>
      <c r="J13" s="1765">
        <f>'Expenditures 15-22'!K330</f>
        <v>495694</v>
      </c>
      <c r="K13" s="1769">
        <f>'Expenditures 15-22'!K352</f>
        <v>119848</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1065111</v>
      </c>
      <c r="D15" s="1765">
        <f>'Expenditures 15-22'!K139</f>
        <v>0</v>
      </c>
      <c r="E15" s="1765">
        <f>'Expenditures 15-22'!K160</f>
        <v>0</v>
      </c>
      <c r="F15" s="1765">
        <f>'Expenditures 15-22'!K196</f>
        <v>188019</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356162</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8594120</v>
      </c>
      <c r="D17" s="1710">
        <f t="shared" si="2"/>
        <v>986792</v>
      </c>
      <c r="E17" s="1710">
        <f t="shared" si="2"/>
        <v>356162</v>
      </c>
      <c r="F17" s="1710">
        <f t="shared" si="2"/>
        <v>466185</v>
      </c>
      <c r="G17" s="1710">
        <f t="shared" si="2"/>
        <v>213645</v>
      </c>
      <c r="H17" s="1710">
        <f t="shared" si="2"/>
        <v>0</v>
      </c>
      <c r="I17" s="468"/>
      <c r="J17" s="1710">
        <f>SUM(J12:J16)</f>
        <v>495694</v>
      </c>
      <c r="K17" s="1710">
        <f>SUM(K12:K16)</f>
        <v>119848</v>
      </c>
      <c r="L17" s="347"/>
    </row>
    <row r="18" spans="1:12" ht="15" customHeight="1" thickTop="1" x14ac:dyDescent="0.2">
      <c r="A18" s="1766" t="s">
        <v>1753</v>
      </c>
      <c r="B18" s="1767">
        <v>4180</v>
      </c>
      <c r="C18" s="1764">
        <f t="shared" ref="C18:H18" si="3">C9</f>
        <v>3604791</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12198911</v>
      </c>
      <c r="D19" s="1710">
        <f t="shared" si="4"/>
        <v>986792</v>
      </c>
      <c r="E19" s="1710">
        <f t="shared" si="4"/>
        <v>356162</v>
      </c>
      <c r="F19" s="1710">
        <f t="shared" si="4"/>
        <v>466185</v>
      </c>
      <c r="G19" s="1710">
        <f t="shared" si="4"/>
        <v>213645</v>
      </c>
      <c r="H19" s="1710">
        <f t="shared" si="4"/>
        <v>0</v>
      </c>
      <c r="I19" s="468"/>
      <c r="J19" s="1710">
        <f>SUM(J17:J18)</f>
        <v>495694</v>
      </c>
      <c r="K19" s="1710">
        <f>SUM(K17:K18)</f>
        <v>119848</v>
      </c>
      <c r="L19" s="347"/>
    </row>
    <row r="20" spans="1:12" ht="16.5" thickTop="1" thickBot="1" x14ac:dyDescent="0.25">
      <c r="A20" s="2146" t="s">
        <v>1754</v>
      </c>
      <c r="B20" s="2147"/>
      <c r="C20" s="1768">
        <f>C8-C17</f>
        <v>643839</v>
      </c>
      <c r="D20" s="1768">
        <f t="shared" ref="D20:K20" si="5">D8-D17</f>
        <v>-143078</v>
      </c>
      <c r="E20" s="1768">
        <f t="shared" si="5"/>
        <v>117656</v>
      </c>
      <c r="F20" s="1768">
        <f t="shared" si="5"/>
        <v>112925</v>
      </c>
      <c r="G20" s="1768">
        <f t="shared" si="5"/>
        <v>42066</v>
      </c>
      <c r="H20" s="1768">
        <f t="shared" si="5"/>
        <v>0</v>
      </c>
      <c r="I20" s="1768">
        <f t="shared" si="5"/>
        <v>53016</v>
      </c>
      <c r="J20" s="1768">
        <f t="shared" si="5"/>
        <v>167680</v>
      </c>
      <c r="K20" s="1768">
        <f t="shared" si="5"/>
        <v>-79091</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0" t="s">
        <v>392</v>
      </c>
      <c r="B44" s="2161"/>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6" t="s">
        <v>460</v>
      </c>
      <c r="B76" s="2137"/>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8" t="s">
        <v>1239</v>
      </c>
      <c r="B77" s="2139"/>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2" t="s">
        <v>618</v>
      </c>
      <c r="B78" s="2143"/>
      <c r="C78" s="1724">
        <f t="shared" ref="C78:K78" si="9">C20+C77</f>
        <v>643839</v>
      </c>
      <c r="D78" s="1724">
        <f t="shared" si="9"/>
        <v>-143078</v>
      </c>
      <c r="E78" s="1724">
        <f t="shared" si="9"/>
        <v>117656</v>
      </c>
      <c r="F78" s="1724">
        <f t="shared" si="9"/>
        <v>112925</v>
      </c>
      <c r="G78" s="1724">
        <f t="shared" si="9"/>
        <v>42066</v>
      </c>
      <c r="H78" s="1724">
        <f t="shared" si="9"/>
        <v>0</v>
      </c>
      <c r="I78" s="1724">
        <f t="shared" si="9"/>
        <v>53016</v>
      </c>
      <c r="J78" s="1724">
        <f t="shared" si="9"/>
        <v>167680</v>
      </c>
      <c r="K78" s="1724">
        <f t="shared" si="9"/>
        <v>-79091</v>
      </c>
      <c r="L78" s="533"/>
    </row>
    <row r="79" spans="1:12" ht="13.5" thickTop="1" x14ac:dyDescent="0.2">
      <c r="A79" s="1516" t="s">
        <v>2069</v>
      </c>
      <c r="B79" s="534"/>
      <c r="C79" s="478">
        <v>3386932</v>
      </c>
      <c r="D79" s="535">
        <v>975278</v>
      </c>
      <c r="E79" s="535">
        <v>859704</v>
      </c>
      <c r="F79" s="535">
        <v>286318</v>
      </c>
      <c r="G79" s="535">
        <v>404875</v>
      </c>
      <c r="H79" s="535">
        <v>0</v>
      </c>
      <c r="I79" s="535">
        <v>1824687</v>
      </c>
      <c r="J79" s="535">
        <v>519469</v>
      </c>
      <c r="K79" s="535">
        <v>97618</v>
      </c>
      <c r="L79" s="347"/>
    </row>
    <row r="80" spans="1:12" x14ac:dyDescent="0.2">
      <c r="A80" s="2148" t="s">
        <v>1896</v>
      </c>
      <c r="B80" s="2149"/>
      <c r="C80" s="467"/>
      <c r="D80" s="467"/>
      <c r="E80" s="467"/>
      <c r="F80" s="467"/>
      <c r="G80" s="467"/>
      <c r="H80" s="467"/>
      <c r="I80" s="467"/>
      <c r="J80" s="467"/>
      <c r="K80" s="467"/>
      <c r="L80" s="347"/>
    </row>
    <row r="81" spans="1:12" ht="13.5" thickBot="1" x14ac:dyDescent="0.25">
      <c r="A81" s="2140" t="s">
        <v>2070</v>
      </c>
      <c r="B81" s="2141"/>
      <c r="C81" s="1710">
        <f>(SUM(C78:C80))</f>
        <v>4030771</v>
      </c>
      <c r="D81" s="1710">
        <f>SUM(D78:D80)</f>
        <v>832200</v>
      </c>
      <c r="E81" s="1710">
        <f t="shared" ref="E81:K81" si="10">SUM(E78:E80)</f>
        <v>977360</v>
      </c>
      <c r="F81" s="1710">
        <f t="shared" si="10"/>
        <v>399243</v>
      </c>
      <c r="G81" s="1710">
        <f t="shared" si="10"/>
        <v>446941</v>
      </c>
      <c r="H81" s="1710">
        <f t="shared" si="10"/>
        <v>0</v>
      </c>
      <c r="I81" s="1710">
        <f t="shared" si="10"/>
        <v>1877703</v>
      </c>
      <c r="J81" s="1710">
        <f t="shared" si="10"/>
        <v>687149</v>
      </c>
      <c r="K81" s="1710">
        <f t="shared" si="10"/>
        <v>18527</v>
      </c>
      <c r="L81" s="347"/>
    </row>
    <row r="82" spans="1:12" ht="0.75" customHeight="1" thickTop="1" thickBot="1" x14ac:dyDescent="0.25">
      <c r="A82" s="536" t="s">
        <v>361</v>
      </c>
      <c r="B82" s="537"/>
      <c r="C82" s="538">
        <f>(C81-C79)</f>
        <v>643839</v>
      </c>
      <c r="D82" s="538">
        <f t="shared" ref="D82:K82" si="11">(D81-D79)</f>
        <v>-143078</v>
      </c>
      <c r="E82" s="538">
        <f t="shared" si="11"/>
        <v>117656</v>
      </c>
      <c r="F82" s="538">
        <f t="shared" si="11"/>
        <v>112925</v>
      </c>
      <c r="G82" s="538">
        <f t="shared" si="11"/>
        <v>42066</v>
      </c>
      <c r="H82" s="538">
        <f t="shared" si="11"/>
        <v>0</v>
      </c>
      <c r="I82" s="538">
        <f t="shared" si="11"/>
        <v>53016</v>
      </c>
      <c r="J82" s="538">
        <f t="shared" si="11"/>
        <v>167680</v>
      </c>
      <c r="K82" s="538">
        <f t="shared" si="11"/>
        <v>-79091</v>
      </c>
    </row>
    <row r="83" spans="1:12" ht="14.25" hidden="1" thickTop="1" thickBot="1" x14ac:dyDescent="0.25">
      <c r="A83" s="539" t="s">
        <v>362</v>
      </c>
      <c r="B83" s="464"/>
      <c r="C83" s="540">
        <f>C82/C81</f>
        <v>0.15973097950739448</v>
      </c>
      <c r="D83" s="540">
        <f t="shared" ref="D83:K83" si="12">D82/D81</f>
        <v>-0.17192742129295843</v>
      </c>
      <c r="E83" s="540">
        <f t="shared" si="12"/>
        <v>0.1203814357043464</v>
      </c>
      <c r="F83" s="540">
        <f t="shared" si="12"/>
        <v>0.28284778944151806</v>
      </c>
      <c r="G83" s="540">
        <f t="shared" si="12"/>
        <v>9.4119805522429129E-2</v>
      </c>
      <c r="H83" s="540" t="e">
        <f t="shared" si="12"/>
        <v>#DIV/0!</v>
      </c>
      <c r="I83" s="540">
        <f t="shared" si="12"/>
        <v>2.8234497148910132E-2</v>
      </c>
      <c r="J83" s="540">
        <f t="shared" si="12"/>
        <v>0.24402276653244057</v>
      </c>
      <c r="K83" s="540">
        <f t="shared" si="12"/>
        <v>-4.2689588168618773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1903</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2356819</v>
      </c>
      <c r="D5" s="481">
        <v>403568</v>
      </c>
      <c r="E5" s="466">
        <v>472867</v>
      </c>
      <c r="F5" s="548">
        <v>161427</v>
      </c>
      <c r="G5" s="466">
        <v>63692</v>
      </c>
      <c r="H5" s="466"/>
      <c r="I5" s="466">
        <v>40357</v>
      </c>
      <c r="J5" s="467">
        <v>653807</v>
      </c>
      <c r="K5" s="466">
        <v>40357</v>
      </c>
    </row>
    <row r="6" spans="1:12" ht="15" x14ac:dyDescent="0.2">
      <c r="A6" s="463" t="s">
        <v>1761</v>
      </c>
      <c r="B6" s="470">
        <v>1130</v>
      </c>
      <c r="C6" s="466">
        <v>40357</v>
      </c>
      <c r="D6" s="466"/>
      <c r="E6" s="475"/>
      <c r="F6" s="475"/>
      <c r="G6" s="468"/>
      <c r="H6" s="468"/>
      <c r="I6" s="468"/>
      <c r="J6" s="468"/>
      <c r="K6" s="468"/>
    </row>
    <row r="7" spans="1:12" x14ac:dyDescent="0.2">
      <c r="A7" s="463" t="s">
        <v>112</v>
      </c>
      <c r="B7" s="549">
        <v>1140</v>
      </c>
      <c r="C7" s="466">
        <v>32285</v>
      </c>
      <c r="D7" s="466"/>
      <c r="E7" s="468"/>
      <c r="F7" s="467"/>
      <c r="G7" s="467"/>
      <c r="H7" s="467"/>
      <c r="I7" s="468"/>
      <c r="J7" s="468"/>
      <c r="K7" s="468"/>
    </row>
    <row r="8" spans="1:12" x14ac:dyDescent="0.2">
      <c r="A8" s="463" t="s">
        <v>433</v>
      </c>
      <c r="B8" s="470">
        <v>1150</v>
      </c>
      <c r="C8" s="475"/>
      <c r="D8" s="475"/>
      <c r="E8" s="477"/>
      <c r="F8" s="477"/>
      <c r="G8" s="481">
        <v>174156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2429461</v>
      </c>
      <c r="D12" s="1729">
        <f t="shared" si="0"/>
        <v>403568</v>
      </c>
      <c r="E12" s="1729">
        <f t="shared" si="0"/>
        <v>472867</v>
      </c>
      <c r="F12" s="1729">
        <f t="shared" si="0"/>
        <v>161427</v>
      </c>
      <c r="G12" s="1729">
        <f t="shared" si="0"/>
        <v>237848</v>
      </c>
      <c r="H12" s="1729">
        <f t="shared" si="0"/>
        <v>0</v>
      </c>
      <c r="I12" s="1729">
        <f t="shared" si="0"/>
        <v>40357</v>
      </c>
      <c r="J12" s="1729">
        <f t="shared" si="0"/>
        <v>653807</v>
      </c>
      <c r="K12" s="1710">
        <f t="shared" si="0"/>
        <v>40357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349681</v>
      </c>
      <c r="D16" s="466"/>
      <c r="E16" s="466"/>
      <c r="F16" s="466"/>
      <c r="G16" s="466">
        <v>14450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349681</v>
      </c>
      <c r="D18" s="1732">
        <f t="shared" ref="D18:K18" si="1">SUM(D14:D17)</f>
        <v>0</v>
      </c>
      <c r="E18" s="1732">
        <f t="shared" si="1"/>
        <v>0</v>
      </c>
      <c r="F18" s="1732">
        <f t="shared" si="1"/>
        <v>0</v>
      </c>
      <c r="G18" s="1732">
        <f t="shared" si="1"/>
        <v>14450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919</v>
      </c>
      <c r="D20" s="468"/>
      <c r="E20" s="468"/>
      <c r="F20" s="468"/>
      <c r="G20" s="468"/>
      <c r="H20" s="468"/>
      <c r="I20" s="468"/>
      <c r="J20" s="468"/>
      <c r="K20" s="468"/>
    </row>
    <row r="21" spans="1:11" ht="12.75" customHeight="1" x14ac:dyDescent="0.2">
      <c r="A21" s="463" t="s">
        <v>887</v>
      </c>
      <c r="B21" s="470">
        <v>1312</v>
      </c>
      <c r="C21" s="551">
        <v>110781</v>
      </c>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v>33</v>
      </c>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111733</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1049</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v>13809</v>
      </c>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14858</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28364</v>
      </c>
      <c r="D65" s="466">
        <v>6518</v>
      </c>
      <c r="E65" s="466">
        <v>951</v>
      </c>
      <c r="F65" s="467">
        <v>2525</v>
      </c>
      <c r="G65" s="466">
        <v>3413</v>
      </c>
      <c r="H65" s="466"/>
      <c r="I65" s="466">
        <v>12659</v>
      </c>
      <c r="J65" s="467">
        <v>5193</v>
      </c>
      <c r="K65" s="466">
        <v>400</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28364</v>
      </c>
      <c r="D67" s="1710">
        <f t="shared" ref="D67:K67" si="2">SUM(D65:D66)</f>
        <v>6518</v>
      </c>
      <c r="E67" s="1710">
        <f t="shared" si="2"/>
        <v>951</v>
      </c>
      <c r="F67" s="1710">
        <f t="shared" si="2"/>
        <v>2525</v>
      </c>
      <c r="G67" s="1710">
        <f t="shared" si="2"/>
        <v>3413</v>
      </c>
      <c r="H67" s="1710">
        <f t="shared" si="2"/>
        <v>0</v>
      </c>
      <c r="I67" s="1710">
        <f t="shared" si="2"/>
        <v>12659</v>
      </c>
      <c r="J67" s="1710">
        <f t="shared" si="2"/>
        <v>5193</v>
      </c>
      <c r="K67" s="1710">
        <f t="shared" si="2"/>
        <v>400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102731</v>
      </c>
      <c r="D69" s="468"/>
      <c r="E69" s="468"/>
      <c r="F69" s="468"/>
      <c r="G69" s="468"/>
      <c r="H69" s="468"/>
      <c r="I69" s="468"/>
      <c r="J69" s="468"/>
      <c r="K69" s="468"/>
    </row>
    <row r="70" spans="1:11" ht="12.75" customHeight="1" x14ac:dyDescent="0.2">
      <c r="A70" s="463" t="s">
        <v>1054</v>
      </c>
      <c r="B70" s="470">
        <v>1612</v>
      </c>
      <c r="C70" s="551">
        <v>8090</v>
      </c>
      <c r="D70" s="468"/>
      <c r="E70" s="468"/>
      <c r="F70" s="468"/>
      <c r="G70" s="468"/>
      <c r="H70" s="468"/>
      <c r="I70" s="468"/>
      <c r="J70" s="468"/>
      <c r="K70" s="468"/>
    </row>
    <row r="71" spans="1:11" ht="12.75" customHeight="1" x14ac:dyDescent="0.2">
      <c r="A71" s="463" t="s">
        <v>291</v>
      </c>
      <c r="B71" s="470">
        <v>1613</v>
      </c>
      <c r="C71" s="551">
        <v>25362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5551</v>
      </c>
      <c r="D73" s="468"/>
      <c r="E73" s="468"/>
      <c r="F73" s="468"/>
      <c r="G73" s="468"/>
      <c r="H73" s="468"/>
      <c r="I73" s="468"/>
      <c r="J73" s="468"/>
      <c r="K73" s="468"/>
    </row>
    <row r="74" spans="1:11" ht="12.75" customHeight="1" x14ac:dyDescent="0.2">
      <c r="A74" s="463" t="s">
        <v>25</v>
      </c>
      <c r="B74" s="470">
        <v>1690</v>
      </c>
      <c r="C74" s="551">
        <v>18948</v>
      </c>
      <c r="D74" s="468"/>
      <c r="E74" s="468"/>
      <c r="F74" s="468"/>
      <c r="G74" s="468"/>
      <c r="H74" s="468"/>
      <c r="I74" s="468"/>
      <c r="J74" s="468"/>
      <c r="K74" s="468"/>
    </row>
    <row r="75" spans="1:11" ht="12.75" customHeight="1" thickBot="1" x14ac:dyDescent="0.25">
      <c r="A75" s="1730" t="s">
        <v>569</v>
      </c>
      <c r="B75" s="1731"/>
      <c r="C75" s="1710">
        <f>SUM(C69:C74)</f>
        <v>160682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23306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1589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24895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29780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29780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6200</v>
      </c>
      <c r="E95" s="521"/>
      <c r="F95" s="521"/>
      <c r="G95" s="521"/>
      <c r="H95" s="521"/>
      <c r="I95" s="521"/>
      <c r="J95" s="521"/>
      <c r="K95" s="521"/>
    </row>
    <row r="96" spans="1:11" ht="12.75" customHeight="1" x14ac:dyDescent="0.2">
      <c r="A96" s="463" t="s">
        <v>409</v>
      </c>
      <c r="B96" s="470">
        <v>1920</v>
      </c>
      <c r="C96" s="551">
        <v>63304</v>
      </c>
      <c r="D96" s="551">
        <v>3314</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2650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262322</v>
      </c>
      <c r="D107" s="466">
        <v>324114</v>
      </c>
      <c r="E107" s="466"/>
      <c r="F107" s="466">
        <v>15855</v>
      </c>
      <c r="G107" s="466"/>
      <c r="H107" s="466"/>
      <c r="I107" s="466"/>
      <c r="J107" s="467">
        <v>4374</v>
      </c>
      <c r="K107" s="466"/>
    </row>
    <row r="108" spans="1:12" ht="12.75" customHeight="1" thickBot="1" x14ac:dyDescent="0.25">
      <c r="A108" s="1730" t="s">
        <v>508</v>
      </c>
      <c r="B108" s="1734"/>
      <c r="C108" s="1729">
        <f>SUM(C95:C107)</f>
        <v>328276</v>
      </c>
      <c r="D108" s="1729">
        <f t="shared" ref="D108:K108" si="3">SUM(D95:D107)</f>
        <v>333628</v>
      </c>
      <c r="E108" s="1729">
        <f t="shared" si="3"/>
        <v>0</v>
      </c>
      <c r="F108" s="1729">
        <f t="shared" si="3"/>
        <v>15855</v>
      </c>
      <c r="G108" s="1729">
        <f t="shared" si="3"/>
        <v>0</v>
      </c>
      <c r="H108" s="1729">
        <f t="shared" si="3"/>
        <v>0</v>
      </c>
      <c r="I108" s="1729">
        <f t="shared" si="3"/>
        <v>0</v>
      </c>
      <c r="J108" s="1729">
        <f t="shared" si="3"/>
        <v>4374</v>
      </c>
      <c r="K108" s="1710">
        <f t="shared" si="3"/>
        <v>0</v>
      </c>
    </row>
    <row r="109" spans="1:12" ht="14.25" thickTop="1" thickBot="1" x14ac:dyDescent="0.25">
      <c r="A109" s="1735" t="s">
        <v>266</v>
      </c>
      <c r="B109" s="1736" t="s">
        <v>591</v>
      </c>
      <c r="C109" s="1737">
        <f t="shared" ref="C109:K109" si="4">SUM(C12,C18,C40,C63,C67,C75,C82,C93,C108,)</f>
        <v>3462872</v>
      </c>
      <c r="D109" s="1737">
        <f t="shared" si="4"/>
        <v>743714</v>
      </c>
      <c r="E109" s="1737">
        <f t="shared" si="4"/>
        <v>473818</v>
      </c>
      <c r="F109" s="1737">
        <f t="shared" si="4"/>
        <v>194665</v>
      </c>
      <c r="G109" s="1737">
        <f t="shared" si="4"/>
        <v>255711</v>
      </c>
      <c r="H109" s="1737">
        <f t="shared" si="4"/>
        <v>0</v>
      </c>
      <c r="I109" s="1737">
        <f t="shared" si="4"/>
        <v>53016</v>
      </c>
      <c r="J109" s="1737">
        <f t="shared" si="4"/>
        <v>663374</v>
      </c>
      <c r="K109" s="1724">
        <f t="shared" si="4"/>
        <v>40757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90000</v>
      </c>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90000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4613817</v>
      </c>
      <c r="D117" s="481">
        <v>100000</v>
      </c>
      <c r="E117" s="466"/>
      <c r="F117" s="481">
        <v>100000</v>
      </c>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4613817</v>
      </c>
      <c r="D121" s="1729">
        <f t="shared" si="5"/>
        <v>100000</v>
      </c>
      <c r="E121" s="1729">
        <f t="shared" si="5"/>
        <v>0</v>
      </c>
      <c r="F121" s="1729">
        <f t="shared" si="5"/>
        <v>100000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48162</v>
      </c>
      <c r="D124" s="561"/>
      <c r="E124" s="468"/>
      <c r="F124" s="548"/>
      <c r="G124" s="468"/>
      <c r="H124" s="468"/>
      <c r="I124" s="468"/>
      <c r="J124" s="468"/>
      <c r="K124" s="468"/>
    </row>
    <row r="125" spans="1:11" ht="12.75" customHeight="1" x14ac:dyDescent="0.2">
      <c r="A125" s="463" t="s">
        <v>1521</v>
      </c>
      <c r="B125" s="562">
        <v>3105</v>
      </c>
      <c r="C125" s="466">
        <v>73824</v>
      </c>
      <c r="D125" s="561"/>
      <c r="E125" s="468"/>
      <c r="F125" s="466"/>
      <c r="G125" s="468"/>
      <c r="H125" s="468"/>
      <c r="I125" s="468"/>
      <c r="J125" s="468"/>
      <c r="K125" s="468"/>
    </row>
    <row r="126" spans="1:11" ht="12.75" customHeight="1" x14ac:dyDescent="0.2">
      <c r="A126" s="463" t="s">
        <v>922</v>
      </c>
      <c r="B126" s="562">
        <v>3110</v>
      </c>
      <c r="C126" s="551">
        <v>10750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2262</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134998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33149</v>
      </c>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11418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44567</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5123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14758</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132215</v>
      </c>
      <c r="G151" s="467"/>
      <c r="H151" s="468"/>
      <c r="I151" s="468"/>
      <c r="J151" s="468"/>
      <c r="K151" s="468"/>
    </row>
    <row r="152" spans="1:11" ht="12.75" customHeight="1" x14ac:dyDescent="0.2">
      <c r="A152" s="463" t="s">
        <v>1117</v>
      </c>
      <c r="B152" s="562">
        <v>3510</v>
      </c>
      <c r="C152" s="551"/>
      <c r="D152" s="466"/>
      <c r="E152" s="561"/>
      <c r="F152" s="466">
        <v>152230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284445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4" t="s">
        <v>418</v>
      </c>
      <c r="B172" s="2165"/>
      <c r="C172" s="1744">
        <f t="shared" ref="C172:K172" si="6">SUM(C131,C140,C144,C145:C149,C154,C155:C170,C171)</f>
        <v>200946</v>
      </c>
      <c r="D172" s="1744">
        <f t="shared" si="6"/>
        <v>0</v>
      </c>
      <c r="E172" s="1744">
        <f t="shared" si="6"/>
        <v>0</v>
      </c>
      <c r="F172" s="1744">
        <f t="shared" si="6"/>
        <v>284445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4814763</v>
      </c>
      <c r="D173" s="1737">
        <f>SUM(D121,D172)</f>
        <v>100000</v>
      </c>
      <c r="E173" s="1737">
        <f>SUM(E121,E172)</f>
        <v>0</v>
      </c>
      <c r="F173" s="1737">
        <f t="shared" ref="F173:K173" si="7">SUM(F121,F172)</f>
        <v>384445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0" t="s">
        <v>1764</v>
      </c>
      <c r="B178" s="217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4" t="s">
        <v>1763</v>
      </c>
      <c r="B179" s="217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2" t="s">
        <v>818</v>
      </c>
      <c r="B184" s="217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8" t="s">
        <v>1904</v>
      </c>
      <c r="B185" s="216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9360</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9360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274355</v>
      </c>
      <c r="D194" s="468"/>
      <c r="E194" s="561"/>
      <c r="F194" s="468"/>
      <c r="G194" s="585"/>
      <c r="H194" s="468"/>
      <c r="I194" s="468"/>
      <c r="J194" s="468"/>
      <c r="K194" s="468"/>
    </row>
    <row r="195" spans="1:11" ht="12.75" customHeight="1" x14ac:dyDescent="0.2">
      <c r="A195" s="463" t="s">
        <v>1107</v>
      </c>
      <c r="B195" s="470">
        <v>4215</v>
      </c>
      <c r="C195" s="551">
        <v>259</v>
      </c>
      <c r="D195" s="468"/>
      <c r="E195" s="561"/>
      <c r="F195" s="468"/>
      <c r="G195" s="585"/>
      <c r="H195" s="468"/>
      <c r="I195" s="468"/>
      <c r="J195" s="468"/>
      <c r="K195" s="468"/>
    </row>
    <row r="196" spans="1:11" ht="12.75" customHeight="1" x14ac:dyDescent="0.2">
      <c r="A196" s="463" t="s">
        <v>1119</v>
      </c>
      <c r="B196" s="470">
        <v>4220</v>
      </c>
      <c r="C196" s="551">
        <v>76569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351183</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424755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424755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48169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10833</v>
      </c>
      <c r="D270" s="576"/>
      <c r="E270" s="468"/>
      <c r="F270" s="576"/>
      <c r="G270" s="576"/>
      <c r="H270" s="468"/>
      <c r="I270" s="468"/>
      <c r="J270" s="468"/>
      <c r="K270" s="468"/>
    </row>
    <row r="271" spans="1:11" ht="12.75" customHeight="1" thickTop="1" thickBot="1" x14ac:dyDescent="0.25">
      <c r="A271" s="463" t="s">
        <v>395</v>
      </c>
      <c r="B271" s="470">
        <v>4992</v>
      </c>
      <c r="C271" s="575">
        <v>26024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870324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870324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9237959</v>
      </c>
      <c r="D275" s="1737">
        <f t="shared" si="12"/>
        <v>843714</v>
      </c>
      <c r="E275" s="1737">
        <f t="shared" si="12"/>
        <v>473818</v>
      </c>
      <c r="F275" s="1737">
        <f t="shared" si="12"/>
        <v>579110</v>
      </c>
      <c r="G275" s="1737">
        <f t="shared" si="12"/>
        <v>255711</v>
      </c>
      <c r="H275" s="1737">
        <f t="shared" si="12"/>
        <v>0</v>
      </c>
      <c r="I275" s="1737">
        <f t="shared" si="12"/>
        <v>53016</v>
      </c>
      <c r="J275" s="1737">
        <f t="shared" si="12"/>
        <v>663374</v>
      </c>
      <c r="K275" s="1724">
        <f t="shared" si="12"/>
        <v>40757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28" activePane="bottomLeft" state="frozen"/>
      <selection activeCell="A47" sqref="A47"/>
      <selection pane="bottomLeft" activeCell="C4" sqref="C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3328088</v>
      </c>
      <c r="D5" s="466">
        <v>880738</v>
      </c>
      <c r="E5" s="466">
        <v>7792</v>
      </c>
      <c r="F5" s="466">
        <v>150965</v>
      </c>
      <c r="G5" s="466">
        <v>13537</v>
      </c>
      <c r="H5" s="466">
        <v>2772</v>
      </c>
      <c r="I5" s="467"/>
      <c r="J5" s="467"/>
      <c r="K5" s="1693">
        <f>SUM(C5:J5)</f>
        <v>4383892</v>
      </c>
      <c r="L5" s="466">
        <v>4594850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92821</v>
      </c>
      <c r="D7" s="467">
        <v>26748</v>
      </c>
      <c r="E7" s="467">
        <v>147</v>
      </c>
      <c r="F7" s="467">
        <v>3125</v>
      </c>
      <c r="G7" s="467"/>
      <c r="H7" s="467"/>
      <c r="I7" s="467"/>
      <c r="J7" s="467"/>
      <c r="K7" s="1693">
        <f t="shared" ref="K7:K32" si="0">SUM(C7:J7)</f>
        <v>122841</v>
      </c>
      <c r="L7" s="466">
        <v>125050</v>
      </c>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245761</v>
      </c>
      <c r="D10" s="466">
        <v>87336</v>
      </c>
      <c r="E10" s="466">
        <v>18910</v>
      </c>
      <c r="F10" s="466">
        <v>164973</v>
      </c>
      <c r="G10" s="466">
        <v>12384</v>
      </c>
      <c r="H10" s="466"/>
      <c r="I10" s="467"/>
      <c r="J10" s="467"/>
      <c r="K10" s="1693">
        <f t="shared" si="0"/>
        <v>529364</v>
      </c>
      <c r="L10" s="466">
        <v>616500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158338</v>
      </c>
      <c r="D13" s="466">
        <v>46214</v>
      </c>
      <c r="E13" s="466">
        <v>653</v>
      </c>
      <c r="F13" s="466">
        <v>18099</v>
      </c>
      <c r="G13" s="466">
        <v>9011</v>
      </c>
      <c r="H13" s="466"/>
      <c r="I13" s="467"/>
      <c r="J13" s="467"/>
      <c r="K13" s="1693">
        <f t="shared" si="0"/>
        <v>232315</v>
      </c>
      <c r="L13" s="466">
        <v>258065</v>
      </c>
    </row>
    <row r="14" spans="1:14" x14ac:dyDescent="0.2">
      <c r="A14" s="1526" t="s">
        <v>1020</v>
      </c>
      <c r="B14" s="615">
        <v>1500</v>
      </c>
      <c r="C14" s="466">
        <v>157647</v>
      </c>
      <c r="D14" s="466">
        <v>13911</v>
      </c>
      <c r="E14" s="466">
        <v>20219</v>
      </c>
      <c r="F14" s="466">
        <v>68775</v>
      </c>
      <c r="G14" s="466">
        <v>9958</v>
      </c>
      <c r="H14" s="466">
        <v>1139</v>
      </c>
      <c r="I14" s="467"/>
      <c r="J14" s="467"/>
      <c r="K14" s="1693">
        <f t="shared" si="0"/>
        <v>271649</v>
      </c>
      <c r="L14" s="466">
        <v>323400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61233</v>
      </c>
      <c r="D17" s="467">
        <v>14356</v>
      </c>
      <c r="E17" s="467">
        <v>1092</v>
      </c>
      <c r="F17" s="467">
        <v>1257</v>
      </c>
      <c r="G17" s="467"/>
      <c r="H17" s="467"/>
      <c r="I17" s="467"/>
      <c r="J17" s="467"/>
      <c r="K17" s="1693">
        <f t="shared" si="0"/>
        <v>77938</v>
      </c>
      <c r="L17" s="466">
        <v>90600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4043888</v>
      </c>
      <c r="D33" s="1692">
        <f t="shared" ref="D33:L33" si="1">SUM(D5:D32)</f>
        <v>1069303</v>
      </c>
      <c r="E33" s="1692">
        <f t="shared" si="1"/>
        <v>48813</v>
      </c>
      <c r="F33" s="1692">
        <f t="shared" si="1"/>
        <v>407194</v>
      </c>
      <c r="G33" s="1692">
        <f t="shared" si="1"/>
        <v>44890</v>
      </c>
      <c r="H33" s="1692">
        <f t="shared" si="1"/>
        <v>3911</v>
      </c>
      <c r="I33" s="1692">
        <f t="shared" si="1"/>
        <v>0</v>
      </c>
      <c r="J33" s="1692">
        <f t="shared" si="1"/>
        <v>0</v>
      </c>
      <c r="K33" s="1692">
        <f t="shared" si="1"/>
        <v>5617999</v>
      </c>
      <c r="L33" s="1692">
        <f t="shared" si="1"/>
        <v>6008465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108245</v>
      </c>
      <c r="D37" s="466">
        <v>31746</v>
      </c>
      <c r="E37" s="466">
        <v>233</v>
      </c>
      <c r="F37" s="466">
        <v>192</v>
      </c>
      <c r="G37" s="466"/>
      <c r="H37" s="466"/>
      <c r="I37" s="467"/>
      <c r="J37" s="467"/>
      <c r="K37" s="1693">
        <f t="shared" si="2"/>
        <v>140416</v>
      </c>
      <c r="L37" s="466">
        <v>146000</v>
      </c>
    </row>
    <row r="38" spans="1:14" x14ac:dyDescent="0.2">
      <c r="A38" s="1526" t="s">
        <v>207</v>
      </c>
      <c r="B38" s="615">
        <v>2130</v>
      </c>
      <c r="C38" s="466"/>
      <c r="D38" s="466"/>
      <c r="E38" s="466">
        <v>31332</v>
      </c>
      <c r="F38" s="466">
        <v>2646</v>
      </c>
      <c r="G38" s="466"/>
      <c r="H38" s="466"/>
      <c r="I38" s="467"/>
      <c r="J38" s="467"/>
      <c r="K38" s="1693">
        <f t="shared" si="2"/>
        <v>33978</v>
      </c>
      <c r="L38" s="466">
        <v>36050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v>79419</v>
      </c>
      <c r="F40" s="466"/>
      <c r="G40" s="466"/>
      <c r="H40" s="466"/>
      <c r="I40" s="467"/>
      <c r="J40" s="467"/>
      <c r="K40" s="1693">
        <f t="shared" si="2"/>
        <v>79419</v>
      </c>
      <c r="L40" s="466">
        <v>79500</v>
      </c>
    </row>
    <row r="41" spans="1:14" x14ac:dyDescent="0.2">
      <c r="A41" s="1526" t="s">
        <v>1768</v>
      </c>
      <c r="B41" s="615">
        <v>2190</v>
      </c>
      <c r="C41" s="466">
        <v>2060</v>
      </c>
      <c r="D41" s="466">
        <v>257</v>
      </c>
      <c r="E41" s="466"/>
      <c r="F41" s="466">
        <v>527</v>
      </c>
      <c r="G41" s="466"/>
      <c r="H41" s="466"/>
      <c r="I41" s="467"/>
      <c r="J41" s="467"/>
      <c r="K41" s="1693">
        <f t="shared" si="2"/>
        <v>2844</v>
      </c>
      <c r="L41" s="466">
        <v>5700</v>
      </c>
    </row>
    <row r="42" spans="1:14" ht="12.75" customHeight="1" thickBot="1" x14ac:dyDescent="0.25">
      <c r="A42" s="1690" t="s">
        <v>581</v>
      </c>
      <c r="B42" s="1691" t="s">
        <v>740</v>
      </c>
      <c r="C42" s="1692">
        <f>SUM(C36:C41)</f>
        <v>110305</v>
      </c>
      <c r="D42" s="1692">
        <f t="shared" ref="D42:L42" si="3">SUM(D36:D41)</f>
        <v>32003</v>
      </c>
      <c r="E42" s="1692">
        <f t="shared" si="3"/>
        <v>110984</v>
      </c>
      <c r="F42" s="1692">
        <f t="shared" si="3"/>
        <v>3365</v>
      </c>
      <c r="G42" s="1692">
        <f t="shared" si="3"/>
        <v>0</v>
      </c>
      <c r="H42" s="1692">
        <f t="shared" si="3"/>
        <v>0</v>
      </c>
      <c r="I42" s="1692">
        <f t="shared" si="3"/>
        <v>0</v>
      </c>
      <c r="J42" s="1692">
        <f t="shared" si="3"/>
        <v>0</v>
      </c>
      <c r="K42" s="1692">
        <f t="shared" si="3"/>
        <v>256657</v>
      </c>
      <c r="L42" s="1692">
        <f t="shared" si="3"/>
        <v>267250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72448</v>
      </c>
      <c r="D44" s="481">
        <v>17839</v>
      </c>
      <c r="E44" s="481">
        <v>25886</v>
      </c>
      <c r="F44" s="481">
        <v>38305</v>
      </c>
      <c r="G44" s="481">
        <v>3219</v>
      </c>
      <c r="H44" s="481"/>
      <c r="I44" s="467"/>
      <c r="J44" s="467"/>
      <c r="K44" s="1694">
        <f>SUM(C44:J44)</f>
        <v>157697</v>
      </c>
      <c r="L44" s="481"/>
    </row>
    <row r="45" spans="1:14" x14ac:dyDescent="0.2">
      <c r="A45" s="1526" t="s">
        <v>869</v>
      </c>
      <c r="B45" s="615">
        <v>2220</v>
      </c>
      <c r="C45" s="466">
        <v>104705</v>
      </c>
      <c r="D45" s="466">
        <v>27529</v>
      </c>
      <c r="E45" s="466">
        <v>3597</v>
      </c>
      <c r="F45" s="466">
        <v>11048</v>
      </c>
      <c r="G45" s="466"/>
      <c r="H45" s="466"/>
      <c r="I45" s="467"/>
      <c r="J45" s="467"/>
      <c r="K45" s="1694">
        <f>SUM(C45:J45)</f>
        <v>146879</v>
      </c>
      <c r="L45" s="466">
        <v>360250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177153</v>
      </c>
      <c r="D47" s="1692">
        <f t="shared" ref="D47:K47" si="4">SUM(D44:D46)</f>
        <v>45368</v>
      </c>
      <c r="E47" s="1692">
        <f t="shared" si="4"/>
        <v>29483</v>
      </c>
      <c r="F47" s="1692">
        <f t="shared" si="4"/>
        <v>49353</v>
      </c>
      <c r="G47" s="1692">
        <f t="shared" si="4"/>
        <v>3219</v>
      </c>
      <c r="H47" s="1692">
        <f t="shared" si="4"/>
        <v>0</v>
      </c>
      <c r="I47" s="1692">
        <f t="shared" si="4"/>
        <v>0</v>
      </c>
      <c r="J47" s="1692">
        <f t="shared" si="4"/>
        <v>0</v>
      </c>
      <c r="K47" s="1692">
        <f t="shared" si="4"/>
        <v>304576</v>
      </c>
      <c r="L47" s="1692">
        <f>SUM(L44:L46)</f>
        <v>360250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38679</v>
      </c>
      <c r="F49" s="481">
        <v>3255</v>
      </c>
      <c r="G49" s="481">
        <v>4047</v>
      </c>
      <c r="H49" s="481"/>
      <c r="I49" s="467"/>
      <c r="J49" s="467"/>
      <c r="K49" s="1694">
        <f>SUM(C49:J49)</f>
        <v>45981</v>
      </c>
      <c r="L49" s="481">
        <v>76500</v>
      </c>
    </row>
    <row r="50" spans="1:14" x14ac:dyDescent="0.2">
      <c r="A50" s="1526" t="s">
        <v>872</v>
      </c>
      <c r="B50" s="615">
        <v>2320</v>
      </c>
      <c r="C50" s="466">
        <v>121813</v>
      </c>
      <c r="D50" s="466">
        <v>26918</v>
      </c>
      <c r="E50" s="466">
        <v>5737</v>
      </c>
      <c r="F50" s="466">
        <v>2398</v>
      </c>
      <c r="G50" s="466">
        <v>1107</v>
      </c>
      <c r="H50" s="466"/>
      <c r="I50" s="467"/>
      <c r="J50" s="467"/>
      <c r="K50" s="1694">
        <f>SUM(C50:J50)</f>
        <v>157973</v>
      </c>
      <c r="L50" s="466">
        <v>164050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v>30</v>
      </c>
      <c r="E52" s="474"/>
      <c r="F52" s="474"/>
      <c r="G52" s="474"/>
      <c r="H52" s="474"/>
      <c r="I52" s="474"/>
      <c r="J52" s="474"/>
      <c r="K52" s="1694">
        <f>SUM(C52:J52)</f>
        <v>30</v>
      </c>
      <c r="L52" s="474">
        <v>15000</v>
      </c>
    </row>
    <row r="53" spans="1:14" ht="12.75" customHeight="1" thickBot="1" x14ac:dyDescent="0.25">
      <c r="A53" s="1690" t="s">
        <v>741</v>
      </c>
      <c r="B53" s="1691" t="s">
        <v>33</v>
      </c>
      <c r="C53" s="1692">
        <f>SUM(C49:C52)</f>
        <v>121813</v>
      </c>
      <c r="D53" s="1692">
        <f t="shared" ref="D53:L53" si="5">SUM(D49:D52)</f>
        <v>26948</v>
      </c>
      <c r="E53" s="1692">
        <f t="shared" si="5"/>
        <v>44416</v>
      </c>
      <c r="F53" s="1692">
        <f t="shared" si="5"/>
        <v>5653</v>
      </c>
      <c r="G53" s="1692">
        <f t="shared" si="5"/>
        <v>5154</v>
      </c>
      <c r="H53" s="1692">
        <f t="shared" si="5"/>
        <v>0</v>
      </c>
      <c r="I53" s="1692">
        <f t="shared" si="5"/>
        <v>0</v>
      </c>
      <c r="J53" s="1692">
        <f t="shared" si="5"/>
        <v>0</v>
      </c>
      <c r="K53" s="1692">
        <f t="shared" si="5"/>
        <v>203984</v>
      </c>
      <c r="L53" s="1692">
        <f t="shared" si="5"/>
        <v>255550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416988</v>
      </c>
      <c r="D55" s="481">
        <v>106434</v>
      </c>
      <c r="E55" s="481">
        <v>40611</v>
      </c>
      <c r="F55" s="481">
        <v>2270</v>
      </c>
      <c r="G55" s="481"/>
      <c r="H55" s="481">
        <v>1372</v>
      </c>
      <c r="I55" s="467"/>
      <c r="J55" s="467"/>
      <c r="K55" s="1694">
        <f>SUM(C55:J55)</f>
        <v>567675</v>
      </c>
      <c r="L55" s="481">
        <v>600500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416988</v>
      </c>
      <c r="D57" s="1696">
        <f t="shared" ref="D57:K57" si="6">SUM(D55:D56)</f>
        <v>106434</v>
      </c>
      <c r="E57" s="1696">
        <f t="shared" si="6"/>
        <v>40611</v>
      </c>
      <c r="F57" s="1696">
        <f t="shared" si="6"/>
        <v>2270</v>
      </c>
      <c r="G57" s="1696">
        <f t="shared" si="6"/>
        <v>0</v>
      </c>
      <c r="H57" s="1696">
        <f t="shared" si="6"/>
        <v>1372</v>
      </c>
      <c r="I57" s="1696">
        <f t="shared" si="6"/>
        <v>0</v>
      </c>
      <c r="J57" s="1696">
        <f t="shared" si="6"/>
        <v>0</v>
      </c>
      <c r="K57" s="1696">
        <f t="shared" si="6"/>
        <v>567675</v>
      </c>
      <c r="L57" s="1692">
        <f>SUM(L55:L56)</f>
        <v>600500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27631</v>
      </c>
      <c r="D60" s="466">
        <v>5727</v>
      </c>
      <c r="E60" s="466">
        <v>3185</v>
      </c>
      <c r="F60" s="466">
        <v>1304</v>
      </c>
      <c r="G60" s="466"/>
      <c r="H60" s="466"/>
      <c r="I60" s="467"/>
      <c r="J60" s="467"/>
      <c r="K60" s="1694">
        <f t="shared" si="7"/>
        <v>37847</v>
      </c>
      <c r="L60" s="466">
        <v>43000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255046</v>
      </c>
      <c r="D63" s="466">
        <v>67690</v>
      </c>
      <c r="E63" s="466">
        <v>5586</v>
      </c>
      <c r="F63" s="466">
        <v>210129</v>
      </c>
      <c r="G63" s="466"/>
      <c r="H63" s="466">
        <v>1115</v>
      </c>
      <c r="I63" s="467"/>
      <c r="J63" s="467"/>
      <c r="K63" s="1694">
        <f t="shared" si="7"/>
        <v>539566</v>
      </c>
      <c r="L63" s="466">
        <v>619750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282677</v>
      </c>
      <c r="D65" s="1692">
        <f t="shared" ref="D65:L65" si="8">SUM(D59:D64)</f>
        <v>73417</v>
      </c>
      <c r="E65" s="1692">
        <f t="shared" si="8"/>
        <v>8771</v>
      </c>
      <c r="F65" s="1692">
        <f t="shared" si="8"/>
        <v>211433</v>
      </c>
      <c r="G65" s="1692">
        <f t="shared" si="8"/>
        <v>0</v>
      </c>
      <c r="H65" s="1692">
        <f t="shared" si="8"/>
        <v>1115</v>
      </c>
      <c r="I65" s="1692">
        <f t="shared" si="8"/>
        <v>0</v>
      </c>
      <c r="J65" s="1692">
        <f t="shared" si="8"/>
        <v>0</v>
      </c>
      <c r="K65" s="1692">
        <f t="shared" si="8"/>
        <v>577413</v>
      </c>
      <c r="L65" s="1692">
        <f t="shared" si="8"/>
        <v>662750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v>705</v>
      </c>
      <c r="G73" s="573"/>
      <c r="H73" s="573"/>
      <c r="I73" s="531"/>
      <c r="J73" s="531"/>
      <c r="K73" s="1692">
        <f>SUM(C73:J73)</f>
        <v>705</v>
      </c>
      <c r="L73" s="576">
        <v>800</v>
      </c>
      <c r="M73" s="610"/>
      <c r="N73" s="610"/>
    </row>
    <row r="74" spans="1:14" ht="12.75" customHeight="1" thickTop="1" thickBot="1" x14ac:dyDescent="0.25">
      <c r="A74" s="1690" t="s">
        <v>865</v>
      </c>
      <c r="B74" s="1698">
        <v>2000</v>
      </c>
      <c r="C74" s="1699">
        <f>SUM(C42,C47,C53,C57,C65,C72,C73)</f>
        <v>1108936</v>
      </c>
      <c r="D74" s="1699">
        <f t="shared" ref="D74:K74" si="10">SUM(D42,D47,D53,D57,D65,D72,D73)</f>
        <v>284170</v>
      </c>
      <c r="E74" s="1699">
        <f t="shared" si="10"/>
        <v>234265</v>
      </c>
      <c r="F74" s="1699">
        <f t="shared" si="10"/>
        <v>272779</v>
      </c>
      <c r="G74" s="1699">
        <f t="shared" si="10"/>
        <v>8373</v>
      </c>
      <c r="H74" s="1699">
        <f t="shared" si="10"/>
        <v>2487</v>
      </c>
      <c r="I74" s="1699">
        <f t="shared" si="10"/>
        <v>0</v>
      </c>
      <c r="J74" s="1699">
        <f t="shared" si="10"/>
        <v>0</v>
      </c>
      <c r="K74" s="1699">
        <f t="shared" si="10"/>
        <v>1911010</v>
      </c>
      <c r="L74" s="1699">
        <f>SUM(L42,L47,L53,L57,L65,L72,L73)</f>
        <v>2147100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2865</v>
      </c>
      <c r="I78" s="477"/>
      <c r="J78" s="477"/>
      <c r="K78" s="1693">
        <f t="shared" ref="K78:K83" si="11">SUM(C78:J78)</f>
        <v>2865</v>
      </c>
      <c r="L78" s="481">
        <v>4000</v>
      </c>
    </row>
    <row r="79" spans="1:14" x14ac:dyDescent="0.2">
      <c r="A79" s="1526" t="s">
        <v>322</v>
      </c>
      <c r="B79" s="615">
        <v>4120</v>
      </c>
      <c r="C79" s="617"/>
      <c r="D79" s="617"/>
      <c r="E79" s="466"/>
      <c r="F79" s="617"/>
      <c r="G79" s="617"/>
      <c r="H79" s="466">
        <v>1014676</v>
      </c>
      <c r="I79" s="477"/>
      <c r="J79" s="477"/>
      <c r="K79" s="1693">
        <f t="shared" si="11"/>
        <v>1014676</v>
      </c>
      <c r="L79" s="466">
        <v>1150000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38250</v>
      </c>
      <c r="I81" s="477"/>
      <c r="J81" s="477"/>
      <c r="K81" s="1693">
        <f t="shared" si="11"/>
        <v>38250</v>
      </c>
      <c r="L81" s="466">
        <v>40000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1055791</v>
      </c>
      <c r="I84" s="477"/>
      <c r="J84" s="477"/>
      <c r="K84" s="1692">
        <f>SUM(K78:K83)</f>
        <v>1055791</v>
      </c>
      <c r="L84" s="1692">
        <f>SUM(L78:L83)</f>
        <v>1194000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v>9320</v>
      </c>
      <c r="I89" s="477"/>
      <c r="J89" s="477"/>
      <c r="K89" s="1699">
        <f t="shared" si="12"/>
        <v>9320</v>
      </c>
      <c r="L89" s="530">
        <v>12000</v>
      </c>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9320</v>
      </c>
      <c r="I92" s="477"/>
      <c r="J92" s="477"/>
      <c r="K92" s="1699">
        <f t="shared" si="12"/>
        <v>9320</v>
      </c>
      <c r="L92" s="1692">
        <f>SUM(L85:L91)</f>
        <v>12000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1065111</v>
      </c>
      <c r="I102" s="477"/>
      <c r="J102" s="477"/>
      <c r="K102" s="1699">
        <f>SUM(K84,K92,K100,K101)</f>
        <v>1065111</v>
      </c>
      <c r="L102" s="1699">
        <f>SUM(L84,L92,L100,L101)</f>
        <v>1206000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5152824</v>
      </c>
      <c r="D114" s="1692">
        <f t="shared" ref="D114:K114" si="13">SUM(D33,D74,D75,D102,D112,D113)</f>
        <v>1353473</v>
      </c>
      <c r="E114" s="1692">
        <f t="shared" si="13"/>
        <v>283078</v>
      </c>
      <c r="F114" s="1692">
        <f t="shared" si="13"/>
        <v>679973</v>
      </c>
      <c r="G114" s="1692">
        <f t="shared" si="13"/>
        <v>53263</v>
      </c>
      <c r="H114" s="1692">
        <f>SUM(H33,H74,H75,H102,H112,H113)</f>
        <v>1071509</v>
      </c>
      <c r="I114" s="1692">
        <f t="shared" si="13"/>
        <v>0</v>
      </c>
      <c r="J114" s="1692">
        <f t="shared" si="13"/>
        <v>0</v>
      </c>
      <c r="K114" s="1692">
        <f t="shared" si="13"/>
        <v>8594120</v>
      </c>
      <c r="L114" s="1692">
        <f>SUM(L33,L74,L75,L102,L112,L113)</f>
        <v>9361565</v>
      </c>
    </row>
    <row r="115" spans="1:14" ht="13.5" thickTop="1" x14ac:dyDescent="0.2">
      <c r="A115" s="2201" t="s">
        <v>1053</v>
      </c>
      <c r="B115" s="2202"/>
      <c r="C115" s="619"/>
      <c r="D115" s="619"/>
      <c r="E115" s="619"/>
      <c r="F115" s="619"/>
      <c r="G115" s="619"/>
      <c r="H115" s="619"/>
      <c r="I115" s="619"/>
      <c r="J115" s="619"/>
      <c r="K115" s="1706">
        <f>'Revenues 9-14'!C275-'Expenditures 15-22'!K114</f>
        <v>643839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v>2000</v>
      </c>
      <c r="F123" s="466"/>
      <c r="G123" s="466"/>
      <c r="H123" s="466"/>
      <c r="I123" s="467"/>
      <c r="J123" s="467"/>
      <c r="K123" s="1692">
        <f>SUM(C123:J123)</f>
        <v>2000</v>
      </c>
      <c r="L123" s="466">
        <v>5000</v>
      </c>
    </row>
    <row r="124" spans="1:14" ht="14.25" thickTop="1" thickBot="1" x14ac:dyDescent="0.25">
      <c r="A124" s="1526" t="s">
        <v>206</v>
      </c>
      <c r="B124" s="615">
        <v>2540</v>
      </c>
      <c r="C124" s="466">
        <v>267139</v>
      </c>
      <c r="D124" s="466">
        <v>59546</v>
      </c>
      <c r="E124" s="466">
        <v>429132</v>
      </c>
      <c r="F124" s="466">
        <v>165857</v>
      </c>
      <c r="G124" s="466">
        <v>63118</v>
      </c>
      <c r="H124" s="466"/>
      <c r="I124" s="467"/>
      <c r="J124" s="467"/>
      <c r="K124" s="1692">
        <f>SUM(C124:J124)</f>
        <v>984792</v>
      </c>
      <c r="L124" s="466">
        <v>1199150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267139</v>
      </c>
      <c r="D127" s="1692">
        <f t="shared" ref="D127:L127" si="14">SUM(D122:D126)</f>
        <v>59546</v>
      </c>
      <c r="E127" s="1692">
        <f t="shared" si="14"/>
        <v>431132</v>
      </c>
      <c r="F127" s="1692">
        <f t="shared" si="14"/>
        <v>165857</v>
      </c>
      <c r="G127" s="1692">
        <f t="shared" si="14"/>
        <v>63118</v>
      </c>
      <c r="H127" s="1692">
        <f t="shared" si="14"/>
        <v>0</v>
      </c>
      <c r="I127" s="1692">
        <f t="shared" si="14"/>
        <v>0</v>
      </c>
      <c r="J127" s="1692">
        <f t="shared" si="14"/>
        <v>0</v>
      </c>
      <c r="K127" s="1692">
        <f t="shared" si="14"/>
        <v>986792</v>
      </c>
      <c r="L127" s="1692">
        <f t="shared" si="14"/>
        <v>1204150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267139</v>
      </c>
      <c r="D129" s="1699">
        <f t="shared" ref="D129:L129" si="15">SUM(D120,D127,D128)</f>
        <v>59546</v>
      </c>
      <c r="E129" s="1699">
        <f t="shared" si="15"/>
        <v>431132</v>
      </c>
      <c r="F129" s="1699">
        <f t="shared" si="15"/>
        <v>165857</v>
      </c>
      <c r="G129" s="1699">
        <f t="shared" si="15"/>
        <v>63118</v>
      </c>
      <c r="H129" s="1699">
        <f t="shared" si="15"/>
        <v>0</v>
      </c>
      <c r="I129" s="1699">
        <f t="shared" si="15"/>
        <v>0</v>
      </c>
      <c r="J129" s="1699">
        <f t="shared" si="15"/>
        <v>0</v>
      </c>
      <c r="K129" s="1699">
        <f t="shared" si="15"/>
        <v>986792</v>
      </c>
      <c r="L129" s="1699">
        <f t="shared" si="15"/>
        <v>1204150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1954</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3"/>
      <c r="C151" s="1692">
        <f>SUM(C129,C130,C139,C149,C150)</f>
        <v>267139</v>
      </c>
      <c r="D151" s="1692">
        <f t="shared" ref="D151:K151" si="16">SUM(D129,D130,D139,D149,D150)</f>
        <v>59546</v>
      </c>
      <c r="E151" s="1692">
        <f t="shared" si="16"/>
        <v>431132</v>
      </c>
      <c r="F151" s="1692">
        <f t="shared" si="16"/>
        <v>165857</v>
      </c>
      <c r="G151" s="1692">
        <f t="shared" si="16"/>
        <v>63118</v>
      </c>
      <c r="H151" s="1692">
        <f t="shared" si="16"/>
        <v>0</v>
      </c>
      <c r="I151" s="1692">
        <f t="shared" si="16"/>
        <v>0</v>
      </c>
      <c r="J151" s="1692">
        <f t="shared" si="16"/>
        <v>0</v>
      </c>
      <c r="K151" s="1692">
        <f t="shared" si="16"/>
        <v>986792</v>
      </c>
      <c r="L151" s="1692">
        <f>SUM(L129,L130,L139,L149,L150)</f>
        <v>1204150</v>
      </c>
    </row>
    <row r="152" spans="1:14" ht="12.75" customHeight="1" thickTop="1" x14ac:dyDescent="0.2">
      <c r="A152" s="2194" t="s">
        <v>1240</v>
      </c>
      <c r="B152" s="2195"/>
      <c r="C152" s="619"/>
      <c r="D152" s="619"/>
      <c r="E152" s="619"/>
      <c r="F152" s="619"/>
      <c r="G152" s="619"/>
      <c r="H152" s="619"/>
      <c r="I152" s="619"/>
      <c r="J152" s="617"/>
      <c r="K152" s="1706">
        <f>'Revenues 9-14'!D275-'Expenditures 15-22'!K151</f>
        <v>-143078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1954</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1956</v>
      </c>
      <c r="C158" s="617"/>
      <c r="D158" s="617"/>
      <c r="E158" s="617"/>
      <c r="F158" s="617"/>
      <c r="G158" s="617"/>
      <c r="H158" s="467"/>
      <c r="I158" s="617"/>
      <c r="J158" s="617"/>
      <c r="K158" s="1693">
        <f>H158</f>
        <v>0</v>
      </c>
      <c r="L158" s="467"/>
      <c r="M158" s="620"/>
      <c r="N158" s="620"/>
    </row>
    <row r="159" spans="1:14" s="621" customFormat="1" ht="12" x14ac:dyDescent="0.2">
      <c r="A159" s="1849" t="s">
        <v>1957</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1958</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56462</v>
      </c>
      <c r="I169" s="617"/>
      <c r="J169" s="617"/>
      <c r="K169" s="1693">
        <f>SUM(C169:H169)</f>
        <v>56462</v>
      </c>
      <c r="L169" s="657">
        <v>56500</v>
      </c>
    </row>
    <row r="170" spans="1:14" ht="33.75" customHeight="1" x14ac:dyDescent="0.2">
      <c r="A170" s="670" t="s">
        <v>1769</v>
      </c>
      <c r="B170" s="672" t="s">
        <v>31</v>
      </c>
      <c r="C170" s="617"/>
      <c r="D170" s="617"/>
      <c r="E170" s="617"/>
      <c r="F170" s="617"/>
      <c r="G170" s="617"/>
      <c r="H170" s="569">
        <v>299000</v>
      </c>
      <c r="I170" s="617"/>
      <c r="J170" s="617"/>
      <c r="K170" s="1693">
        <f>SUM(C170:J170)</f>
        <v>299000</v>
      </c>
      <c r="L170" s="569">
        <v>299000</v>
      </c>
    </row>
    <row r="171" spans="1:14" ht="15.75" customHeight="1" x14ac:dyDescent="0.2">
      <c r="A171" s="622" t="s">
        <v>790</v>
      </c>
      <c r="B171" s="673" t="s">
        <v>86</v>
      </c>
      <c r="C171" s="617"/>
      <c r="D171" s="617"/>
      <c r="E171" s="466"/>
      <c r="F171" s="617"/>
      <c r="G171" s="617"/>
      <c r="H171" s="569">
        <v>700</v>
      </c>
      <c r="I171" s="477"/>
      <c r="J171" s="617"/>
      <c r="K171" s="1693">
        <f>SUM(C171:J171)</f>
        <v>700</v>
      </c>
      <c r="L171" s="569">
        <v>700</v>
      </c>
    </row>
    <row r="172" spans="1:14" ht="12.75" customHeight="1" thickBot="1" x14ac:dyDescent="0.25">
      <c r="A172" s="1690" t="s">
        <v>659</v>
      </c>
      <c r="B172" s="1691" t="s">
        <v>513</v>
      </c>
      <c r="C172" s="617"/>
      <c r="D172" s="617"/>
      <c r="E172" s="1699">
        <f>SUM(E168,E169,E170,E171)</f>
        <v>0</v>
      </c>
      <c r="F172" s="617"/>
      <c r="G172" s="617"/>
      <c r="H172" s="1699">
        <f>SUM(H168,H169,H170,H171)</f>
        <v>356162</v>
      </c>
      <c r="I172" s="639"/>
      <c r="J172" s="617"/>
      <c r="K172" s="1699">
        <f>SUM(K168,K169,K170,K171)</f>
        <v>356162</v>
      </c>
      <c r="L172" s="1699">
        <f>SUM(L168,L169,L170,L171)</f>
        <v>356200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356162</v>
      </c>
      <c r="I174" s="639"/>
      <c r="J174" s="617"/>
      <c r="K174" s="1699">
        <f>SUM(K160,K172,K173)</f>
        <v>356162</v>
      </c>
      <c r="L174" s="1699">
        <f>SUM(L160,L172,L173)</f>
        <v>356200</v>
      </c>
    </row>
    <row r="175" spans="1:14" ht="13.5" thickTop="1" x14ac:dyDescent="0.2">
      <c r="A175" s="2201" t="s">
        <v>1053</v>
      </c>
      <c r="B175" s="2202"/>
      <c r="C175" s="617"/>
      <c r="D175" s="617"/>
      <c r="E175" s="617"/>
      <c r="F175" s="617"/>
      <c r="G175" s="617"/>
      <c r="H175" s="619"/>
      <c r="I175" s="617"/>
      <c r="J175" s="617"/>
      <c r="K175" s="1706">
        <f>'Revenues 9-14'!E275-'Expenditures 15-22'!K174</f>
        <v>117656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142586</v>
      </c>
      <c r="D182" s="466">
        <v>10150</v>
      </c>
      <c r="E182" s="466">
        <v>92968</v>
      </c>
      <c r="F182" s="466">
        <v>32462</v>
      </c>
      <c r="G182" s="466"/>
      <c r="H182" s="466"/>
      <c r="I182" s="467"/>
      <c r="J182" s="467"/>
      <c r="K182" s="1693">
        <f>SUM(C182:J182)</f>
        <v>278166</v>
      </c>
      <c r="L182" s="466">
        <v>362300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142586</v>
      </c>
      <c r="D184" s="1699">
        <f t="shared" ref="D184:J184" si="17">SUM(D180,D182,D183)</f>
        <v>10150</v>
      </c>
      <c r="E184" s="1699">
        <f t="shared" si="17"/>
        <v>92968</v>
      </c>
      <c r="F184" s="1699">
        <f t="shared" si="17"/>
        <v>32462</v>
      </c>
      <c r="G184" s="1699">
        <f t="shared" si="17"/>
        <v>0</v>
      </c>
      <c r="H184" s="1699">
        <f t="shared" si="17"/>
        <v>0</v>
      </c>
      <c r="I184" s="1699">
        <f t="shared" si="17"/>
        <v>0</v>
      </c>
      <c r="J184" s="1699">
        <f t="shared" si="17"/>
        <v>0</v>
      </c>
      <c r="K184" s="1699">
        <f>SUM(K180,K182,K183)</f>
        <v>278166</v>
      </c>
      <c r="L184" s="1699">
        <f>SUM(L180, L182:L183)</f>
        <v>362300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v>188019</v>
      </c>
      <c r="I189" s="477"/>
      <c r="J189" s="617"/>
      <c r="K189" s="1693">
        <f t="shared" si="18"/>
        <v>188019</v>
      </c>
      <c r="L189" s="466">
        <v>225000</v>
      </c>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188019</v>
      </c>
      <c r="I194" s="477"/>
      <c r="J194" s="617"/>
      <c r="K194" s="1692">
        <f>SUM(K188:K193)</f>
        <v>188019</v>
      </c>
      <c r="L194" s="1692">
        <f>SUM(L188:L193)</f>
        <v>225000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188019</v>
      </c>
      <c r="I196" s="477"/>
      <c r="J196" s="617"/>
      <c r="K196" s="1699">
        <f>SUM(K194,K195)</f>
        <v>188019</v>
      </c>
      <c r="L196" s="1699">
        <f>SUM(L194,L195)</f>
        <v>225000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142586</v>
      </c>
      <c r="D210" s="1692">
        <f>SUM(D184,D185)</f>
        <v>10150</v>
      </c>
      <c r="E210" s="1692">
        <f>SUM(E184,E185,E196)</f>
        <v>92968</v>
      </c>
      <c r="F210" s="1692">
        <f>SUM(F184,F185)</f>
        <v>32462</v>
      </c>
      <c r="G210" s="1692">
        <f>SUM(G184,G185)</f>
        <v>0</v>
      </c>
      <c r="H210" s="1692">
        <f>SUM(H184,H185,H196,H208,H209)</f>
        <v>188019</v>
      </c>
      <c r="I210" s="1692">
        <f>SUM(I184,I185)</f>
        <v>0</v>
      </c>
      <c r="J210" s="1692">
        <f>SUM(J184,J185)</f>
        <v>0</v>
      </c>
      <c r="K210" s="1693">
        <f>SUM(K184,K185,K196,K208,K209)</f>
        <v>466185</v>
      </c>
      <c r="L210" s="1692">
        <f>SUM(L184,L185,L196,L208,L209)</f>
        <v>587300</v>
      </c>
    </row>
    <row r="211" spans="1:14" ht="13.5" thickTop="1" x14ac:dyDescent="0.2">
      <c r="A211" s="2201" t="s">
        <v>1053</v>
      </c>
      <c r="B211" s="2202"/>
      <c r="C211" s="619"/>
      <c r="D211" s="619"/>
      <c r="E211" s="619"/>
      <c r="F211" s="619"/>
      <c r="G211" s="619"/>
      <c r="H211" s="619"/>
      <c r="I211" s="617"/>
      <c r="J211" s="617"/>
      <c r="K211" s="1706">
        <f>'Revenues 9-14'!F275-'Expenditures 15-22'!K210</f>
        <v>112925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51403</v>
      </c>
      <c r="E215" s="617"/>
      <c r="F215" s="617"/>
      <c r="G215" s="617"/>
      <c r="H215" s="617"/>
      <c r="I215" s="617"/>
      <c r="J215" s="617"/>
      <c r="K215" s="1693">
        <f>D215</f>
        <v>51403</v>
      </c>
      <c r="L215" s="466">
        <v>58500</v>
      </c>
    </row>
    <row r="216" spans="1:14" x14ac:dyDescent="0.2">
      <c r="A216" s="1526" t="s">
        <v>165</v>
      </c>
      <c r="B216" s="615" t="s">
        <v>1024</v>
      </c>
      <c r="C216" s="617"/>
      <c r="D216" s="467">
        <v>3347</v>
      </c>
      <c r="E216" s="617"/>
      <c r="F216" s="617"/>
      <c r="G216" s="617"/>
      <c r="H216" s="617"/>
      <c r="I216" s="617"/>
      <c r="J216" s="617"/>
      <c r="K216" s="1693">
        <f t="shared" ref="K216:K228" si="19">D216</f>
        <v>3347</v>
      </c>
      <c r="L216" s="466">
        <v>3750</v>
      </c>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16611</v>
      </c>
      <c r="E219" s="617"/>
      <c r="F219" s="617"/>
      <c r="G219" s="617"/>
      <c r="H219" s="617"/>
      <c r="I219" s="617"/>
      <c r="J219" s="617"/>
      <c r="K219" s="1693">
        <f t="shared" si="19"/>
        <v>16611</v>
      </c>
      <c r="L219" s="466">
        <v>23500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2523</v>
      </c>
      <c r="E222" s="617"/>
      <c r="F222" s="617"/>
      <c r="G222" s="617"/>
      <c r="H222" s="617"/>
      <c r="I222" s="617"/>
      <c r="J222" s="617"/>
      <c r="K222" s="1693">
        <f t="shared" si="19"/>
        <v>2523</v>
      </c>
      <c r="L222" s="466">
        <v>2600</v>
      </c>
    </row>
    <row r="223" spans="1:14" x14ac:dyDescent="0.2">
      <c r="A223" s="1526" t="s">
        <v>1020</v>
      </c>
      <c r="B223" s="615">
        <v>1500</v>
      </c>
      <c r="C223" s="617"/>
      <c r="D223" s="466">
        <v>5696</v>
      </c>
      <c r="E223" s="617"/>
      <c r="F223" s="617"/>
      <c r="G223" s="617"/>
      <c r="H223" s="617"/>
      <c r="I223" s="617"/>
      <c r="J223" s="617"/>
      <c r="K223" s="1693">
        <f t="shared" si="19"/>
        <v>5696</v>
      </c>
      <c r="L223" s="466">
        <v>8550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975</v>
      </c>
      <c r="E226" s="617"/>
      <c r="F226" s="617"/>
      <c r="G226" s="617"/>
      <c r="H226" s="617"/>
      <c r="I226" s="617"/>
      <c r="J226" s="617"/>
      <c r="K226" s="1693">
        <f t="shared" si="19"/>
        <v>975</v>
      </c>
      <c r="L226" s="466">
        <v>1200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80555</v>
      </c>
      <c r="E229" s="617"/>
      <c r="F229" s="617"/>
      <c r="G229" s="617"/>
      <c r="H229" s="617"/>
      <c r="I229" s="617"/>
      <c r="J229" s="617"/>
      <c r="K229" s="1692">
        <f>SUM(K215:K228)</f>
        <v>80555</v>
      </c>
      <c r="L229" s="1692">
        <f>SUM(L215:L228)</f>
        <v>98100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1718</v>
      </c>
      <c r="E233" s="617"/>
      <c r="F233" s="617"/>
      <c r="G233" s="617"/>
      <c r="H233" s="617"/>
      <c r="I233" s="617"/>
      <c r="J233" s="617"/>
      <c r="K233" s="1693">
        <f t="shared" si="20"/>
        <v>1718</v>
      </c>
      <c r="L233" s="466">
        <v>2200</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v>33</v>
      </c>
      <c r="E237" s="617"/>
      <c r="F237" s="617"/>
      <c r="G237" s="617"/>
      <c r="H237" s="617"/>
      <c r="I237" s="617"/>
      <c r="J237" s="617"/>
      <c r="K237" s="1693">
        <f t="shared" si="20"/>
        <v>33</v>
      </c>
      <c r="L237" s="466">
        <v>50</v>
      </c>
    </row>
    <row r="238" spans="1:12" ht="12.75" customHeight="1" thickBot="1" x14ac:dyDescent="0.25">
      <c r="A238" s="1690" t="s">
        <v>581</v>
      </c>
      <c r="B238" s="1697" t="s">
        <v>740</v>
      </c>
      <c r="C238" s="617"/>
      <c r="D238" s="1692">
        <f>SUM(D232:D237)</f>
        <v>1751</v>
      </c>
      <c r="E238" s="617"/>
      <c r="F238" s="617"/>
      <c r="G238" s="617"/>
      <c r="H238" s="617"/>
      <c r="I238" s="617"/>
      <c r="J238" s="617"/>
      <c r="K238" s="1692">
        <f>SUM(K232:K237)</f>
        <v>1751</v>
      </c>
      <c r="L238" s="1692">
        <f>SUM(L232:L237)</f>
        <v>2250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1154</v>
      </c>
      <c r="E240" s="617"/>
      <c r="F240" s="617"/>
      <c r="G240" s="617"/>
      <c r="H240" s="617"/>
      <c r="I240" s="617"/>
      <c r="J240" s="617"/>
      <c r="K240" s="1694">
        <f>D240</f>
        <v>1154</v>
      </c>
      <c r="L240" s="481"/>
    </row>
    <row r="241" spans="1:12" x14ac:dyDescent="0.2">
      <c r="A241" s="1526" t="s">
        <v>869</v>
      </c>
      <c r="B241" s="615">
        <v>2220</v>
      </c>
      <c r="C241" s="617"/>
      <c r="D241" s="466">
        <v>5871</v>
      </c>
      <c r="E241" s="617"/>
      <c r="F241" s="617"/>
      <c r="G241" s="617"/>
      <c r="H241" s="617"/>
      <c r="I241" s="617"/>
      <c r="J241" s="617"/>
      <c r="K241" s="1694">
        <f>D241</f>
        <v>5871</v>
      </c>
      <c r="L241" s="466">
        <v>7350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7025</v>
      </c>
      <c r="E243" s="617"/>
      <c r="F243" s="617"/>
      <c r="G243" s="617"/>
      <c r="H243" s="617"/>
      <c r="I243" s="617"/>
      <c r="J243" s="617"/>
      <c r="K243" s="1692">
        <f>SUM(K240:K242)</f>
        <v>7025</v>
      </c>
      <c r="L243" s="1692">
        <f>SUM(L240:L242)</f>
        <v>7350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4751</v>
      </c>
      <c r="E246" s="617"/>
      <c r="F246" s="617"/>
      <c r="G246" s="617"/>
      <c r="H246" s="617"/>
      <c r="I246" s="617"/>
      <c r="J246" s="617"/>
      <c r="K246" s="1694">
        <f t="shared" ref="K246:K256" si="21">D246</f>
        <v>4751</v>
      </c>
      <c r="L246" s="466">
        <v>5450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1906</v>
      </c>
      <c r="B249" s="684" t="s">
        <v>300</v>
      </c>
      <c r="C249" s="617"/>
      <c r="D249" s="474"/>
      <c r="E249" s="617"/>
      <c r="F249" s="617"/>
      <c r="G249" s="617"/>
      <c r="H249" s="617"/>
      <c r="I249" s="617"/>
      <c r="J249" s="617"/>
      <c r="K249" s="1694">
        <f t="shared" si="21"/>
        <v>0</v>
      </c>
      <c r="L249" s="466"/>
    </row>
    <row r="250" spans="1:12" x14ac:dyDescent="0.2">
      <c r="A250" s="1527" t="s">
        <v>1907</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13605</v>
      </c>
      <c r="E254" s="617"/>
      <c r="F254" s="617"/>
      <c r="G254" s="617"/>
      <c r="H254" s="617"/>
      <c r="I254" s="617"/>
      <c r="J254" s="617"/>
      <c r="K254" s="1694">
        <f t="shared" si="21"/>
        <v>13605</v>
      </c>
      <c r="L254" s="466">
        <v>16100</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18356</v>
      </c>
      <c r="E257" s="617"/>
      <c r="F257" s="617"/>
      <c r="G257" s="617"/>
      <c r="H257" s="617"/>
      <c r="I257" s="617"/>
      <c r="J257" s="617"/>
      <c r="K257" s="1692">
        <f>SUM(K245:K256)</f>
        <v>18356</v>
      </c>
      <c r="L257" s="1692">
        <f>SUM(L245:L256)</f>
        <v>21550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22870</v>
      </c>
      <c r="E259" s="617"/>
      <c r="F259" s="617"/>
      <c r="G259" s="617"/>
      <c r="H259" s="617"/>
      <c r="I259" s="617"/>
      <c r="J259" s="617"/>
      <c r="K259" s="1694">
        <f>D259</f>
        <v>22870</v>
      </c>
      <c r="L259" s="481">
        <v>27750</v>
      </c>
    </row>
    <row r="260" spans="1:14" s="598" customFormat="1" x14ac:dyDescent="0.2">
      <c r="A260" s="1544" t="s">
        <v>1905</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22870</v>
      </c>
      <c r="E261" s="617"/>
      <c r="F261" s="617"/>
      <c r="G261" s="617"/>
      <c r="H261" s="617"/>
      <c r="I261" s="617"/>
      <c r="J261" s="617"/>
      <c r="K261" s="1692">
        <f>SUM(K259:K260)</f>
        <v>22870</v>
      </c>
      <c r="L261" s="1692">
        <f>SUM(L259:L260)</f>
        <v>27750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3541</v>
      </c>
      <c r="E264" s="617"/>
      <c r="F264" s="617"/>
      <c r="G264" s="617"/>
      <c r="H264" s="617"/>
      <c r="I264" s="617"/>
      <c r="J264" s="617"/>
      <c r="K264" s="1694">
        <f t="shared" ref="K264:K269" si="22">D264</f>
        <v>3541</v>
      </c>
      <c r="L264" s="466">
        <v>4000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33355</v>
      </c>
      <c r="E266" s="617"/>
      <c r="F266" s="617"/>
      <c r="G266" s="617"/>
      <c r="H266" s="617"/>
      <c r="I266" s="617"/>
      <c r="J266" s="617"/>
      <c r="K266" s="1694">
        <f t="shared" si="22"/>
        <v>33355</v>
      </c>
      <c r="L266" s="466">
        <v>39050</v>
      </c>
    </row>
    <row r="267" spans="1:14" x14ac:dyDescent="0.2">
      <c r="A267" s="1526" t="s">
        <v>1010</v>
      </c>
      <c r="B267" s="615">
        <v>2550</v>
      </c>
      <c r="C267" s="617"/>
      <c r="D267" s="466">
        <v>16498</v>
      </c>
      <c r="E267" s="617"/>
      <c r="F267" s="617"/>
      <c r="G267" s="617"/>
      <c r="H267" s="617"/>
      <c r="I267" s="617"/>
      <c r="J267" s="617"/>
      <c r="K267" s="1694">
        <f t="shared" si="22"/>
        <v>16498</v>
      </c>
      <c r="L267" s="466">
        <v>24000</v>
      </c>
    </row>
    <row r="268" spans="1:14" x14ac:dyDescent="0.2">
      <c r="A268" s="1526" t="s">
        <v>102</v>
      </c>
      <c r="B268" s="615">
        <v>2560</v>
      </c>
      <c r="C268" s="617"/>
      <c r="D268" s="466">
        <v>29694</v>
      </c>
      <c r="E268" s="617"/>
      <c r="F268" s="617"/>
      <c r="G268" s="617"/>
      <c r="H268" s="617"/>
      <c r="I268" s="617"/>
      <c r="J268" s="617"/>
      <c r="K268" s="1694">
        <f t="shared" si="22"/>
        <v>29694</v>
      </c>
      <c r="L268" s="466">
        <v>33000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83088</v>
      </c>
      <c r="E270" s="617"/>
      <c r="F270" s="617"/>
      <c r="G270" s="617"/>
      <c r="H270" s="617"/>
      <c r="I270" s="617"/>
      <c r="J270" s="617"/>
      <c r="K270" s="1692">
        <f>SUM(K263:K269)</f>
        <v>83088</v>
      </c>
      <c r="L270" s="1692">
        <f>SUM(L263:L269)</f>
        <v>100050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133090</v>
      </c>
      <c r="E279" s="617"/>
      <c r="F279" s="617"/>
      <c r="G279" s="617"/>
      <c r="H279" s="617"/>
      <c r="I279" s="617"/>
      <c r="J279" s="617"/>
      <c r="K279" s="1699">
        <f>SUM(K238,K243,K257,K261,K270,K277,K278)</f>
        <v>133090</v>
      </c>
      <c r="L279" s="1699">
        <f>SUM(L238,L243,L257,L261,L270,L277,L278)</f>
        <v>158950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1954</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213645</v>
      </c>
      <c r="E295" s="617"/>
      <c r="F295" s="617"/>
      <c r="G295" s="617"/>
      <c r="H295" s="1692">
        <f>H293</f>
        <v>0</v>
      </c>
      <c r="I295" s="617"/>
      <c r="J295" s="617"/>
      <c r="K295" s="1692">
        <f>SUM(K229,K279,K280,K285,K293,K294)</f>
        <v>213645</v>
      </c>
      <c r="L295" s="1692">
        <f>SUM(L229,L279,L280,L285,L293,L294)</f>
        <v>257050</v>
      </c>
    </row>
    <row r="296" spans="1:14" ht="13.5" thickTop="1" x14ac:dyDescent="0.2">
      <c r="A296" s="2201" t="s">
        <v>1053</v>
      </c>
      <c r="B296" s="2202"/>
      <c r="C296" s="617"/>
      <c r="D296" s="619"/>
      <c r="E296" s="617"/>
      <c r="F296" s="617"/>
      <c r="G296" s="617"/>
      <c r="H296" s="688"/>
      <c r="I296" s="617"/>
      <c r="J296" s="617"/>
      <c r="K296" s="1706">
        <f>'Revenues 9-14'!G275-'Expenditures 15-22'!K295</f>
        <v>42066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1906</v>
      </c>
      <c r="B320" s="699" t="s">
        <v>300</v>
      </c>
      <c r="C320" s="467"/>
      <c r="D320" s="467"/>
      <c r="E320" s="467">
        <v>41047</v>
      </c>
      <c r="F320" s="467"/>
      <c r="G320" s="467"/>
      <c r="H320" s="467"/>
      <c r="I320" s="467"/>
      <c r="J320" s="467"/>
      <c r="K320" s="1693">
        <f t="shared" ref="K320:K327" si="24">SUM(C320:J320)</f>
        <v>41047</v>
      </c>
      <c r="L320" s="467">
        <v>41500</v>
      </c>
      <c r="M320" s="666"/>
      <c r="N320" s="666"/>
    </row>
    <row r="321" spans="1:14" s="675" customFormat="1" x14ac:dyDescent="0.2">
      <c r="A321" s="1541" t="s">
        <v>318</v>
      </c>
      <c r="B321" s="698" t="s">
        <v>301</v>
      </c>
      <c r="C321" s="467"/>
      <c r="D321" s="467"/>
      <c r="E321" s="467">
        <v>11715</v>
      </c>
      <c r="F321" s="467"/>
      <c r="G321" s="467"/>
      <c r="H321" s="467"/>
      <c r="I321" s="467"/>
      <c r="J321" s="467"/>
      <c r="K321" s="1693">
        <f t="shared" si="24"/>
        <v>11715</v>
      </c>
      <c r="L321" s="467">
        <v>60000</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v>44223</v>
      </c>
      <c r="F323" s="467">
        <v>1298</v>
      </c>
      <c r="G323" s="467"/>
      <c r="H323" s="467"/>
      <c r="I323" s="467"/>
      <c r="J323" s="467"/>
      <c r="K323" s="1693">
        <f t="shared" si="24"/>
        <v>45521</v>
      </c>
      <c r="L323" s="467">
        <v>52500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237243</v>
      </c>
      <c r="D325" s="467">
        <v>47868</v>
      </c>
      <c r="E325" s="467">
        <v>55455</v>
      </c>
      <c r="F325" s="467"/>
      <c r="G325" s="467"/>
      <c r="H325" s="467"/>
      <c r="I325" s="467"/>
      <c r="J325" s="467"/>
      <c r="K325" s="1693">
        <f t="shared" si="24"/>
        <v>340566</v>
      </c>
      <c r="L325" s="467">
        <v>371075</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5150</v>
      </c>
      <c r="F327" s="467"/>
      <c r="G327" s="467"/>
      <c r="H327" s="467"/>
      <c r="I327" s="467"/>
      <c r="J327" s="467"/>
      <c r="K327" s="1693">
        <f t="shared" si="24"/>
        <v>5150</v>
      </c>
      <c r="L327" s="467">
        <v>10000</v>
      </c>
      <c r="M327" s="666"/>
      <c r="N327" s="666"/>
    </row>
    <row r="328" spans="1:14" s="675" customFormat="1" x14ac:dyDescent="0.2">
      <c r="A328" s="1542" t="s">
        <v>492</v>
      </c>
      <c r="B328" s="691" t="s">
        <v>1194</v>
      </c>
      <c r="C328" s="474"/>
      <c r="D328" s="474"/>
      <c r="E328" s="474">
        <v>42116</v>
      </c>
      <c r="F328" s="474"/>
      <c r="G328" s="474"/>
      <c r="H328" s="474"/>
      <c r="I328" s="474"/>
      <c r="J328" s="474"/>
      <c r="K328" s="1721">
        <f>SUM(C328:J328)</f>
        <v>42116</v>
      </c>
      <c r="L328" s="474">
        <v>43000</v>
      </c>
      <c r="M328" s="666"/>
      <c r="N328" s="666"/>
    </row>
    <row r="329" spans="1:14" s="675" customFormat="1" x14ac:dyDescent="0.2">
      <c r="A329" s="1542" t="s">
        <v>1195</v>
      </c>
      <c r="B329" s="691" t="s">
        <v>1196</v>
      </c>
      <c r="C329" s="474"/>
      <c r="D329" s="474"/>
      <c r="E329" s="474">
        <v>9579</v>
      </c>
      <c r="F329" s="474"/>
      <c r="G329" s="474"/>
      <c r="H329" s="474"/>
      <c r="I329" s="474"/>
      <c r="J329" s="474"/>
      <c r="K329" s="1721">
        <f>SUM(C329:J329)</f>
        <v>9579</v>
      </c>
      <c r="L329" s="474">
        <v>10000</v>
      </c>
      <c r="M329" s="666"/>
      <c r="N329" s="666"/>
    </row>
    <row r="330" spans="1:14" s="675" customFormat="1" ht="12.75" customHeight="1" thickBot="1" x14ac:dyDescent="0.25">
      <c r="A330" s="1722" t="s">
        <v>741</v>
      </c>
      <c r="B330" s="1691" t="s">
        <v>590</v>
      </c>
      <c r="C330" s="1692">
        <f>SUM(C319:C329)</f>
        <v>237243</v>
      </c>
      <c r="D330" s="1692">
        <f t="shared" ref="D330:J330" si="25">SUM(D319:D329)</f>
        <v>47868</v>
      </c>
      <c r="E330" s="1692">
        <f t="shared" si="25"/>
        <v>209285</v>
      </c>
      <c r="F330" s="1692">
        <f t="shared" si="25"/>
        <v>1298</v>
      </c>
      <c r="G330" s="1692">
        <f t="shared" si="25"/>
        <v>0</v>
      </c>
      <c r="H330" s="1692">
        <f t="shared" si="25"/>
        <v>0</v>
      </c>
      <c r="I330" s="1692">
        <f t="shared" si="25"/>
        <v>0</v>
      </c>
      <c r="J330" s="1692">
        <f t="shared" si="25"/>
        <v>0</v>
      </c>
      <c r="K330" s="1692">
        <f>SUM(K319:K329)</f>
        <v>495694</v>
      </c>
      <c r="L330" s="1692">
        <f>SUM(L319:L329)</f>
        <v>588075</v>
      </c>
      <c r="M330" s="666"/>
      <c r="N330" s="666"/>
    </row>
    <row r="331" spans="1:14" s="675" customFormat="1" ht="12.75" customHeight="1" thickTop="1" x14ac:dyDescent="0.2">
      <c r="A331" s="1854" t="s">
        <v>1960</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1954</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1956</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1961</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237243</v>
      </c>
      <c r="D342" s="1692">
        <f>SUM(D330)</f>
        <v>47868</v>
      </c>
      <c r="E342" s="1692">
        <f>SUM(E330)</f>
        <v>209285</v>
      </c>
      <c r="F342" s="1692">
        <f>SUM(F330)</f>
        <v>1298</v>
      </c>
      <c r="G342" s="1692">
        <f>SUM(G330)</f>
        <v>0</v>
      </c>
      <c r="H342" s="1692">
        <f>SUM(H330,H334,H340)</f>
        <v>0</v>
      </c>
      <c r="I342" s="1692">
        <f>SUM(I330)</f>
        <v>0</v>
      </c>
      <c r="J342" s="1692">
        <f>SUM(J330)</f>
        <v>0</v>
      </c>
      <c r="K342" s="1692">
        <f>SUM(K330,K334,K340)</f>
        <v>495694</v>
      </c>
      <c r="L342" s="1699">
        <f>SUM(L330,L340,L341)</f>
        <v>588075</v>
      </c>
    </row>
    <row r="343" spans="1:14" ht="12.75" customHeight="1" thickTop="1" x14ac:dyDescent="0.2">
      <c r="A343" s="2187" t="s">
        <v>1053</v>
      </c>
      <c r="B343" s="2188"/>
      <c r="C343" s="617"/>
      <c r="D343" s="617"/>
      <c r="E343" s="617"/>
      <c r="F343" s="617"/>
      <c r="G343" s="617"/>
      <c r="H343" s="617"/>
      <c r="I343" s="617"/>
      <c r="J343" s="617"/>
      <c r="K343" s="1706">
        <f>'Revenues 9-14'!J275-'Expenditures 15-22'!K342</f>
        <v>167680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112656</v>
      </c>
      <c r="F348" s="466">
        <v>54</v>
      </c>
      <c r="G348" s="466"/>
      <c r="H348" s="466"/>
      <c r="I348" s="467"/>
      <c r="J348" s="467"/>
      <c r="K348" s="1693">
        <f>SUM(C348:J348)</f>
        <v>112710</v>
      </c>
      <c r="L348" s="466">
        <v>117500</v>
      </c>
    </row>
    <row r="349" spans="1:14" x14ac:dyDescent="0.2">
      <c r="A349" s="1526" t="s">
        <v>206</v>
      </c>
      <c r="B349" s="615">
        <v>2540</v>
      </c>
      <c r="C349" s="466"/>
      <c r="D349" s="466"/>
      <c r="E349" s="466">
        <v>5464</v>
      </c>
      <c r="F349" s="466"/>
      <c r="G349" s="466">
        <v>1674</v>
      </c>
      <c r="H349" s="466"/>
      <c r="I349" s="467"/>
      <c r="J349" s="467"/>
      <c r="K349" s="1693">
        <f>SUM(C349:J349)</f>
        <v>7138</v>
      </c>
      <c r="L349" s="466">
        <v>14000</v>
      </c>
    </row>
    <row r="350" spans="1:14" ht="12.75" customHeight="1" thickBot="1" x14ac:dyDescent="0.25">
      <c r="A350" s="1690" t="s">
        <v>743</v>
      </c>
      <c r="B350" s="1691" t="s">
        <v>35</v>
      </c>
      <c r="C350" s="1692">
        <f>SUM(C348:C349)</f>
        <v>0</v>
      </c>
      <c r="D350" s="1692">
        <f t="shared" ref="D350:L350" si="26">SUM(D348:D349)</f>
        <v>0</v>
      </c>
      <c r="E350" s="1692">
        <f t="shared" si="26"/>
        <v>118120</v>
      </c>
      <c r="F350" s="1692">
        <f t="shared" si="26"/>
        <v>54</v>
      </c>
      <c r="G350" s="1692">
        <f t="shared" si="26"/>
        <v>1674</v>
      </c>
      <c r="H350" s="1692">
        <f t="shared" si="26"/>
        <v>0</v>
      </c>
      <c r="I350" s="1692">
        <f t="shared" si="26"/>
        <v>0</v>
      </c>
      <c r="J350" s="1692">
        <f t="shared" si="26"/>
        <v>0</v>
      </c>
      <c r="K350" s="1692">
        <f t="shared" si="26"/>
        <v>119848</v>
      </c>
      <c r="L350" s="1692">
        <f t="shared" si="26"/>
        <v>131500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118120</v>
      </c>
      <c r="F352" s="1692">
        <f t="shared" si="27"/>
        <v>54</v>
      </c>
      <c r="G352" s="1692">
        <f t="shared" si="27"/>
        <v>1674</v>
      </c>
      <c r="H352" s="1692">
        <f t="shared" si="27"/>
        <v>0</v>
      </c>
      <c r="I352" s="1692">
        <f t="shared" si="27"/>
        <v>0</v>
      </c>
      <c r="J352" s="1692">
        <f t="shared" si="27"/>
        <v>0</v>
      </c>
      <c r="K352" s="1692">
        <f t="shared" si="27"/>
        <v>119848</v>
      </c>
      <c r="L352" s="1692">
        <f t="shared" si="27"/>
        <v>131500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c r="I354" s="702"/>
      <c r="J354" s="617"/>
      <c r="K354" s="1721">
        <f>H354</f>
        <v>0</v>
      </c>
      <c r="L354" s="471"/>
    </row>
    <row r="355" spans="1:14" ht="12.75" customHeight="1" x14ac:dyDescent="0.2">
      <c r="A355" s="1535" t="s">
        <v>1963</v>
      </c>
      <c r="B355" s="691" t="s">
        <v>1956</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118120</v>
      </c>
      <c r="F367" s="1692">
        <f t="shared" si="28"/>
        <v>54</v>
      </c>
      <c r="G367" s="1692">
        <f t="shared" si="28"/>
        <v>1674</v>
      </c>
      <c r="H367" s="1692">
        <f t="shared" si="28"/>
        <v>0</v>
      </c>
      <c r="I367" s="1692">
        <f t="shared" si="28"/>
        <v>0</v>
      </c>
      <c r="J367" s="1692">
        <f t="shared" si="28"/>
        <v>0</v>
      </c>
      <c r="K367" s="1692">
        <f t="shared" si="28"/>
        <v>119848</v>
      </c>
      <c r="L367" s="1692">
        <f t="shared" si="28"/>
        <v>131500</v>
      </c>
    </row>
    <row r="368" spans="1:14" ht="13.5" thickTop="1" x14ac:dyDescent="0.2">
      <c r="A368" s="2201" t="s">
        <v>1053</v>
      </c>
      <c r="B368" s="2202"/>
      <c r="C368" s="655"/>
      <c r="D368" s="655"/>
      <c r="E368" s="627"/>
      <c r="F368" s="627"/>
      <c r="G368" s="627"/>
      <c r="H368" s="627"/>
      <c r="I368" s="627"/>
      <c r="J368" s="624"/>
      <c r="K368" s="1693">
        <f>'Revenues 9-14'!K275-'Expenditures 15-22'!K367</f>
        <v>-79091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4" sqref="C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3" t="s">
        <v>1903</v>
      </c>
      <c r="B2" s="1550" t="s">
        <v>2033</v>
      </c>
      <c r="C2" s="715" t="s">
        <v>1908</v>
      </c>
      <c r="D2" s="715" t="s">
        <v>1909</v>
      </c>
      <c r="E2" s="715" t="s">
        <v>1910</v>
      </c>
      <c r="F2" s="715" t="s">
        <v>1911</v>
      </c>
    </row>
    <row r="3" spans="1:6" ht="12" customHeight="1" x14ac:dyDescent="0.2">
      <c r="A3" s="2204"/>
      <c r="B3" s="1547"/>
      <c r="C3" s="1548"/>
      <c r="D3" s="1549" t="s">
        <v>274</v>
      </c>
      <c r="E3" s="1548"/>
      <c r="F3" s="1549" t="s">
        <v>275</v>
      </c>
    </row>
    <row r="4" spans="1:6" ht="13.7" customHeight="1" x14ac:dyDescent="0.2">
      <c r="A4" s="716" t="s">
        <v>1217</v>
      </c>
      <c r="B4" s="1771">
        <f>'Revenues 9-14'!C5</f>
        <v>2356819</v>
      </c>
      <c r="C4" s="1546"/>
      <c r="D4" s="1774">
        <f>B4-C4</f>
        <v>2356819</v>
      </c>
      <c r="E4" s="1546">
        <v>2389206</v>
      </c>
      <c r="F4" s="1774">
        <f>E4-C4</f>
        <v>2389206</v>
      </c>
    </row>
    <row r="5" spans="1:6" ht="13.7" customHeight="1" x14ac:dyDescent="0.2">
      <c r="A5" s="716" t="s">
        <v>925</v>
      </c>
      <c r="B5" s="1772">
        <f>'Revenues 9-14'!D5</f>
        <v>403568</v>
      </c>
      <c r="C5" s="585"/>
      <c r="D5" s="1775">
        <f t="shared" ref="D5:D18" si="0">B5-C5</f>
        <v>403568</v>
      </c>
      <c r="E5" s="585">
        <v>409111</v>
      </c>
      <c r="F5" s="1775">
        <f>E5-C5</f>
        <v>409111</v>
      </c>
    </row>
    <row r="6" spans="1:6" ht="13.7" customHeight="1" x14ac:dyDescent="0.2">
      <c r="A6" s="716" t="s">
        <v>431</v>
      </c>
      <c r="B6" s="1772">
        <f>'Revenues 9-14'!E5</f>
        <v>472867</v>
      </c>
      <c r="C6" s="585"/>
      <c r="D6" s="1775">
        <f t="shared" si="0"/>
        <v>472867</v>
      </c>
      <c r="E6" s="585">
        <v>474446</v>
      </c>
      <c r="F6" s="1775">
        <f t="shared" ref="F6:F18" si="1">E6-C6</f>
        <v>474446</v>
      </c>
    </row>
    <row r="7" spans="1:6" ht="13.7" customHeight="1" x14ac:dyDescent="0.2">
      <c r="A7" s="716" t="s">
        <v>157</v>
      </c>
      <c r="B7" s="1772">
        <f>'Revenues 9-14'!F5</f>
        <v>161427</v>
      </c>
      <c r="C7" s="585"/>
      <c r="D7" s="1775">
        <f t="shared" si="0"/>
        <v>161427</v>
      </c>
      <c r="E7" s="585">
        <v>163644</v>
      </c>
      <c r="F7" s="1775">
        <f t="shared" si="1"/>
        <v>163644</v>
      </c>
    </row>
    <row r="8" spans="1:6" ht="13.7" customHeight="1" x14ac:dyDescent="0.2">
      <c r="A8" s="716" t="s">
        <v>1241</v>
      </c>
      <c r="B8" s="1772">
        <f>'Revenues 9-14'!G5</f>
        <v>63692</v>
      </c>
      <c r="C8" s="585"/>
      <c r="D8" s="1775">
        <f t="shared" si="0"/>
        <v>63692</v>
      </c>
      <c r="E8" s="585">
        <v>75006</v>
      </c>
      <c r="F8" s="1775">
        <f t="shared" si="1"/>
        <v>75006</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40357</v>
      </c>
      <c r="C10" s="585"/>
      <c r="D10" s="1775">
        <f t="shared" si="0"/>
        <v>40357</v>
      </c>
      <c r="E10" s="585">
        <v>40911</v>
      </c>
      <c r="F10" s="1775">
        <f t="shared" si="1"/>
        <v>40911</v>
      </c>
    </row>
    <row r="11" spans="1:6" x14ac:dyDescent="0.2">
      <c r="A11" s="716" t="s">
        <v>429</v>
      </c>
      <c r="B11" s="1772">
        <f>'Revenues 9-14'!J5</f>
        <v>653807</v>
      </c>
      <c r="C11" s="585"/>
      <c r="D11" s="1775">
        <f t="shared" si="0"/>
        <v>653807</v>
      </c>
      <c r="E11" s="585">
        <v>660002</v>
      </c>
      <c r="F11" s="1775">
        <f t="shared" si="1"/>
        <v>660002</v>
      </c>
    </row>
    <row r="12" spans="1:6" ht="13.7" customHeight="1" x14ac:dyDescent="0.2">
      <c r="A12" s="716" t="s">
        <v>159</v>
      </c>
      <c r="B12" s="1772">
        <f>'Revenues 9-14'!K5</f>
        <v>40357</v>
      </c>
      <c r="C12" s="585"/>
      <c r="D12" s="1775">
        <f t="shared" si="0"/>
        <v>40357</v>
      </c>
      <c r="E12" s="585">
        <v>40911</v>
      </c>
      <c r="F12" s="1775">
        <f t="shared" si="1"/>
        <v>40911</v>
      </c>
    </row>
    <row r="13" spans="1:6" ht="13.7" customHeight="1" x14ac:dyDescent="0.2">
      <c r="A13" s="716" t="s">
        <v>993</v>
      </c>
      <c r="B13" s="1772">
        <f>SUM('Revenues 9-14'!C6:D6)</f>
        <v>40357</v>
      </c>
      <c r="C13" s="585"/>
      <c r="D13" s="1775">
        <f t="shared" si="0"/>
        <v>40357</v>
      </c>
      <c r="E13" s="585">
        <v>40911</v>
      </c>
      <c r="F13" s="1775">
        <f t="shared" si="1"/>
        <v>40911</v>
      </c>
    </row>
    <row r="14" spans="1:6" ht="13.7" customHeight="1" x14ac:dyDescent="0.2">
      <c r="A14" s="716" t="s">
        <v>430</v>
      </c>
      <c r="B14" s="1772">
        <f>SUM('Revenues 9-14'!C7:D7,'Revenues 9-14'!F7:H7)</f>
        <v>32285</v>
      </c>
      <c r="C14" s="585"/>
      <c r="D14" s="1775">
        <f t="shared" si="0"/>
        <v>32285</v>
      </c>
      <c r="E14" s="585">
        <v>32729</v>
      </c>
      <c r="F14" s="1775">
        <f t="shared" si="1"/>
        <v>32729</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174156</v>
      </c>
      <c r="C16" s="585"/>
      <c r="D16" s="1775">
        <f t="shared" si="0"/>
        <v>174156</v>
      </c>
      <c r="E16" s="585">
        <v>175001</v>
      </c>
      <c r="F16" s="1775">
        <f t="shared" si="1"/>
        <v>175001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4439692</v>
      </c>
      <c r="C19" s="1773">
        <f>SUM(C4:C18)</f>
        <v>0</v>
      </c>
      <c r="D19" s="1773">
        <f>SUM(D4:D18)</f>
        <v>4439692</v>
      </c>
      <c r="E19" s="1773">
        <f>SUM(E4:E18)</f>
        <v>4501878</v>
      </c>
      <c r="F19" s="1773">
        <f>SUM(F4:F18)</f>
        <v>4501878</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0" colorId="8" zoomScale="110" zoomScaleNormal="110" workbookViewId="0">
      <selection activeCell="J34" sqref="J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650</v>
      </c>
      <c r="B1" s="2210"/>
      <c r="C1" s="722"/>
    </row>
    <row r="2" spans="1:7" ht="33.75" x14ac:dyDescent="0.2">
      <c r="A2" s="2218" t="s">
        <v>1903</v>
      </c>
      <c r="B2" s="2219"/>
      <c r="C2" s="1909" t="s">
        <v>2034</v>
      </c>
      <c r="D2" s="724" t="s">
        <v>2041</v>
      </c>
      <c r="E2" s="724" t="s">
        <v>2042</v>
      </c>
      <c r="F2" s="1909" t="s">
        <v>2035</v>
      </c>
    </row>
    <row r="3" spans="1:7" ht="15.75" customHeight="1" x14ac:dyDescent="0.2">
      <c r="A3" s="2222" t="s">
        <v>1176</v>
      </c>
      <c r="B3" s="2223"/>
      <c r="C3" s="2211"/>
      <c r="D3" s="2212"/>
      <c r="E3" s="2212"/>
      <c r="F3" s="2213"/>
    </row>
    <row r="4" spans="1:7" ht="12.75" customHeight="1" thickBot="1" x14ac:dyDescent="0.25">
      <c r="A4" s="2220" t="s">
        <v>651</v>
      </c>
      <c r="B4" s="2221"/>
      <c r="C4" s="581"/>
      <c r="D4" s="581"/>
      <c r="E4" s="581"/>
      <c r="F4" s="1777">
        <f>SUM(C4+D4)-E4</f>
        <v>0</v>
      </c>
    </row>
    <row r="5" spans="1:7" ht="15.75" customHeight="1" thickTop="1" x14ac:dyDescent="0.2">
      <c r="A5" s="2205" t="s">
        <v>1172</v>
      </c>
      <c r="B5" s="2206"/>
      <c r="C5" s="2214"/>
      <c r="D5" s="2215"/>
      <c r="E5" s="2215"/>
      <c r="F5" s="2216"/>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7" t="s">
        <v>652</v>
      </c>
      <c r="B15" s="2208"/>
      <c r="C15" s="1777">
        <f>SUM(C6:C14)</f>
        <v>0</v>
      </c>
      <c r="D15" s="1777">
        <f>SUM(D6:D14)</f>
        <v>0</v>
      </c>
      <c r="E15" s="1777">
        <f>SUM(E6:E14)</f>
        <v>0</v>
      </c>
      <c r="F15" s="1777">
        <f>SUM(F6:F14)</f>
        <v>0</v>
      </c>
      <c r="G15" s="552"/>
    </row>
    <row r="16" spans="1:7" s="202" customFormat="1" ht="15.75" customHeight="1" thickTop="1" x14ac:dyDescent="0.2">
      <c r="A16" s="2217" t="s">
        <v>1173</v>
      </c>
      <c r="B16" s="2206"/>
      <c r="C16" s="2214"/>
      <c r="D16" s="2215"/>
      <c r="E16" s="2215"/>
      <c r="F16" s="2216"/>
    </row>
    <row r="17" spans="1:11" ht="12.75" customHeight="1" thickBot="1" x14ac:dyDescent="0.25">
      <c r="A17" s="2230" t="s">
        <v>66</v>
      </c>
      <c r="B17" s="2231"/>
      <c r="C17" s="727"/>
      <c r="D17" s="585"/>
      <c r="E17" s="727"/>
      <c r="F17" s="1777">
        <f>SUM(C17+D17)-E17</f>
        <v>0</v>
      </c>
    </row>
    <row r="18" spans="1:11" ht="12.75" customHeight="1" thickTop="1" thickBot="1" x14ac:dyDescent="0.25">
      <c r="A18" s="2230" t="s">
        <v>6</v>
      </c>
      <c r="B18" s="2231"/>
      <c r="C18" s="727"/>
      <c r="D18" s="585"/>
      <c r="E18" s="727"/>
      <c r="F18" s="1777">
        <f>SUM(C18+D18)-E18</f>
        <v>0</v>
      </c>
    </row>
    <row r="19" spans="1:11" ht="12.75" customHeight="1" thickTop="1" thickBot="1" x14ac:dyDescent="0.25">
      <c r="A19" s="2230" t="s">
        <v>406</v>
      </c>
      <c r="B19" s="2231"/>
      <c r="C19" s="727"/>
      <c r="D19" s="585"/>
      <c r="E19" s="727"/>
      <c r="F19" s="1777">
        <f>SUM(C19+D19)-E19</f>
        <v>0</v>
      </c>
    </row>
    <row r="20" spans="1:11" ht="12.75" customHeight="1" thickTop="1" thickBot="1" x14ac:dyDescent="0.25">
      <c r="A20" s="2230" t="s">
        <v>468</v>
      </c>
      <c r="B20" s="2231"/>
      <c r="C20" s="727"/>
      <c r="D20" s="585"/>
      <c r="E20" s="727"/>
      <c r="F20" s="1777">
        <f>SUM(C20+D20)-E20</f>
        <v>0</v>
      </c>
    </row>
    <row r="21" spans="1:11" ht="14.25" thickTop="1" thickBot="1" x14ac:dyDescent="0.25">
      <c r="A21" s="2207" t="s">
        <v>653</v>
      </c>
      <c r="B21" s="2208"/>
      <c r="C21" s="1777">
        <f>SUM(C17:C20)</f>
        <v>0</v>
      </c>
      <c r="D21" s="1777">
        <f>SUM(D17:D20)</f>
        <v>0</v>
      </c>
      <c r="E21" s="1777">
        <f>SUM(E17:E20)</f>
        <v>0</v>
      </c>
      <c r="F21" s="1777">
        <f>SUM(F17:F20)</f>
        <v>0</v>
      </c>
      <c r="G21" s="552"/>
    </row>
    <row r="22" spans="1:11" ht="15.75" customHeight="1" thickTop="1" x14ac:dyDescent="0.2">
      <c r="A22" s="2232" t="s">
        <v>1174</v>
      </c>
      <c r="B22" s="2206"/>
      <c r="C22" s="2214"/>
      <c r="D22" s="2215"/>
      <c r="E22" s="2215"/>
      <c r="F22" s="2216"/>
    </row>
    <row r="23" spans="1:11" ht="13.5" thickBot="1" x14ac:dyDescent="0.25">
      <c r="A23" s="2220" t="s">
        <v>654</v>
      </c>
      <c r="B23" s="2221"/>
      <c r="C23" s="581"/>
      <c r="D23" s="581"/>
      <c r="E23" s="581"/>
      <c r="F23" s="1777">
        <f>SUM(C23+D23)-E23</f>
        <v>0</v>
      </c>
      <c r="G23" s="552"/>
    </row>
    <row r="24" spans="1:11" ht="15.75" customHeight="1" thickTop="1" x14ac:dyDescent="0.2">
      <c r="A24" s="2232" t="s">
        <v>1175</v>
      </c>
      <c r="B24" s="2206"/>
      <c r="C24" s="2214"/>
      <c r="D24" s="2215"/>
      <c r="E24" s="2215"/>
      <c r="F24" s="2216"/>
    </row>
    <row r="25" spans="1:11" ht="13.5" thickBot="1" x14ac:dyDescent="0.25">
      <c r="A25" s="2220" t="s">
        <v>655</v>
      </c>
      <c r="B25" s="2221"/>
      <c r="C25" s="581"/>
      <c r="D25" s="581"/>
      <c r="E25" s="581"/>
      <c r="F25" s="1777">
        <f>SUM(C25+D25)-E25</f>
        <v>0</v>
      </c>
      <c r="G25" s="552"/>
    </row>
    <row r="26" spans="1:11" ht="15.75" customHeight="1" thickTop="1" x14ac:dyDescent="0.2">
      <c r="A26" s="2205" t="s">
        <v>678</v>
      </c>
      <c r="B26" s="2206"/>
      <c r="C26" s="728"/>
      <c r="D26" s="728"/>
      <c r="E26" s="728"/>
      <c r="F26" s="729"/>
    </row>
    <row r="27" spans="1:11" ht="13.5" thickBot="1" x14ac:dyDescent="0.25">
      <c r="A27" s="2207" t="s">
        <v>1130</v>
      </c>
      <c r="B27" s="2208"/>
      <c r="C27" s="585"/>
      <c r="D27" s="585"/>
      <c r="E27" s="585"/>
      <c r="F27" s="1777">
        <f>SUM(C27+D27)-E27</f>
        <v>0</v>
      </c>
      <c r="G27" s="552"/>
    </row>
    <row r="28" spans="1:11" ht="7.5" customHeight="1" thickTop="1" x14ac:dyDescent="0.2">
      <c r="A28" s="594"/>
    </row>
    <row r="29" spans="1:11" ht="23.25" customHeight="1" x14ac:dyDescent="0.2">
      <c r="A29" s="2233" t="s">
        <v>603</v>
      </c>
      <c r="B29" s="2210"/>
      <c r="C29" s="730"/>
      <c r="D29" s="730"/>
      <c r="E29" s="730"/>
      <c r="F29" s="730"/>
      <c r="G29" s="730"/>
      <c r="H29" s="730"/>
      <c r="I29" s="730"/>
      <c r="J29" s="730"/>
    </row>
    <row r="30" spans="1:11" ht="33.75" x14ac:dyDescent="0.2">
      <c r="A30" s="1551" t="s">
        <v>1131</v>
      </c>
      <c r="B30" s="731" t="s">
        <v>1186</v>
      </c>
      <c r="C30" s="1910" t="s">
        <v>604</v>
      </c>
      <c r="D30" s="1910" t="s">
        <v>1772</v>
      </c>
      <c r="E30" s="1910" t="s">
        <v>2036</v>
      </c>
      <c r="F30" s="1910" t="s">
        <v>2037</v>
      </c>
      <c r="G30" s="1910" t="s">
        <v>2040</v>
      </c>
      <c r="H30" s="1910" t="s">
        <v>2038</v>
      </c>
      <c r="I30" s="1910" t="s">
        <v>2039</v>
      </c>
      <c r="J30" s="1911" t="s">
        <v>2</v>
      </c>
      <c r="K30" s="732"/>
    </row>
    <row r="31" spans="1:11" ht="12" customHeight="1" x14ac:dyDescent="0.2">
      <c r="A31" s="733" t="s">
        <v>2090</v>
      </c>
      <c r="B31" s="734">
        <v>40224</v>
      </c>
      <c r="C31" s="735">
        <v>1150000</v>
      </c>
      <c r="D31" s="736">
        <v>1</v>
      </c>
      <c r="E31" s="735">
        <v>1150000</v>
      </c>
      <c r="F31" s="735"/>
      <c r="G31" s="735"/>
      <c r="H31" s="735"/>
      <c r="I31" s="1778">
        <f>((E31+F31)-H31)+G31</f>
        <v>1150000</v>
      </c>
      <c r="J31" s="735">
        <v>230000</v>
      </c>
      <c r="K31" s="737"/>
    </row>
    <row r="32" spans="1:11" ht="12" customHeight="1" x14ac:dyDescent="0.2">
      <c r="A32" s="733" t="s">
        <v>2092</v>
      </c>
      <c r="B32" s="734">
        <v>42451</v>
      </c>
      <c r="C32" s="735">
        <v>425000</v>
      </c>
      <c r="D32" s="736">
        <v>1</v>
      </c>
      <c r="E32" s="735">
        <v>154000</v>
      </c>
      <c r="F32" s="735"/>
      <c r="G32" s="735"/>
      <c r="H32" s="735">
        <v>154000</v>
      </c>
      <c r="I32" s="1778">
        <f>((E32+F32)-H32)+G32</f>
        <v>0</v>
      </c>
      <c r="J32" s="735"/>
      <c r="K32" s="737"/>
    </row>
    <row r="33" spans="1:11" ht="12" customHeight="1" x14ac:dyDescent="0.2">
      <c r="A33" s="733" t="s">
        <v>2091</v>
      </c>
      <c r="B33" s="734">
        <v>42451</v>
      </c>
      <c r="C33" s="735">
        <v>2100000</v>
      </c>
      <c r="D33" s="736">
        <v>4</v>
      </c>
      <c r="E33" s="735">
        <v>2100000</v>
      </c>
      <c r="F33" s="735"/>
      <c r="G33" s="735"/>
      <c r="H33" s="735">
        <v>145000</v>
      </c>
      <c r="I33" s="1778">
        <f t="shared" ref="I33:I48" si="1">((E33+F33)-H33)+G33</f>
        <v>1955000</v>
      </c>
      <c r="J33" s="735">
        <v>1897640</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3675000</v>
      </c>
      <c r="D49" s="746"/>
      <c r="E49" s="1778">
        <f t="shared" ref="E49:J49" si="2">SUM(E31:E48)</f>
        <v>3404000</v>
      </c>
      <c r="F49" s="1778">
        <f t="shared" si="2"/>
        <v>0</v>
      </c>
      <c r="G49" s="1778">
        <f t="shared" si="2"/>
        <v>0</v>
      </c>
      <c r="H49" s="1778">
        <f t="shared" si="2"/>
        <v>299000</v>
      </c>
      <c r="I49" s="1778">
        <f t="shared" si="2"/>
        <v>3105000</v>
      </c>
      <c r="J49" s="1778">
        <f t="shared" si="2"/>
        <v>2127640</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24" t="s">
        <v>605</v>
      </c>
      <c r="C52" s="2225"/>
      <c r="D52" s="2225"/>
      <c r="E52" s="750" t="s">
        <v>900</v>
      </c>
      <c r="F52" s="2226"/>
      <c r="G52" s="2227"/>
      <c r="H52" s="737"/>
      <c r="I52" s="737"/>
      <c r="J52" s="747"/>
    </row>
    <row r="53" spans="1:11" ht="11.25" customHeight="1" x14ac:dyDescent="0.2">
      <c r="A53" s="751" t="s">
        <v>969</v>
      </c>
      <c r="B53" s="752" t="s">
        <v>1008</v>
      </c>
      <c r="C53" s="747"/>
      <c r="D53" s="738"/>
      <c r="E53" s="750" t="s">
        <v>518</v>
      </c>
      <c r="F53" s="2228"/>
      <c r="G53" s="2229"/>
      <c r="H53" s="737"/>
      <c r="I53" s="737"/>
      <c r="J53" s="747"/>
    </row>
    <row r="54" spans="1:11" ht="11.25" customHeight="1" x14ac:dyDescent="0.2">
      <c r="A54" s="753" t="s">
        <v>970</v>
      </c>
      <c r="B54" s="748" t="s">
        <v>1009</v>
      </c>
      <c r="C54" s="747"/>
      <c r="D54" s="738"/>
      <c r="E54" s="750" t="s">
        <v>519</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28" sqref="K28:K2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911</v>
      </c>
      <c r="B1" s="2259"/>
      <c r="C1" s="2259"/>
      <c r="D1" s="2259"/>
      <c r="E1" s="2259"/>
      <c r="F1" s="2259"/>
      <c r="G1" s="2260"/>
      <c r="H1" s="1552"/>
      <c r="I1" s="761"/>
      <c r="J1" s="433"/>
    </row>
    <row r="2" spans="1:11" ht="26.25" x14ac:dyDescent="0.2">
      <c r="A2" s="2237" t="s">
        <v>1776</v>
      </c>
      <c r="B2" s="2238"/>
      <c r="C2" s="2238"/>
      <c r="D2" s="2238"/>
      <c r="E2" s="2239"/>
      <c r="F2" s="762" t="s">
        <v>960</v>
      </c>
      <c r="G2" s="763" t="s">
        <v>1773</v>
      </c>
      <c r="H2" s="763" t="s">
        <v>430</v>
      </c>
      <c r="I2" s="763" t="s">
        <v>1220</v>
      </c>
      <c r="J2" s="763" t="s">
        <v>1917</v>
      </c>
      <c r="K2" s="763" t="s">
        <v>140</v>
      </c>
    </row>
    <row r="3" spans="1:11" x14ac:dyDescent="0.2">
      <c r="A3" s="2240" t="s">
        <v>1698</v>
      </c>
      <c r="B3" s="2241"/>
      <c r="C3" s="2241"/>
      <c r="D3" s="2241"/>
      <c r="E3" s="2242"/>
      <c r="F3" s="764"/>
      <c r="G3" s="765"/>
      <c r="H3" s="765"/>
      <c r="I3" s="765"/>
      <c r="J3" s="766"/>
      <c r="K3" s="766"/>
    </row>
    <row r="4" spans="1:11" x14ac:dyDescent="0.2">
      <c r="A4" s="2243" t="s">
        <v>387</v>
      </c>
      <c r="B4" s="2244"/>
      <c r="C4" s="2244"/>
      <c r="D4" s="2244"/>
      <c r="E4" s="2225"/>
      <c r="F4" s="767"/>
      <c r="G4" s="768"/>
      <c r="H4" s="769"/>
      <c r="I4" s="768"/>
      <c r="J4" s="770"/>
      <c r="K4" s="770"/>
    </row>
    <row r="5" spans="1:11" x14ac:dyDescent="0.2">
      <c r="A5" s="2261" t="s">
        <v>1129</v>
      </c>
      <c r="B5" s="2234"/>
      <c r="C5" s="2234"/>
      <c r="D5" s="2234"/>
      <c r="E5" s="2262"/>
      <c r="F5" s="771" t="s">
        <v>903</v>
      </c>
      <c r="G5" s="772"/>
      <c r="H5" s="765">
        <v>32285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2650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14758</v>
      </c>
    </row>
    <row r="10" spans="1:11" x14ac:dyDescent="0.2">
      <c r="A10" s="2261" t="s">
        <v>1918</v>
      </c>
      <c r="B10" s="2234"/>
      <c r="C10" s="2234"/>
      <c r="D10" s="2234"/>
      <c r="E10" s="2263"/>
      <c r="F10" s="784" t="s">
        <v>917</v>
      </c>
      <c r="G10" s="783"/>
      <c r="H10" s="785"/>
      <c r="I10" s="765"/>
      <c r="J10" s="766"/>
      <c r="K10" s="766"/>
    </row>
    <row r="11" spans="1:11" x14ac:dyDescent="0.2">
      <c r="A11" s="2261" t="s">
        <v>162</v>
      </c>
      <c r="B11" s="2234"/>
      <c r="C11" s="2234"/>
      <c r="D11" s="2234"/>
      <c r="E11" s="2262"/>
      <c r="F11" s="771" t="s">
        <v>907</v>
      </c>
      <c r="G11" s="772"/>
      <c r="H11" s="765"/>
      <c r="I11" s="765"/>
      <c r="J11" s="766"/>
      <c r="K11" s="774"/>
    </row>
    <row r="12" spans="1:11" ht="13.5" thickBot="1" x14ac:dyDescent="0.25">
      <c r="A12" s="2251" t="s">
        <v>961</v>
      </c>
      <c r="B12" s="2252"/>
      <c r="C12" s="2252"/>
      <c r="D12" s="2252"/>
      <c r="E12" s="2253"/>
      <c r="F12" s="1779"/>
      <c r="G12" s="1780">
        <f>SUM(G5:G11)</f>
        <v>0</v>
      </c>
      <c r="H12" s="1780">
        <f>SUM(H5:H11)</f>
        <v>32285</v>
      </c>
      <c r="I12" s="1780">
        <f>SUM(I5:I11)</f>
        <v>0</v>
      </c>
      <c r="J12" s="1780">
        <f>SUM(J5:J11)</f>
        <v>0</v>
      </c>
      <c r="K12" s="1780">
        <f>SUM(K5:K11)</f>
        <v>17408</v>
      </c>
    </row>
    <row r="13" spans="1:11" ht="13.5" thickTop="1" x14ac:dyDescent="0.2">
      <c r="A13" s="2245" t="s">
        <v>388</v>
      </c>
      <c r="B13" s="2246"/>
      <c r="C13" s="2246"/>
      <c r="D13" s="2246"/>
      <c r="E13" s="2247"/>
      <c r="F13" s="786"/>
      <c r="G13" s="787"/>
      <c r="H13" s="788"/>
      <c r="I13" s="789"/>
      <c r="J13" s="789"/>
      <c r="K13" s="789"/>
    </row>
    <row r="14" spans="1:11" x14ac:dyDescent="0.2">
      <c r="A14" s="2267" t="s">
        <v>476</v>
      </c>
      <c r="B14" s="2267"/>
      <c r="C14" s="2267"/>
      <c r="D14" s="2267"/>
      <c r="E14" s="2268"/>
      <c r="F14" s="790" t="s">
        <v>909</v>
      </c>
      <c r="G14" s="783"/>
      <c r="H14" s="765">
        <v>32285</v>
      </c>
      <c r="I14" s="772"/>
      <c r="J14" s="774"/>
      <c r="K14" s="766">
        <v>17408</v>
      </c>
    </row>
    <row r="15" spans="1:11" x14ac:dyDescent="0.2">
      <c r="A15" s="2234" t="s">
        <v>4</v>
      </c>
      <c r="B15" s="2234"/>
      <c r="C15" s="2234"/>
      <c r="D15" s="2234"/>
      <c r="E15" s="2262"/>
      <c r="F15" s="790" t="s">
        <v>910</v>
      </c>
      <c r="G15" s="772"/>
      <c r="H15" s="765"/>
      <c r="I15" s="765"/>
      <c r="J15" s="766"/>
      <c r="K15" s="766"/>
    </row>
    <row r="16" spans="1:11" x14ac:dyDescent="0.2">
      <c r="A16" s="2234" t="s">
        <v>316</v>
      </c>
      <c r="B16" s="2234"/>
      <c r="C16" s="2234"/>
      <c r="D16" s="2234"/>
      <c r="E16" s="2262"/>
      <c r="F16" s="790" t="s">
        <v>980</v>
      </c>
      <c r="G16" s="773"/>
      <c r="H16" s="768"/>
      <c r="I16" s="768"/>
      <c r="J16" s="770"/>
      <c r="K16" s="770"/>
    </row>
    <row r="17" spans="1:11" x14ac:dyDescent="0.2">
      <c r="A17" s="2256" t="s">
        <v>992</v>
      </c>
      <c r="B17" s="2256"/>
      <c r="C17" s="2256"/>
      <c r="D17" s="2256"/>
      <c r="E17" s="2257"/>
      <c r="F17" s="791"/>
      <c r="G17" s="792"/>
      <c r="H17" s="793"/>
      <c r="I17" s="793"/>
      <c r="J17" s="794"/>
      <c r="K17" s="795"/>
    </row>
    <row r="18" spans="1:11" x14ac:dyDescent="0.2">
      <c r="A18" s="2248" t="s">
        <v>386</v>
      </c>
      <c r="B18" s="2249"/>
      <c r="C18" s="2249"/>
      <c r="D18" s="2249"/>
      <c r="E18" s="2250"/>
      <c r="F18" s="790" t="s">
        <v>989</v>
      </c>
      <c r="G18" s="783"/>
      <c r="H18" s="783"/>
      <c r="I18" s="783"/>
      <c r="J18" s="766"/>
      <c r="K18" s="796"/>
    </row>
    <row r="19" spans="1:11" ht="21.75" customHeight="1" x14ac:dyDescent="0.2">
      <c r="A19" s="2269" t="s">
        <v>1914</v>
      </c>
      <c r="B19" s="2269"/>
      <c r="C19" s="2269"/>
      <c r="D19" s="2269"/>
      <c r="E19" s="2270"/>
      <c r="F19" s="790" t="s">
        <v>990</v>
      </c>
      <c r="G19" s="783"/>
      <c r="H19" s="783"/>
      <c r="I19" s="783"/>
      <c r="J19" s="766"/>
      <c r="K19" s="796"/>
    </row>
    <row r="20" spans="1:11" x14ac:dyDescent="0.2">
      <c r="A20" s="2248" t="s">
        <v>1919</v>
      </c>
      <c r="B20" s="2249"/>
      <c r="C20" s="2249"/>
      <c r="D20" s="2249"/>
      <c r="E20" s="2250"/>
      <c r="F20" s="790" t="s">
        <v>991</v>
      </c>
      <c r="G20" s="783"/>
      <c r="H20" s="783"/>
      <c r="I20" s="783"/>
      <c r="J20" s="766"/>
      <c r="K20" s="796"/>
    </row>
    <row r="21" spans="1:11" ht="13.5" thickBot="1" x14ac:dyDescent="0.25">
      <c r="A21" s="2254" t="s">
        <v>659</v>
      </c>
      <c r="B21" s="2254"/>
      <c r="C21" s="2254"/>
      <c r="D21" s="2254"/>
      <c r="E21" s="2254"/>
      <c r="F21" s="1781"/>
      <c r="G21" s="793"/>
      <c r="H21" s="797"/>
      <c r="I21" s="797"/>
      <c r="J21" s="1782">
        <f>SUM(J18:J20)</f>
        <v>0</v>
      </c>
      <c r="K21" s="794"/>
    </row>
    <row r="22" spans="1:11" ht="13.5" thickTop="1" x14ac:dyDescent="0.2">
      <c r="A22" s="2234" t="s">
        <v>1920</v>
      </c>
      <c r="B22" s="2234"/>
      <c r="C22" s="2234"/>
      <c r="D22" s="2234"/>
      <c r="E22" s="2262"/>
      <c r="F22" s="790" t="s">
        <v>917</v>
      </c>
      <c r="G22" s="783"/>
      <c r="H22" s="765"/>
      <c r="I22" s="765"/>
      <c r="J22" s="798"/>
      <c r="K22" s="766"/>
    </row>
    <row r="23" spans="1:11" ht="13.5" thickBot="1" x14ac:dyDescent="0.25">
      <c r="A23" s="2255" t="s">
        <v>962</v>
      </c>
      <c r="B23" s="2254"/>
      <c r="C23" s="2254"/>
      <c r="D23" s="2254"/>
      <c r="E23" s="2254"/>
      <c r="F23" s="1783"/>
      <c r="G23" s="1780">
        <f>SUM(G14:G16,G21,G22)</f>
        <v>0</v>
      </c>
      <c r="H23" s="1780">
        <f>SUM(H14:H16,H21,H22)</f>
        <v>32285</v>
      </c>
      <c r="I23" s="1780">
        <f>SUM(I14:I16,I21,I22)</f>
        <v>0</v>
      </c>
      <c r="J23" s="1780">
        <f>SUM(J14:J16,J21,J22)</f>
        <v>0</v>
      </c>
      <c r="K23" s="1780">
        <f>SUM(K14:K16,K21,K22)</f>
        <v>17408</v>
      </c>
    </row>
    <row r="24" spans="1:11" ht="14.25" thickTop="1" thickBot="1" x14ac:dyDescent="0.25">
      <c r="A24" s="2255" t="s">
        <v>2022</v>
      </c>
      <c r="B24" s="2254"/>
      <c r="C24" s="2254"/>
      <c r="D24" s="2254"/>
      <c r="E24" s="2254"/>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2075</v>
      </c>
      <c r="E30" s="809" t="s">
        <v>792</v>
      </c>
      <c r="F30" s="202"/>
      <c r="G30" s="806"/>
    </row>
    <row r="31" spans="1:11" x14ac:dyDescent="0.2">
      <c r="A31" s="810"/>
      <c r="D31" s="237"/>
      <c r="E31" s="811" t="s">
        <v>793</v>
      </c>
      <c r="F31" s="812" t="s">
        <v>560</v>
      </c>
      <c r="G31" s="765"/>
      <c r="H31" s="2264"/>
      <c r="I31" s="2265"/>
      <c r="J31" s="2265"/>
      <c r="K31" s="2265"/>
    </row>
    <row r="32" spans="1:11" x14ac:dyDescent="0.2">
      <c r="A32" s="810"/>
      <c r="B32" s="237"/>
      <c r="C32" s="237"/>
      <c r="D32" s="237"/>
      <c r="E32" s="806"/>
      <c r="F32" s="812" t="s">
        <v>561</v>
      </c>
      <c r="G32" s="765"/>
      <c r="H32" s="2266"/>
      <c r="I32" s="2265"/>
      <c r="J32" s="2265"/>
      <c r="K32" s="2265"/>
    </row>
    <row r="33" spans="1:11" ht="1.5" customHeight="1" x14ac:dyDescent="0.2">
      <c r="A33" s="813" t="s">
        <v>1231</v>
      </c>
      <c r="B33" s="364"/>
      <c r="C33" s="364"/>
      <c r="D33" s="364"/>
      <c r="E33" s="364"/>
      <c r="F33" s="364"/>
      <c r="G33" s="814"/>
      <c r="H33" s="2266"/>
      <c r="I33" s="2265"/>
      <c r="J33" s="2265"/>
      <c r="K33" s="2265"/>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35"/>
      <c r="C41" s="2235"/>
      <c r="D41" s="2235"/>
      <c r="E41" s="2235"/>
      <c r="F41" s="223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1915</v>
      </c>
      <c r="B46" s="408" t="s">
        <v>1774</v>
      </c>
    </row>
    <row r="47" spans="1:11" s="824" customFormat="1" ht="12.75" customHeight="1" x14ac:dyDescent="0.2">
      <c r="A47" s="822"/>
      <c r="B47" s="823" t="s">
        <v>1775</v>
      </c>
      <c r="E47" s="823"/>
      <c r="K47" s="825"/>
    </row>
    <row r="48" spans="1:11" ht="12.75" customHeight="1" x14ac:dyDescent="0.2">
      <c r="A48" s="1554"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1" sqref="E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2031</v>
      </c>
      <c r="B1" s="2274"/>
      <c r="C1" s="2275"/>
      <c r="D1" s="827"/>
      <c r="E1" s="828"/>
      <c r="F1" s="828"/>
      <c r="G1" s="829"/>
      <c r="H1" s="830"/>
      <c r="I1" s="831"/>
      <c r="J1" s="2271"/>
      <c r="K1" s="2272"/>
      <c r="L1" s="2272"/>
    </row>
    <row r="2" spans="1:14" ht="69.75" customHeight="1" x14ac:dyDescent="0.2">
      <c r="A2" s="832" t="s">
        <v>1777</v>
      </c>
      <c r="B2" s="833" t="s">
        <v>396</v>
      </c>
      <c r="C2" s="834" t="s">
        <v>2026</v>
      </c>
      <c r="D2" s="834" t="s">
        <v>2023</v>
      </c>
      <c r="E2" s="834" t="s">
        <v>2024</v>
      </c>
      <c r="F2" s="834" t="s">
        <v>2025</v>
      </c>
      <c r="G2" s="834" t="s">
        <v>626</v>
      </c>
      <c r="H2" s="834" t="s">
        <v>2027</v>
      </c>
      <c r="I2" s="834" t="s">
        <v>2028</v>
      </c>
      <c r="J2" s="834" t="s">
        <v>2043</v>
      </c>
      <c r="K2" s="834" t="s">
        <v>2029</v>
      </c>
      <c r="L2" s="834" t="s">
        <v>2030</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51937</v>
      </c>
      <c r="D5" s="842"/>
      <c r="E5" s="842"/>
      <c r="F5" s="1782">
        <f>(C5+D5)-E5</f>
        <v>51937</v>
      </c>
      <c r="G5" s="838"/>
      <c r="H5" s="843"/>
      <c r="I5" s="843"/>
      <c r="J5" s="843"/>
      <c r="K5" s="794"/>
      <c r="L5" s="1791">
        <f>F5-K5</f>
        <v>51937</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8504216</v>
      </c>
      <c r="D8" s="845"/>
      <c r="E8" s="845"/>
      <c r="F8" s="1782">
        <f>(C8+D8)-E8</f>
        <v>8504216</v>
      </c>
      <c r="G8" s="844">
        <v>50</v>
      </c>
      <c r="H8" s="766">
        <v>3987548</v>
      </c>
      <c r="I8" s="766">
        <v>123969</v>
      </c>
      <c r="J8" s="766"/>
      <c r="K8" s="1791">
        <f>(H8+I8)-J8</f>
        <v>4111517</v>
      </c>
      <c r="L8" s="1791">
        <f>F8-K8</f>
        <v>4392699</v>
      </c>
    </row>
    <row r="9" spans="1:14" ht="14.25" thickTop="1" thickBot="1" x14ac:dyDescent="0.25">
      <c r="A9" s="779" t="s">
        <v>1181</v>
      </c>
      <c r="B9" s="841">
        <v>232</v>
      </c>
      <c r="C9" s="766">
        <v>95000</v>
      </c>
      <c r="D9" s="766"/>
      <c r="E9" s="766"/>
      <c r="F9" s="1782">
        <f>(C9+D9)-E9</f>
        <v>95000</v>
      </c>
      <c r="G9" s="844">
        <v>20</v>
      </c>
      <c r="H9" s="766">
        <v>18367</v>
      </c>
      <c r="I9" s="766">
        <v>3800</v>
      </c>
      <c r="J9" s="766"/>
      <c r="K9" s="1791">
        <f>(H9+I9)-J9</f>
        <v>22167</v>
      </c>
      <c r="L9" s="1791">
        <f>F9-K9</f>
        <v>72833</v>
      </c>
    </row>
    <row r="10" spans="1:14" ht="24" thickTop="1" thickBot="1" x14ac:dyDescent="0.25">
      <c r="A10" s="846" t="s">
        <v>1182</v>
      </c>
      <c r="B10" s="841">
        <v>240</v>
      </c>
      <c r="C10" s="847">
        <v>519702</v>
      </c>
      <c r="D10" s="847"/>
      <c r="E10" s="847"/>
      <c r="F10" s="1786">
        <f>(C10+D10)-E10</f>
        <v>519702</v>
      </c>
      <c r="G10" s="844">
        <v>20</v>
      </c>
      <c r="H10" s="848">
        <v>276930</v>
      </c>
      <c r="I10" s="848">
        <v>23053</v>
      </c>
      <c r="J10" s="848"/>
      <c r="K10" s="1791">
        <f>(H10+I10)-J10</f>
        <v>299983</v>
      </c>
      <c r="L10" s="1791">
        <f>F10-K10</f>
        <v>219719</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4650442</v>
      </c>
      <c r="D12" s="845">
        <v>118055</v>
      </c>
      <c r="E12" s="845"/>
      <c r="F12" s="1782">
        <f>(C12+D12)-E12</f>
        <v>4768497</v>
      </c>
      <c r="G12" s="844">
        <v>10</v>
      </c>
      <c r="H12" s="766">
        <v>4121963</v>
      </c>
      <c r="I12" s="766">
        <v>128960</v>
      </c>
      <c r="J12" s="766"/>
      <c r="K12" s="1791">
        <f>(H12+I12)-J12</f>
        <v>4250923</v>
      </c>
      <c r="L12" s="1791">
        <f>F12-K12</f>
        <v>517574</v>
      </c>
    </row>
    <row r="13" spans="1:14" ht="14.25" thickTop="1" thickBot="1" x14ac:dyDescent="0.25">
      <c r="A13" s="849" t="s">
        <v>1184</v>
      </c>
      <c r="B13" s="841">
        <v>252</v>
      </c>
      <c r="C13" s="845">
        <v>241481</v>
      </c>
      <c r="D13" s="845"/>
      <c r="E13" s="845"/>
      <c r="F13" s="1782">
        <f>(C13+D13)-E13</f>
        <v>241481</v>
      </c>
      <c r="G13" s="844">
        <v>5</v>
      </c>
      <c r="H13" s="766">
        <v>230559</v>
      </c>
      <c r="I13" s="766">
        <v>10922</v>
      </c>
      <c r="J13" s="766"/>
      <c r="K13" s="1791">
        <f>(H13+I13)-J13</f>
        <v>241481</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14062778</v>
      </c>
      <c r="D16" s="1782">
        <f>SUM(D3,D5:D6,D8:D10,D12:D15)</f>
        <v>118055</v>
      </c>
      <c r="E16" s="1782">
        <f>SUM(E3,E5:E6,E8:E10,E12:E15)</f>
        <v>0</v>
      </c>
      <c r="F16" s="1782">
        <f>SUM(F3,F5:F6,F8:F10,F12:F15)</f>
        <v>14180833</v>
      </c>
      <c r="G16" s="844"/>
      <c r="H16" s="1782">
        <f>SUM(H3,H6,H8:H10,H12:H14,)</f>
        <v>8635367</v>
      </c>
      <c r="I16" s="1782">
        <f>SUM(I3,I6,I8:I10,I12:I14,)</f>
        <v>290704</v>
      </c>
      <c r="J16" s="1782">
        <f>SUM(J3,J6,J8:J10,J12:J14,)</f>
        <v>0</v>
      </c>
      <c r="K16" s="1782">
        <f>(H16+I16)-J16</f>
        <v>8926071</v>
      </c>
      <c r="L16" s="1782">
        <f>F16-K16</f>
        <v>5254762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290704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0"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1699</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8594120</v>
      </c>
      <c r="G8" s="866"/>
    </row>
    <row r="9" spans="1:7" x14ac:dyDescent="0.2">
      <c r="A9" s="870" t="s">
        <v>480</v>
      </c>
      <c r="B9" s="871" t="s">
        <v>1986</v>
      </c>
      <c r="C9" s="872"/>
      <c r="D9" s="870" t="s">
        <v>522</v>
      </c>
      <c r="E9" s="869"/>
      <c r="F9" s="1935">
        <f>'Expenditures 15-22'!K151</f>
        <v>986792</v>
      </c>
      <c r="G9" s="873"/>
    </row>
    <row r="10" spans="1:7" x14ac:dyDescent="0.2">
      <c r="A10" s="870" t="s">
        <v>520</v>
      </c>
      <c r="B10" s="871" t="s">
        <v>1987</v>
      </c>
      <c r="C10" s="872"/>
      <c r="D10" s="870" t="s">
        <v>522</v>
      </c>
      <c r="E10" s="869"/>
      <c r="F10" s="1935">
        <f>'Expenditures 15-22'!K174</f>
        <v>356162</v>
      </c>
      <c r="G10" s="873"/>
    </row>
    <row r="11" spans="1:7" x14ac:dyDescent="0.2">
      <c r="A11" s="870" t="s">
        <v>481</v>
      </c>
      <c r="B11" s="871" t="s">
        <v>1988</v>
      </c>
      <c r="C11" s="872"/>
      <c r="D11" s="870" t="s">
        <v>522</v>
      </c>
      <c r="E11" s="869"/>
      <c r="F11" s="1935">
        <f>'Expenditures 15-22'!K210</f>
        <v>466185</v>
      </c>
      <c r="G11" s="873"/>
    </row>
    <row r="12" spans="1:7" x14ac:dyDescent="0.2">
      <c r="A12" s="870" t="s">
        <v>482</v>
      </c>
      <c r="B12" s="871" t="s">
        <v>1989</v>
      </c>
      <c r="C12" s="872"/>
      <c r="D12" s="870" t="s">
        <v>522</v>
      </c>
      <c r="E12" s="869"/>
      <c r="F12" s="1935">
        <f>'Expenditures 15-22'!K295</f>
        <v>213645</v>
      </c>
      <c r="G12" s="873"/>
    </row>
    <row r="13" spans="1:7" x14ac:dyDescent="0.2">
      <c r="A13" s="870" t="s">
        <v>108</v>
      </c>
      <c r="B13" s="871" t="s">
        <v>1990</v>
      </c>
      <c r="C13" s="872"/>
      <c r="D13" s="870" t="s">
        <v>522</v>
      </c>
      <c r="E13" s="869"/>
      <c r="F13" s="1935">
        <f>'Expenditures 15-22'!K342</f>
        <v>495694</v>
      </c>
      <c r="G13" s="874"/>
    </row>
    <row r="14" spans="1:7" ht="12" customHeight="1" thickBot="1" x14ac:dyDescent="0.25">
      <c r="A14" s="1792"/>
      <c r="B14" s="1793"/>
      <c r="C14" s="1794"/>
      <c r="D14" s="1795" t="s">
        <v>522</v>
      </c>
      <c r="E14" s="1796" t="s">
        <v>1015</v>
      </c>
      <c r="F14" s="1797">
        <f>SUM(F8:F13)</f>
        <v>11112598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13809</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122841</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1065111</v>
      </c>
      <c r="G53" s="866"/>
    </row>
    <row r="54" spans="1:7" x14ac:dyDescent="0.2">
      <c r="A54" s="870" t="s">
        <v>479</v>
      </c>
      <c r="B54" s="870" t="s">
        <v>1552</v>
      </c>
      <c r="C54" s="890" t="s">
        <v>1039</v>
      </c>
      <c r="D54" s="886" t="s">
        <v>1157</v>
      </c>
      <c r="E54" s="869"/>
      <c r="F54" s="1939">
        <f>'Expenditures 15-22'!G114</f>
        <v>53263</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9">
        <f>'Expenditures 15-22'!K139</f>
        <v>0</v>
      </c>
      <c r="G57" s="866"/>
    </row>
    <row r="58" spans="1:7" x14ac:dyDescent="0.2">
      <c r="A58" s="870" t="s">
        <v>480</v>
      </c>
      <c r="B58" s="870" t="s">
        <v>1992</v>
      </c>
      <c r="C58" s="887" t="s">
        <v>1039</v>
      </c>
      <c r="D58" s="886" t="s">
        <v>1157</v>
      </c>
      <c r="E58" s="869"/>
      <c r="F58" s="1941">
        <f>'Expenditures 15-22'!G151</f>
        <v>63118</v>
      </c>
      <c r="G58" s="866"/>
    </row>
    <row r="59" spans="1:7" x14ac:dyDescent="0.2">
      <c r="A59" s="894" t="s">
        <v>480</v>
      </c>
      <c r="B59" s="857" t="s">
        <v>1993</v>
      </c>
      <c r="C59" s="895" t="s">
        <v>1039</v>
      </c>
      <c r="D59" s="857" t="s">
        <v>309</v>
      </c>
      <c r="F59" s="1942">
        <f>'Expenditures 15-22'!I151</f>
        <v>0</v>
      </c>
      <c r="G59" s="866"/>
    </row>
    <row r="60" spans="1:7" x14ac:dyDescent="0.2">
      <c r="A60" s="894" t="s">
        <v>520</v>
      </c>
      <c r="B60" s="857" t="s">
        <v>1994</v>
      </c>
      <c r="C60" s="895">
        <v>4000</v>
      </c>
      <c r="D60" s="857" t="s">
        <v>330</v>
      </c>
      <c r="F60" s="1940">
        <f>'Expenditures 15-22'!K160</f>
        <v>0</v>
      </c>
      <c r="G60" s="866"/>
    </row>
    <row r="61" spans="1:7" x14ac:dyDescent="0.2">
      <c r="A61" s="896" t="s">
        <v>520</v>
      </c>
      <c r="B61" s="896" t="s">
        <v>1995</v>
      </c>
      <c r="C61" s="897" t="str">
        <f>'Expenditures 15-22'!B170</f>
        <v>5300</v>
      </c>
      <c r="D61" s="898" t="s">
        <v>329</v>
      </c>
      <c r="E61" s="880"/>
      <c r="F61" s="1939">
        <f>'Expenditures 15-22'!K170</f>
        <v>299000</v>
      </c>
      <c r="G61" s="866"/>
    </row>
    <row r="62" spans="1:7" x14ac:dyDescent="0.2">
      <c r="A62" s="870" t="s">
        <v>481</v>
      </c>
      <c r="B62" s="870" t="s">
        <v>1996</v>
      </c>
      <c r="C62" s="887">
        <f>'Expenditures 15-22'!B185</f>
        <v>3000</v>
      </c>
      <c r="D62" s="877" t="s">
        <v>469</v>
      </c>
      <c r="E62" s="869"/>
      <c r="F62" s="1939">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9">
        <f>'Expenditures 15-22'!K196</f>
        <v>188019</v>
      </c>
      <c r="G63" s="866"/>
    </row>
    <row r="64" spans="1:7" x14ac:dyDescent="0.2">
      <c r="A64" s="896" t="s">
        <v>481</v>
      </c>
      <c r="B64" s="896" t="s">
        <v>1998</v>
      </c>
      <c r="C64" s="897" t="str">
        <f>'Expenditures 15-22'!B206</f>
        <v>5300</v>
      </c>
      <c r="D64" s="893" t="s">
        <v>329</v>
      </c>
      <c r="E64" s="869"/>
      <c r="F64" s="1939">
        <f>'Expenditures 15-22'!K206</f>
        <v>0</v>
      </c>
      <c r="G64" s="866"/>
    </row>
    <row r="65" spans="1:8" x14ac:dyDescent="0.2">
      <c r="A65" s="870" t="s">
        <v>481</v>
      </c>
      <c r="B65" s="870" t="s">
        <v>1999</v>
      </c>
      <c r="C65" s="887" t="s">
        <v>1039</v>
      </c>
      <c r="D65" s="886" t="s">
        <v>1157</v>
      </c>
      <c r="E65" s="869"/>
      <c r="F65" s="1939">
        <f>'Expenditures 15-22'!G210</f>
        <v>0</v>
      </c>
      <c r="G65" s="866"/>
    </row>
    <row r="66" spans="1:8" x14ac:dyDescent="0.2">
      <c r="A66" s="870" t="s">
        <v>481</v>
      </c>
      <c r="B66" s="870" t="s">
        <v>2000</v>
      </c>
      <c r="C66" s="887" t="s">
        <v>1039</v>
      </c>
      <c r="D66" s="886" t="s">
        <v>309</v>
      </c>
      <c r="E66" s="869"/>
      <c r="F66" s="1939">
        <f>'Expenditures 15-22'!I210</f>
        <v>0</v>
      </c>
      <c r="G66" s="866"/>
    </row>
    <row r="67" spans="1:8" x14ac:dyDescent="0.2">
      <c r="A67" s="870" t="s">
        <v>482</v>
      </c>
      <c r="B67" s="870" t="s">
        <v>2001</v>
      </c>
      <c r="C67" s="887" t="str">
        <f>'Expenditures 15-22'!B216</f>
        <v>1125</v>
      </c>
      <c r="D67" s="893" t="str">
        <f>'Expenditures 15-22'!A216</f>
        <v>Pre-K Programs</v>
      </c>
      <c r="E67" s="869"/>
      <c r="F67" s="1939">
        <f>'Expenditures 15-22'!K216</f>
        <v>3347</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2003</v>
      </c>
      <c r="C70" s="887">
        <f>'Expenditures 15-22'!B221</f>
        <v>1300</v>
      </c>
      <c r="D70" s="888" t="str">
        <f>'Expenditures 15-22'!A221</f>
        <v>Adult/Continuing Education Programs</v>
      </c>
      <c r="E70" s="869"/>
      <c r="F70" s="1939">
        <f>'Expenditures 15-22'!K221</f>
        <v>0</v>
      </c>
      <c r="G70" s="866"/>
    </row>
    <row r="71" spans="1:8" x14ac:dyDescent="0.2">
      <c r="A71" s="870" t="s">
        <v>482</v>
      </c>
      <c r="B71" s="870" t="s">
        <v>2004</v>
      </c>
      <c r="C71" s="887">
        <f>'Expenditures 15-22'!B224</f>
        <v>1600</v>
      </c>
      <c r="D71" s="888" t="str">
        <f>'Expenditures 15-22'!A224</f>
        <v>Summer School Programs</v>
      </c>
      <c r="E71" s="869"/>
      <c r="F71" s="1939">
        <f>'Expenditures 15-22'!K224</f>
        <v>0</v>
      </c>
      <c r="G71" s="866"/>
    </row>
    <row r="72" spans="1:8" x14ac:dyDescent="0.2">
      <c r="A72" s="870" t="s">
        <v>482</v>
      </c>
      <c r="B72" s="870" t="s">
        <v>2005</v>
      </c>
      <c r="C72" s="887">
        <f>'Expenditures 15-22'!B280</f>
        <v>3000</v>
      </c>
      <c r="D72" s="877" t="s">
        <v>469</v>
      </c>
      <c r="E72" s="869"/>
      <c r="F72" s="1939">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2007</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1015</v>
      </c>
      <c r="F76" s="1800">
        <f>SUM(F18:F74)</f>
        <v>1808508</v>
      </c>
      <c r="G76" s="866"/>
    </row>
    <row r="77" spans="1:8" s="894" customFormat="1" ht="12" customHeight="1" thickTop="1" thickBot="1" x14ac:dyDescent="0.25">
      <c r="A77" s="1801"/>
      <c r="B77" s="1798"/>
      <c r="C77" s="1794"/>
      <c r="D77" s="1799" t="s">
        <v>2009</v>
      </c>
      <c r="E77" s="1796"/>
      <c r="F77" s="1802">
        <f>(F14-F76)</f>
        <v>9304090</v>
      </c>
      <c r="G77" s="870"/>
    </row>
    <row r="78" spans="1:8" s="894" customFormat="1" ht="12" customHeight="1" thickTop="1" x14ac:dyDescent="0.2">
      <c r="A78" s="1803"/>
      <c r="B78" s="1798"/>
      <c r="C78" s="1794"/>
      <c r="D78" s="1799" t="s">
        <v>2055</v>
      </c>
      <c r="E78" s="1796"/>
      <c r="F78" s="899">
        <v>850.27</v>
      </c>
      <c r="G78" s="900"/>
      <c r="H78" s="870"/>
    </row>
    <row r="79" spans="1:8" s="894" customFormat="1" ht="12" customHeight="1" thickBot="1" x14ac:dyDescent="0.25">
      <c r="A79" s="1804"/>
      <c r="B79" s="1798"/>
      <c r="C79" s="1794"/>
      <c r="D79" s="1799" t="s">
        <v>2010</v>
      </c>
      <c r="E79" s="1796" t="s">
        <v>1015</v>
      </c>
      <c r="F79" s="1805">
        <f>IF(F78&gt;0,F77/F78," Complete Line 78")</f>
        <v>10942.512378420972</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1049</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160682</v>
      </c>
      <c r="G94" s="913"/>
    </row>
    <row r="95" spans="1:7" x14ac:dyDescent="0.2">
      <c r="A95" s="909" t="s">
        <v>142</v>
      </c>
      <c r="B95" s="909" t="s">
        <v>177</v>
      </c>
      <c r="C95" s="911">
        <v>1700</v>
      </c>
      <c r="D95" s="919" t="str">
        <f>'Revenues 9-14'!A82</f>
        <v>Total District/School Activity Income</v>
      </c>
      <c r="E95" s="907"/>
      <c r="F95" s="1811">
        <f>SUM('Revenues 9-14'!C82,'Revenues 9-14'!D82)</f>
        <v>24895</v>
      </c>
      <c r="G95" s="913"/>
    </row>
    <row r="96" spans="1:7" x14ac:dyDescent="0.2">
      <c r="A96" s="909" t="s">
        <v>479</v>
      </c>
      <c r="B96" s="909" t="s">
        <v>178</v>
      </c>
      <c r="C96" s="911">
        <f>'Revenues 9-14'!B84</f>
        <v>1811</v>
      </c>
      <c r="D96" s="912" t="str">
        <f>'Revenues 9-14'!A84</f>
        <v>Rentals - Regular Textbooks</v>
      </c>
      <c r="E96" s="907"/>
      <c r="F96" s="1811">
        <f>'Revenues 9-14'!C84</f>
        <v>29780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6200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134998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44567</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5123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14758</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284445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9360</v>
      </c>
      <c r="G128" s="931"/>
    </row>
    <row r="129" spans="1:7" x14ac:dyDescent="0.2">
      <c r="A129" s="928" t="s">
        <v>685</v>
      </c>
      <c r="B129" s="928" t="s">
        <v>803</v>
      </c>
      <c r="C129" s="933">
        <v>4200</v>
      </c>
      <c r="D129" s="930" t="str">
        <f>'Revenues 9-14'!A201</f>
        <v>Total Food Service</v>
      </c>
      <c r="E129" s="907"/>
      <c r="F129" s="1811">
        <f>SUM('Revenues 9-14'!C201,'Revenues 9-14'!G201)</f>
        <v>351183</v>
      </c>
      <c r="G129" s="931"/>
    </row>
    <row r="130" spans="1:7" x14ac:dyDescent="0.2">
      <c r="A130" s="928" t="s">
        <v>689</v>
      </c>
      <c r="B130" s="928" t="s">
        <v>804</v>
      </c>
      <c r="C130" s="933">
        <v>4300</v>
      </c>
      <c r="D130" s="934" t="str">
        <f>'Revenues 9-14'!A211</f>
        <v>Total Title I</v>
      </c>
      <c r="E130" s="907"/>
      <c r="F130" s="1811">
        <f>SUM('Revenues 9-14'!C211,'Revenues 9-14'!D211,'Revenues 9-14'!F211,'Revenues 9-14'!G211)</f>
        <v>424755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48169</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10833</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26024</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2054</v>
      </c>
      <c r="C175" s="1946">
        <v>3100</v>
      </c>
      <c r="D175" s="1947" t="s">
        <v>2057</v>
      </c>
      <c r="E175" s="907"/>
      <c r="F175" s="1931"/>
      <c r="G175" s="928"/>
    </row>
    <row r="176" spans="1:7" x14ac:dyDescent="0.2">
      <c r="A176" s="1944" t="s">
        <v>685</v>
      </c>
      <c r="B176" s="1945" t="s">
        <v>2054</v>
      </c>
      <c r="C176" s="1946">
        <v>3300</v>
      </c>
      <c r="D176" s="1947" t="s">
        <v>2058</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1015</v>
      </c>
      <c r="F178" s="1810">
        <f>SUM(F84:F136,F161:F176)</f>
        <v>1578321</v>
      </c>
    </row>
    <row r="179" spans="1:7" ht="12" customHeight="1" x14ac:dyDescent="0.2">
      <c r="A179" s="1792"/>
      <c r="B179" s="1806"/>
      <c r="C179" s="1807"/>
      <c r="D179" s="1808" t="s">
        <v>2012</v>
      </c>
      <c r="E179" s="1809"/>
      <c r="F179" s="1811">
        <f>'PCTC-OEPP 27-28'!F77-F178</f>
        <v>7725769</v>
      </c>
    </row>
    <row r="180" spans="1:7" ht="12" customHeight="1" x14ac:dyDescent="0.2">
      <c r="A180" s="1792"/>
      <c r="B180" s="1806"/>
      <c r="C180" s="1807"/>
      <c r="D180" s="1808" t="s">
        <v>1922</v>
      </c>
      <c r="E180" s="1809"/>
      <c r="F180" s="1811">
        <f>'Cap Outlay Deprec 26'!I18</f>
        <v>290704</v>
      </c>
    </row>
    <row r="181" spans="1:7" ht="12" customHeight="1" x14ac:dyDescent="0.2">
      <c r="A181" s="1792"/>
      <c r="B181" s="1806"/>
      <c r="C181" s="1807"/>
      <c r="D181" s="1808" t="s">
        <v>2013</v>
      </c>
      <c r="E181" s="1809"/>
      <c r="F181" s="1811">
        <f>F179+F180</f>
        <v>8016473</v>
      </c>
    </row>
    <row r="182" spans="1:7" ht="12" customHeight="1" x14ac:dyDescent="0.2">
      <c r="A182" s="1792"/>
      <c r="B182" s="1812"/>
      <c r="C182" s="1807"/>
      <c r="D182" s="1808" t="str">
        <f>D78</f>
        <v>9 Month ADA from District Average Daily Attendance/Prior General State Aid Inquiry 2017-2018</v>
      </c>
      <c r="E182" s="1809"/>
      <c r="F182" s="1813">
        <f>'PCTC-OEPP 27-28'!F78</f>
        <v>850.27</v>
      </c>
      <c r="G182" s="931"/>
    </row>
    <row r="183" spans="1:7" ht="12" customHeight="1" thickBot="1" x14ac:dyDescent="0.25">
      <c r="A183" s="1792"/>
      <c r="B183" s="1812"/>
      <c r="C183" s="1807"/>
      <c r="D183" s="1808" t="s">
        <v>2014</v>
      </c>
      <c r="E183" s="1809" t="s">
        <v>1626</v>
      </c>
      <c r="F183" s="1814">
        <f>F181/F182</f>
        <v>9428.1498818022519</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0" t="s">
        <v>1923</v>
      </c>
      <c r="B4" s="2291"/>
      <c r="C4" s="2291"/>
      <c r="D4" s="2291"/>
      <c r="E4" s="2291"/>
      <c r="F4" s="2291"/>
      <c r="G4" s="2292"/>
    </row>
    <row r="5" spans="1:7" x14ac:dyDescent="0.25">
      <c r="A5" s="2293"/>
      <c r="B5" s="2294"/>
      <c r="C5" s="2294"/>
      <c r="D5" s="2294"/>
      <c r="E5" s="2294"/>
      <c r="F5" s="2294"/>
      <c r="G5" s="2295"/>
    </row>
    <row r="6" spans="1:7" ht="18.75" x14ac:dyDescent="0.25">
      <c r="A6" s="1556" t="s">
        <v>1924</v>
      </c>
      <c r="B6" s="1557"/>
      <c r="C6" s="1557"/>
      <c r="D6" s="1557"/>
      <c r="E6" s="1557"/>
      <c r="F6" s="1557"/>
      <c r="G6" s="1558"/>
    </row>
    <row r="7" spans="1:7" ht="30.75" customHeight="1" x14ac:dyDescent="0.25">
      <c r="A7" s="2296" t="s">
        <v>2071</v>
      </c>
      <c r="B7" s="2297"/>
      <c r="C7" s="2297"/>
      <c r="D7" s="2297"/>
      <c r="E7" s="2297"/>
      <c r="F7" s="2297"/>
      <c r="G7" s="2298"/>
    </row>
    <row r="8" spans="1:7" ht="15.75" customHeight="1" x14ac:dyDescent="0.25">
      <c r="A8" s="2299" t="s">
        <v>2020</v>
      </c>
      <c r="B8" s="2300"/>
      <c r="C8" s="2300"/>
      <c r="D8" s="2300"/>
      <c r="E8" s="2300"/>
      <c r="F8" s="2300"/>
      <c r="G8" s="2301"/>
    </row>
    <row r="9" spans="1:7" ht="35.25" customHeight="1" x14ac:dyDescent="0.25">
      <c r="A9" s="2296" t="s">
        <v>2074</v>
      </c>
      <c r="B9" s="2297"/>
      <c r="C9" s="2297"/>
      <c r="D9" s="2297"/>
      <c r="E9" s="2297"/>
      <c r="F9" s="2297"/>
      <c r="G9" s="2298"/>
    </row>
    <row r="10" spans="1:7" ht="15" customHeight="1" x14ac:dyDescent="0.25">
      <c r="A10" s="1559" t="s">
        <v>1925</v>
      </c>
      <c r="B10" s="1560"/>
      <c r="C10" s="1560"/>
      <c r="D10" s="1560"/>
      <c r="E10" s="1560"/>
      <c r="F10" s="1560"/>
      <c r="G10" s="1561"/>
    </row>
    <row r="11" spans="1:7" ht="17.25" customHeight="1" x14ac:dyDescent="0.25">
      <c r="A11" s="2296" t="s">
        <v>2073</v>
      </c>
      <c r="B11" s="2297"/>
      <c r="C11" s="2297"/>
      <c r="D11" s="2297"/>
      <c r="E11" s="2297"/>
      <c r="F11" s="2297"/>
      <c r="G11" s="2298"/>
    </row>
    <row r="12" spans="1:7" ht="15" customHeight="1" x14ac:dyDescent="0.25">
      <c r="A12" s="1559" t="s">
        <v>1930</v>
      </c>
      <c r="B12" s="1560"/>
      <c r="C12" s="1560"/>
      <c r="D12" s="1560"/>
      <c r="E12" s="1560"/>
      <c r="F12" s="1560"/>
      <c r="G12" s="1561"/>
    </row>
    <row r="13" spans="1:7" ht="32.25" customHeight="1" x14ac:dyDescent="0.25">
      <c r="A13" s="2287" t="s">
        <v>1931</v>
      </c>
      <c r="B13" s="2288"/>
      <c r="C13" s="2288"/>
      <c r="D13" s="2288"/>
      <c r="E13" s="2288"/>
      <c r="F13" s="2288"/>
      <c r="G13" s="2289"/>
    </row>
    <row r="14" spans="1:7" x14ac:dyDescent="0.25">
      <c r="A14" s="1683" t="s">
        <v>1939</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1940</v>
      </c>
      <c r="B16" s="1671" t="s">
        <v>1929</v>
      </c>
      <c r="C16" s="1672" t="s">
        <v>1927</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ht="30" x14ac:dyDescent="0.25">
      <c r="A17" s="1958" t="s">
        <v>2098</v>
      </c>
      <c r="B17" s="1957" t="s">
        <v>2097</v>
      </c>
      <c r="C17" s="1956" t="s">
        <v>2096</v>
      </c>
      <c r="D17" s="1867">
        <v>66700</v>
      </c>
      <c r="E17" s="1562">
        <f t="shared" ref="E17:E141" si="1">IF(D17&lt;=25000,D17,IF(D17&gt;25000,25000,0))</f>
        <v>25000</v>
      </c>
      <c r="F17" s="1815">
        <f t="shared" si="0"/>
        <v>25000</v>
      </c>
      <c r="G17" s="1816">
        <f>IF(F17=0,0,D17-F17)</f>
        <v>41700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66700</v>
      </c>
      <c r="E141" s="1563">
        <f t="shared" si="1"/>
        <v>25000</v>
      </c>
      <c r="F141" s="1817">
        <f>SUM(F17:F140)</f>
        <v>25000</v>
      </c>
      <c r="G141" s="1818">
        <f>SUM(G17:G140)</f>
        <v>41700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1778</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209523</v>
      </c>
      <c r="F10" s="975"/>
      <c r="G10" s="976"/>
      <c r="H10" s="162"/>
      <c r="I10" s="162"/>
    </row>
    <row r="11" spans="1:9" s="669" customFormat="1" ht="22.5" customHeight="1" x14ac:dyDescent="0.2">
      <c r="A11" s="2307" t="s">
        <v>1942</v>
      </c>
      <c r="B11" s="2308"/>
      <c r="C11" s="2308"/>
      <c r="D11" s="2309"/>
      <c r="E11" s="978">
        <v>53887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5653664</v>
      </c>
      <c r="F19" s="1822"/>
      <c r="G19" s="1824">
        <f>'Expenditures 15-22'!K33-SUM('Expenditures 15-22'!G33,'Expenditures 15-22'!I33)+'Expenditures 15-22'!D229</f>
        <v>5653664</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258408</v>
      </c>
      <c r="F21" s="1825"/>
      <c r="G21" s="1828">
        <f>'Expenditures 15-22'!K42-SUM('Expenditures 15-22'!G42,'Expenditures 15-22'!I42)+'Expenditures 15-22'!K120-SUM('Expenditures 15-22'!G120,'Expenditures 15-22'!I120)+'Expenditures 15-22'!K180-SUM('Expenditures 15-22'!G180,'Expenditures 15-22'!I180)+'Expenditures 15-22'!D238</f>
        <v>258408</v>
      </c>
      <c r="H21" s="988"/>
      <c r="I21" s="162"/>
    </row>
    <row r="22" spans="1:9" s="669" customFormat="1" ht="12" customHeight="1" x14ac:dyDescent="0.2">
      <c r="A22" s="995" t="s">
        <v>585</v>
      </c>
      <c r="B22" s="996"/>
      <c r="C22" s="994">
        <v>2200</v>
      </c>
      <c r="D22" s="1825"/>
      <c r="E22" s="1827">
        <f>'Expenditures 15-22'!K47-SUM('Expenditures 15-22'!G47,'Expenditures 15-22'!I47)+'Expenditures 15-22'!D243</f>
        <v>308382</v>
      </c>
      <c r="F22" s="1825"/>
      <c r="G22" s="1828">
        <f>'Expenditures 15-22'!K47-SUM('Expenditures 15-22'!G47,'Expenditures 15-22'!I47)+'Expenditures 15-22'!D243</f>
        <v>308382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712880</v>
      </c>
      <c r="F23" s="1825"/>
      <c r="G23" s="1827">
        <f>'Expenditures 15-22'!K53-SUM('Expenditures 15-22'!G53,'Expenditures 15-22'!I53)+'Expenditures 15-22'!D257+'Expenditures 15-22'!K330-SUM('Expenditures 15-22'!G330,'Expenditures 15-22'!I330)</f>
        <v>712880</v>
      </c>
      <c r="H23" s="988"/>
      <c r="I23" s="162"/>
    </row>
    <row r="24" spans="1:9" s="669" customFormat="1" ht="12" customHeight="1" x14ac:dyDescent="0.2">
      <c r="A24" s="995" t="s">
        <v>587</v>
      </c>
      <c r="B24" s="996"/>
      <c r="C24" s="994">
        <v>2400</v>
      </c>
      <c r="D24" s="1825"/>
      <c r="E24" s="1827">
        <f>'Expenditures 15-22'!K57-SUM('Expenditures 15-22'!G57,'Expenditures 15-22'!I57)+'Expenditures 15-22'!D261</f>
        <v>590545</v>
      </c>
      <c r="F24" s="1825"/>
      <c r="G24" s="1828">
        <f>'Expenditures 15-22'!K57-SUM('Expenditures 15-22'!G57,'Expenditures 15-22'!I57)+'Expenditures 15-22'!D261</f>
        <v>590545</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41388</v>
      </c>
      <c r="E27" s="1827">
        <f>E8</f>
        <v>0</v>
      </c>
      <c r="F27" s="1827">
        <f>'Expenditures 15-22'!K60-SUM('Expenditures 15-22'!G60,'Expenditures 15-22'!I60)+'Expenditures 15-22'!D264-E8</f>
        <v>41388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955029</v>
      </c>
      <c r="F28" s="1829">
        <f>'Expenditures 15-22'!K61-SUM('Expenditures 15-22'!G61,'Expenditures 15-22'!I61)+'Expenditures 15-22'!K124-SUM('Expenditures 15-22'!G124,'Expenditures 15-22'!I124)+'Expenditures 15-22'!D266-E9</f>
        <v>955029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294664</v>
      </c>
      <c r="F29" s="1825"/>
      <c r="G29" s="1828">
        <f>'Expenditures 15-22'!K62-SUM('Expenditures 15-22'!G62,'Expenditures 15-22'!I62)+'Expenditures 15-22'!K125-SUM('Expenditures 15-22'!G125,'Expenditures 15-22'!I125)+'Expenditures 15-22'!K182-SUM('Expenditures 15-22'!G182,'Expenditures 15-22'!I182)+'Expenditures 15-22'!D267</f>
        <v>294664</v>
      </c>
      <c r="H29" s="986"/>
    </row>
    <row r="30" spans="1:9" ht="12" customHeight="1" x14ac:dyDescent="0.2">
      <c r="A30" s="995" t="s">
        <v>102</v>
      </c>
      <c r="B30" s="998"/>
      <c r="C30" s="994">
        <v>2560</v>
      </c>
      <c r="D30" s="1825"/>
      <c r="E30" s="1827">
        <f>'Expenditures 15-22'!K63-SUM('Expenditures 15-22'!G63,'Expenditures 15-22'!I63)+'Expenditures 15-22'!D268-E10</f>
        <v>359737</v>
      </c>
      <c r="F30" s="1825"/>
      <c r="G30" s="1827">
        <f>'Expenditures 15-22'!K63-SUM('Expenditures 15-22'!G63,'Expenditures 15-22'!I63)+'Expenditures 15-22'!D268-E10</f>
        <v>359737</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705</v>
      </c>
      <c r="F38" s="1825"/>
      <c r="G38" s="1827">
        <f>'Expenditures 15-22'!K73-SUM('Expenditures 15-22'!G73,'Expenditures 15-22'!I73)+'Expenditures 15-22'!K128-SUM('Expenditures 15-22'!G128,'Expenditures 15-22'!I128)+'Expenditures 15-22'!K183-SUM('Expenditures 15-22'!G183,'Expenditures 15-22'!I183)+'Expenditures 15-22'!D278</f>
        <v>705</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5"/>
      <c r="E40" s="1829">
        <f>-'Contracts Paid in CY 29'!G141</f>
        <v>-41700</v>
      </c>
      <c r="F40" s="1825"/>
      <c r="G40" s="1829">
        <f>-'Contracts Paid in CY 29'!G141</f>
        <v>-41700</v>
      </c>
    </row>
    <row r="41" spans="1:7" ht="12" customHeight="1" x14ac:dyDescent="0.2">
      <c r="A41" s="999" t="s">
        <v>158</v>
      </c>
      <c r="B41" s="1000"/>
      <c r="C41" s="1001"/>
      <c r="D41" s="1829">
        <f>SUM(D19:D39)</f>
        <v>41388</v>
      </c>
      <c r="E41" s="1829">
        <f>SUM(E19:E40)</f>
        <v>9092314</v>
      </c>
      <c r="F41" s="1829">
        <f>SUM(F19:F39)</f>
        <v>996417</v>
      </c>
      <c r="G41" s="1829">
        <f>SUM(G19:G40)</f>
        <v>8137285</v>
      </c>
    </row>
    <row r="42" spans="1:7" x14ac:dyDescent="0.2">
      <c r="A42" s="988"/>
      <c r="B42" s="162"/>
      <c r="C42" s="1002"/>
      <c r="D42" s="2305" t="s">
        <v>543</v>
      </c>
      <c r="E42" s="2306"/>
      <c r="F42" s="1003" t="s">
        <v>544</v>
      </c>
      <c r="G42" s="1004"/>
    </row>
    <row r="43" spans="1:7" ht="12" customHeight="1" x14ac:dyDescent="0.2">
      <c r="A43" s="988"/>
      <c r="B43" s="162"/>
      <c r="C43" s="1002"/>
      <c r="D43" s="1830" t="s">
        <v>493</v>
      </c>
      <c r="E43" s="1831">
        <f>D41</f>
        <v>41388</v>
      </c>
      <c r="F43" s="1830" t="s">
        <v>495</v>
      </c>
      <c r="G43" s="1831">
        <f>F41</f>
        <v>996417</v>
      </c>
    </row>
    <row r="44" spans="1:7" ht="12" customHeight="1" x14ac:dyDescent="0.2">
      <c r="A44" s="988"/>
      <c r="B44" s="162"/>
      <c r="C44" s="1002"/>
      <c r="D44" s="1830" t="s">
        <v>494</v>
      </c>
      <c r="E44" s="1831">
        <f>E41</f>
        <v>9092314</v>
      </c>
      <c r="F44" s="1830" t="s">
        <v>494</v>
      </c>
      <c r="G44" s="1831">
        <f>G41</f>
        <v>8137285</v>
      </c>
    </row>
    <row r="45" spans="1:7" ht="12" customHeight="1" x14ac:dyDescent="0.2">
      <c r="A45" s="988"/>
      <c r="B45" s="162"/>
      <c r="C45" s="162"/>
      <c r="D45" s="1832" t="s">
        <v>1063</v>
      </c>
      <c r="E45" s="1833">
        <f>(E43/E44)</f>
        <v>4.5519765375458873E-3</v>
      </c>
      <c r="F45" s="1832" t="s">
        <v>1063</v>
      </c>
      <c r="G45" s="1833">
        <f>(G43/G44)</f>
        <v>0.12245079286273002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3" t="s">
        <v>1446</v>
      </c>
      <c r="B1" s="2313"/>
      <c r="C1" s="2313"/>
      <c r="D1" s="2313"/>
      <c r="E1" s="2313"/>
      <c r="F1" s="2313"/>
    </row>
    <row r="2" spans="1:10" x14ac:dyDescent="0.2">
      <c r="A2" s="1912" t="s">
        <v>2044</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4" t="s">
        <v>1627</v>
      </c>
      <c r="B5" s="2315"/>
      <c r="C5" s="2316"/>
      <c r="D5" s="2316"/>
      <c r="E5" s="2316"/>
      <c r="F5" s="2316"/>
    </row>
    <row r="6" spans="1:10" ht="12" customHeight="1" x14ac:dyDescent="0.25">
      <c r="A6" s="1875"/>
      <c r="B6" s="1876"/>
      <c r="C6" s="2317" t="str">
        <f>COVER!A17</f>
        <v>Iroquois Co CUSD 9</v>
      </c>
      <c r="D6" s="2317"/>
      <c r="E6" s="2317"/>
      <c r="F6" s="1877"/>
    </row>
    <row r="7" spans="1:10" ht="11.25" customHeight="1" thickBot="1" x14ac:dyDescent="0.3">
      <c r="A7" s="1875"/>
      <c r="B7" s="1876"/>
      <c r="C7" s="2318">
        <f>COVER!A13</f>
        <v>32038009026</v>
      </c>
      <c r="D7" s="2318"/>
      <c r="E7" s="2318"/>
      <c r="F7" s="1877"/>
    </row>
    <row r="8" spans="1:10" ht="25.5" customHeight="1" thickBot="1" x14ac:dyDescent="0.25">
      <c r="A8" s="1918" t="s">
        <v>2021</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2075</v>
      </c>
      <c r="D26" s="1890" t="s">
        <v>2075</v>
      </c>
      <c r="E26" s="1893" t="s">
        <v>2075</v>
      </c>
      <c r="F26" s="1892" t="s">
        <v>2093</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8"/>
      <c r="B39" s="1898"/>
      <c r="C39" s="1898"/>
      <c r="D39" s="1898"/>
      <c r="E39" s="1898"/>
      <c r="F39" s="1898"/>
    </row>
    <row r="40" spans="1:11" s="1895" customFormat="1" ht="12" customHeight="1" x14ac:dyDescent="0.25">
      <c r="A40" s="1899" t="s">
        <v>1458</v>
      </c>
      <c r="B40" s="1900"/>
      <c r="C40" s="2327"/>
      <c r="D40" s="2327"/>
      <c r="E40" s="2327"/>
      <c r="F40" s="2328"/>
      <c r="H40" s="1904"/>
      <c r="I40" s="1904"/>
      <c r="J40" s="1904"/>
      <c r="K40" s="1904"/>
    </row>
    <row r="41" spans="1:11" s="1895" customFormat="1" ht="12" customHeight="1" x14ac:dyDescent="0.25">
      <c r="A41" s="2329"/>
      <c r="B41" s="2330"/>
      <c r="C41" s="2330"/>
      <c r="D41" s="2330"/>
      <c r="E41" s="2330"/>
      <c r="F41" s="2331"/>
      <c r="H41" s="1904"/>
      <c r="I41" s="1904"/>
      <c r="J41" s="1904"/>
      <c r="K41" s="1904"/>
    </row>
    <row r="42" spans="1:11" s="1895" customFormat="1" ht="12" customHeight="1" x14ac:dyDescent="0.25">
      <c r="A42" s="2329"/>
      <c r="B42" s="2330"/>
      <c r="C42" s="2330"/>
      <c r="D42" s="2330"/>
      <c r="E42" s="2330"/>
      <c r="F42" s="2331"/>
      <c r="H42" s="1904"/>
      <c r="I42" s="1904"/>
      <c r="J42" s="1904"/>
      <c r="K42" s="1904"/>
    </row>
    <row r="43" spans="1:11" s="1895" customFormat="1" ht="15" x14ac:dyDescent="0.25">
      <c r="A43" s="2321"/>
      <c r="B43" s="2322"/>
      <c r="C43" s="2322"/>
      <c r="D43" s="2322"/>
      <c r="E43" s="2322"/>
      <c r="F43" s="2323"/>
      <c r="H43" s="1904"/>
      <c r="I43" s="1904"/>
      <c r="J43" s="1904"/>
      <c r="K43" s="1904"/>
    </row>
    <row r="44" spans="1:11" s="1895" customFormat="1" ht="12" hidden="1" customHeight="1" x14ac:dyDescent="0.25">
      <c r="A44" s="2321"/>
      <c r="B44" s="2322"/>
      <c r="C44" s="2322"/>
      <c r="D44" s="2322"/>
      <c r="E44" s="2322"/>
      <c r="F44" s="2323"/>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7" t="str">
        <f>COVER!A17</f>
        <v>Iroquois Co CUSD 9</v>
      </c>
      <c r="J6" s="2338"/>
      <c r="Q6" s="1686"/>
    </row>
    <row r="7" spans="1:17" x14ac:dyDescent="0.2">
      <c r="A7" s="2339" t="s">
        <v>924</v>
      </c>
      <c r="B7" s="2340"/>
      <c r="C7" s="2340"/>
      <c r="D7" s="2340"/>
      <c r="E7" s="2341"/>
      <c r="F7" s="1018"/>
      <c r="G7" s="1010"/>
      <c r="H7" s="1017" t="s">
        <v>390</v>
      </c>
      <c r="I7" s="2342">
        <f>COVER!A13</f>
        <v>32038009026</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157973</v>
      </c>
      <c r="F12" s="1040"/>
      <c r="G12" s="1834">
        <f t="shared" ref="G12:G18" si="0">SUM(E12:F12)</f>
        <v>157973</v>
      </c>
      <c r="H12" s="1041">
        <v>193900</v>
      </c>
      <c r="I12" s="1040"/>
      <c r="J12" s="1834">
        <f t="shared" ref="J12:J18" si="1">SUM(H12:I12)</f>
        <v>193900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6" t="s">
        <v>7</v>
      </c>
      <c r="C18" s="2347"/>
      <c r="D18" s="2348"/>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157973</v>
      </c>
      <c r="F19" s="1836">
        <f t="shared" si="2"/>
        <v>0</v>
      </c>
      <c r="G19" s="1836">
        <f t="shared" si="2"/>
        <v>157973</v>
      </c>
      <c r="H19" s="1836">
        <f t="shared" si="2"/>
        <v>193900</v>
      </c>
      <c r="I19" s="1836">
        <f t="shared" si="2"/>
        <v>0</v>
      </c>
      <c r="J19" s="1836">
        <f t="shared" si="2"/>
        <v>193900</v>
      </c>
    </row>
    <row r="20" spans="1:10" ht="13.5" thickTop="1" x14ac:dyDescent="0.2">
      <c r="A20" s="1036">
        <v>9</v>
      </c>
      <c r="B20" s="2349" t="s">
        <v>1703</v>
      </c>
      <c r="C20" s="2349"/>
      <c r="D20" s="2350"/>
      <c r="E20" s="1047"/>
      <c r="F20" s="1047"/>
      <c r="G20" s="1047"/>
      <c r="H20" s="1047"/>
      <c r="I20" s="1047"/>
      <c r="J20" s="1837">
        <f>IF(AND(G19&gt;0,J19&gt;0),(((J19-G19)/G19)),"Enter Budget Data")</f>
        <v>0.22742493970488628</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1941</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B4" sqref="B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9" t="s">
        <v>2101</v>
      </c>
    </row>
    <row r="6" spans="1:2" x14ac:dyDescent="0.2">
      <c r="A6" s="1069"/>
      <c r="B6" s="329" t="s">
        <v>2102</v>
      </c>
    </row>
    <row r="7" spans="1:2" x14ac:dyDescent="0.2">
      <c r="A7" s="1069"/>
      <c r="B7" s="329" t="s">
        <v>2099</v>
      </c>
    </row>
    <row r="8" spans="1:2" x14ac:dyDescent="0.2">
      <c r="A8" s="1069"/>
    </row>
    <row r="9" spans="1:2" x14ac:dyDescent="0.2">
      <c r="A9" s="1069">
        <v>2</v>
      </c>
      <c r="B9" s="1959" t="s">
        <v>2100</v>
      </c>
    </row>
    <row r="10" spans="1:2" x14ac:dyDescent="0.2">
      <c r="A10" s="1070"/>
      <c r="B10" s="329" t="s">
        <v>2103</v>
      </c>
    </row>
    <row r="11" spans="1:2" x14ac:dyDescent="0.2">
      <c r="A11" s="1070"/>
      <c r="B11" s="329" t="s">
        <v>2104</v>
      </c>
    </row>
    <row r="12" spans="1:2" x14ac:dyDescent="0.2">
      <c r="A12" s="1070"/>
      <c r="B12" s="329" t="s">
        <v>2105</v>
      </c>
    </row>
    <row r="13" spans="1:2" x14ac:dyDescent="0.2">
      <c r="A13" s="1070"/>
      <c r="B13" s="329" t="s">
        <v>2106</v>
      </c>
    </row>
    <row r="14" spans="1:2" x14ac:dyDescent="0.2">
      <c r="A14" s="1070"/>
    </row>
    <row r="15" spans="1:2" x14ac:dyDescent="0.2">
      <c r="A15" s="1070">
        <v>3</v>
      </c>
      <c r="B15" s="1959" t="s">
        <v>2107</v>
      </c>
    </row>
    <row r="16" spans="1:2" x14ac:dyDescent="0.2">
      <c r="A16" s="1070"/>
      <c r="B16" s="329" t="s">
        <v>2108</v>
      </c>
    </row>
    <row r="17" spans="1:2" x14ac:dyDescent="0.2">
      <c r="A17" s="1070"/>
    </row>
    <row r="18" spans="1:2" x14ac:dyDescent="0.2">
      <c r="A18" s="1070">
        <v>4</v>
      </c>
      <c r="B18" s="1959" t="s">
        <v>2109</v>
      </c>
    </row>
    <row r="19" spans="1:2" x14ac:dyDescent="0.2">
      <c r="A19" s="1070"/>
      <c r="B19" s="329" t="s">
        <v>2110</v>
      </c>
    </row>
    <row r="20" spans="1:2" x14ac:dyDescent="0.2">
      <c r="A20" s="1070"/>
    </row>
    <row r="21" spans="1:2" x14ac:dyDescent="0.2">
      <c r="A21" s="1070">
        <v>5</v>
      </c>
      <c r="B21" s="1959" t="s">
        <v>2111</v>
      </c>
    </row>
    <row r="22" spans="1:2" x14ac:dyDescent="0.2">
      <c r="A22" s="1070"/>
      <c r="B22" s="329" t="s">
        <v>2112</v>
      </c>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Iroquois Co CUSD 9</v>
      </c>
    </row>
    <row r="66" spans="1:2" x14ac:dyDescent="0.2">
      <c r="B66" s="1071">
        <f>COVER!A13</f>
        <v>32038009026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324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5324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2052</v>
      </c>
      <c r="B4" s="2377"/>
      <c r="C4" s="2377"/>
      <c r="D4" s="2377"/>
      <c r="E4" s="2377"/>
      <c r="F4" s="2378"/>
      <c r="G4" s="1075"/>
      <c r="H4" s="1075"/>
    </row>
    <row r="5" spans="1:8" ht="14.25" customHeight="1" x14ac:dyDescent="0.2">
      <c r="A5" s="2379" t="s">
        <v>2053</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9237959</v>
      </c>
      <c r="C8" s="1838">
        <f>'Acct Summary 7-8'!D8</f>
        <v>843714</v>
      </c>
      <c r="D8" s="1838">
        <f>'Acct Summary 7-8'!F8</f>
        <v>579110</v>
      </c>
      <c r="E8" s="1838">
        <f>'Acct Summary 7-8'!I8</f>
        <v>53016</v>
      </c>
      <c r="F8" s="1838">
        <f>SUM(B8:E8)</f>
        <v>10713799</v>
      </c>
    </row>
    <row r="9" spans="1:8" s="1080" customFormat="1" ht="14.25" customHeight="1" thickBot="1" x14ac:dyDescent="0.25">
      <c r="A9" s="1079" t="s">
        <v>1436</v>
      </c>
      <c r="B9" s="1839">
        <f>'Acct Summary 7-8'!C17</f>
        <v>8594120</v>
      </c>
      <c r="C9" s="1839">
        <f>'Acct Summary 7-8'!D17</f>
        <v>986792</v>
      </c>
      <c r="D9" s="1839">
        <f>'Acct Summary 7-8'!F17</f>
        <v>466185</v>
      </c>
      <c r="E9" s="1838"/>
      <c r="F9" s="1838">
        <f>SUM(B9:E9)</f>
        <v>10047097</v>
      </c>
    </row>
    <row r="10" spans="1:8" s="1080" customFormat="1" ht="14.25" thickTop="1" thickBot="1" x14ac:dyDescent="0.25">
      <c r="A10" s="1081" t="s">
        <v>1437</v>
      </c>
      <c r="B10" s="1840">
        <f>(B8-B9)</f>
        <v>643839</v>
      </c>
      <c r="C10" s="1840">
        <f>(C8-C9)</f>
        <v>-143078</v>
      </c>
      <c r="D10" s="1840">
        <f>(D8-D9)</f>
        <v>112925</v>
      </c>
      <c r="E10" s="1839">
        <f>(E8-E9)</f>
        <v>53016</v>
      </c>
      <c r="F10" s="1841">
        <f>SUM(F8-F9)</f>
        <v>666702</v>
      </c>
    </row>
    <row r="11" spans="1:8" s="1080" customFormat="1" ht="14.25" thickTop="1" thickBot="1" x14ac:dyDescent="0.25">
      <c r="A11" s="1082" t="s">
        <v>1785</v>
      </c>
      <c r="B11" s="1842">
        <f>'Acct Summary 7-8'!C81</f>
        <v>4030771</v>
      </c>
      <c r="C11" s="1842">
        <f>'Acct Summary 7-8'!D81</f>
        <v>832200</v>
      </c>
      <c r="D11" s="1842">
        <f>'Acct Summary 7-8'!F81</f>
        <v>399243</v>
      </c>
      <c r="E11" s="1842">
        <f>'Acct Summary 7-8'!I81</f>
        <v>1877703</v>
      </c>
      <c r="F11" s="1843">
        <f>SUM(B11:E11)</f>
        <v>7139917</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1079</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2050</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32038009026</v>
      </c>
    </row>
    <row r="3" spans="1:2" x14ac:dyDescent="0.2">
      <c r="A3" t="s">
        <v>1013</v>
      </c>
      <c r="B3" s="138" t="str">
        <f>COVER!A15</f>
        <v>IROQUOIS</v>
      </c>
    </row>
    <row r="4" spans="1:2" x14ac:dyDescent="0.2">
      <c r="A4" t="s">
        <v>1064</v>
      </c>
      <c r="B4" s="138" t="str">
        <f>COVER!A17</f>
        <v>Iroquois Co CUSD 9</v>
      </c>
    </row>
    <row r="5" spans="1:2" x14ac:dyDescent="0.2">
      <c r="A5" t="s">
        <v>728</v>
      </c>
      <c r="B5" s="138" t="str">
        <f>COVER!A38</f>
        <v>Guy Gradert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4030771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4030771</v>
      </c>
      <c r="D92" s="2" t="str">
        <f t="shared" si="0"/>
        <v>Error?</v>
      </c>
    </row>
    <row r="93" spans="1:4" x14ac:dyDescent="0.2">
      <c r="A93" s="5">
        <v>32</v>
      </c>
      <c r="B93" s="138">
        <f>'Assets-Liab 5-6'!C41</f>
        <v>4030771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832200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832200</v>
      </c>
      <c r="D123" s="2" t="str">
        <f t="shared" si="0"/>
        <v>Error?</v>
      </c>
    </row>
    <row r="124" spans="1:4" x14ac:dyDescent="0.2">
      <c r="A124" s="5">
        <v>63</v>
      </c>
      <c r="B124" s="138">
        <f>'Assets-Liab 5-6'!D41</f>
        <v>832200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977360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977360</v>
      </c>
      <c r="D140" s="2" t="str">
        <f t="shared" si="1"/>
        <v>Error?</v>
      </c>
    </row>
    <row r="141" spans="1:4" x14ac:dyDescent="0.2">
      <c r="A141" s="5">
        <v>80</v>
      </c>
      <c r="B141" s="138">
        <f>'Assets-Liab 5-6'!E41</f>
        <v>977360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399243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399243</v>
      </c>
      <c r="D170" s="2" t="str">
        <f t="shared" si="1"/>
        <v>Error?</v>
      </c>
    </row>
    <row r="171" spans="1:4" x14ac:dyDescent="0.2">
      <c r="A171" s="5">
        <v>110</v>
      </c>
      <c r="B171" s="138">
        <f>'Assets-Liab 5-6'!F41</f>
        <v>399243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446941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446941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51937</v>
      </c>
      <c r="D273" s="2" t="str">
        <f t="shared" si="3"/>
        <v>Error?</v>
      </c>
    </row>
    <row r="274" spans="1:4" x14ac:dyDescent="0.2">
      <c r="A274" s="5">
        <v>213</v>
      </c>
      <c r="B274" s="138">
        <f>'Assets-Liab 5-6'!M17</f>
        <v>8599216</v>
      </c>
      <c r="D274" s="2" t="str">
        <f t="shared" si="3"/>
        <v>Error?</v>
      </c>
    </row>
    <row r="275" spans="1:4" x14ac:dyDescent="0.2">
      <c r="A275" s="5">
        <v>214</v>
      </c>
      <c r="B275" s="138">
        <f>'Assets-Liab 5-6'!M18</f>
        <v>519702</v>
      </c>
      <c r="D275" s="2" t="str">
        <f t="shared" si="3"/>
        <v>Error?</v>
      </c>
    </row>
    <row r="276" spans="1:4" x14ac:dyDescent="0.2">
      <c r="A276" s="5">
        <v>215</v>
      </c>
      <c r="B276" s="138">
        <f>'Assets-Liab 5-6'!M19</f>
        <v>5009978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14180833</v>
      </c>
      <c r="C279" s="2" t="s">
        <v>594</v>
      </c>
      <c r="D279" s="2" t="str">
        <f t="shared" si="3"/>
        <v>Error?</v>
      </c>
    </row>
    <row r="280" spans="1:4" x14ac:dyDescent="0.2">
      <c r="A280" s="5">
        <v>219</v>
      </c>
      <c r="B280" s="138">
        <f>'Assets-Liab 5-6'!M40</f>
        <v>14180833</v>
      </c>
      <c r="D280" s="2" t="str">
        <f t="shared" si="3"/>
        <v>Error?</v>
      </c>
    </row>
    <row r="281" spans="1:4" x14ac:dyDescent="0.2">
      <c r="A281" s="5">
        <v>220</v>
      </c>
      <c r="B281" s="138">
        <f>'Assets-Liab 5-6'!M41</f>
        <v>14180833</v>
      </c>
      <c r="C281" s="2" t="s">
        <v>594</v>
      </c>
      <c r="D281" s="2" t="str">
        <f t="shared" si="3"/>
        <v>Error?</v>
      </c>
    </row>
    <row r="282" spans="1:4" x14ac:dyDescent="0.2">
      <c r="A282" s="5">
        <v>221</v>
      </c>
      <c r="B282" s="138">
        <f>'Assets-Liab 5-6'!N21</f>
        <v>977360</v>
      </c>
      <c r="D282" s="2" t="str">
        <f t="shared" si="3"/>
        <v>Error?</v>
      </c>
    </row>
    <row r="283" spans="1:4" x14ac:dyDescent="0.2">
      <c r="A283" s="5">
        <v>222</v>
      </c>
      <c r="B283" s="138">
        <f>'Assets-Liab 5-6'!N22</f>
        <v>2127640</v>
      </c>
      <c r="D283" s="2" t="str">
        <f t="shared" si="3"/>
        <v>Error?</v>
      </c>
    </row>
    <row r="284" spans="1:4" x14ac:dyDescent="0.2">
      <c r="A284" s="5">
        <v>223</v>
      </c>
      <c r="B284" s="138">
        <f>'Assets-Liab 5-6'!N23</f>
        <v>3105000</v>
      </c>
      <c r="C284" s="2" t="s">
        <v>594</v>
      </c>
      <c r="D284" s="2" t="str">
        <f t="shared" si="3"/>
        <v>Error?</v>
      </c>
    </row>
    <row r="285" spans="1:4" x14ac:dyDescent="0.2">
      <c r="A285" s="5">
        <v>224</v>
      </c>
      <c r="B285" s="138">
        <f>'Assets-Liab 5-6'!N36</f>
        <v>3105000</v>
      </c>
      <c r="D285" s="2" t="str">
        <f t="shared" si="3"/>
        <v>Error?</v>
      </c>
    </row>
    <row r="286" spans="1:4" x14ac:dyDescent="0.2">
      <c r="A286" s="10">
        <v>225</v>
      </c>
      <c r="D286" s="2" t="str">
        <f t="shared" si="3"/>
        <v>OK</v>
      </c>
    </row>
    <row r="287" spans="1:4" x14ac:dyDescent="0.2">
      <c r="A287" s="5">
        <v>226</v>
      </c>
      <c r="B287" s="138">
        <f>'Assets-Liab 5-6'!N37</f>
        <v>3105000</v>
      </c>
      <c r="C287" s="2" t="s">
        <v>594</v>
      </c>
      <c r="D287" s="2" t="str">
        <f t="shared" si="3"/>
        <v>Error?</v>
      </c>
    </row>
    <row r="288" spans="1:4" x14ac:dyDescent="0.2">
      <c r="A288" s="5">
        <v>227</v>
      </c>
      <c r="B288" s="138">
        <f>'Assets-Liab 5-6'!N41</f>
        <v>3105000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3328088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158338</v>
      </c>
      <c r="D717" s="2" t="str">
        <f t="shared" si="10"/>
        <v>Error?</v>
      </c>
    </row>
    <row r="718" spans="1:4" x14ac:dyDescent="0.2">
      <c r="A718" s="5">
        <v>657</v>
      </c>
      <c r="B718" s="138">
        <f>'Expenditures 15-22'!C14</f>
        <v>157647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4043888</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108245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2060</v>
      </c>
      <c r="D726" s="2" t="str">
        <f t="shared" si="10"/>
        <v>Error?</v>
      </c>
    </row>
    <row r="727" spans="1:4" x14ac:dyDescent="0.2">
      <c r="A727" s="5">
        <v>666</v>
      </c>
      <c r="B727" s="138">
        <f>'Expenditures 15-22'!C42</f>
        <v>110305</v>
      </c>
      <c r="C727" s="2" t="s">
        <v>594</v>
      </c>
      <c r="D727" s="2" t="str">
        <f t="shared" si="10"/>
        <v>Error?</v>
      </c>
    </row>
    <row r="728" spans="1:4" x14ac:dyDescent="0.2">
      <c r="A728" s="5">
        <v>667</v>
      </c>
      <c r="B728" s="138">
        <f>'Expenditures 15-22'!C44</f>
        <v>72448</v>
      </c>
      <c r="D728" s="2" t="str">
        <f t="shared" si="10"/>
        <v>Error?</v>
      </c>
    </row>
    <row r="729" spans="1:4" x14ac:dyDescent="0.2">
      <c r="A729" s="5">
        <v>668</v>
      </c>
      <c r="B729" s="138">
        <f>'Expenditures 15-22'!C45</f>
        <v>104705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177153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121813</v>
      </c>
      <c r="D733" s="2" t="str">
        <f t="shared" si="10"/>
        <v>Error?</v>
      </c>
    </row>
    <row r="734" spans="1:4" x14ac:dyDescent="0.2">
      <c r="A734" s="5">
        <v>673</v>
      </c>
      <c r="B734" s="138">
        <f>'Expenditures 15-22'!C53</f>
        <v>121813</v>
      </c>
      <c r="C734" s="2" t="s">
        <v>594</v>
      </c>
      <c r="D734" s="2" t="str">
        <f t="shared" si="10"/>
        <v>Error?</v>
      </c>
    </row>
    <row r="735" spans="1:4" x14ac:dyDescent="0.2">
      <c r="A735" s="5">
        <v>674</v>
      </c>
      <c r="B735" s="138">
        <f>'Expenditures 15-22'!C55</f>
        <v>416988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416988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27631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255046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282677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1108936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5152824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880738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46214</v>
      </c>
      <c r="D775" s="2" t="str">
        <f t="shared" si="11"/>
        <v>Error?</v>
      </c>
    </row>
    <row r="776" spans="1:4" x14ac:dyDescent="0.2">
      <c r="A776" s="5">
        <v>715</v>
      </c>
      <c r="B776" s="138">
        <f>'Expenditures 15-22'!D14</f>
        <v>13911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1069303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31746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257</v>
      </c>
      <c r="D784" s="2" t="str">
        <f t="shared" si="11"/>
        <v>Error?</v>
      </c>
    </row>
    <row r="785" spans="1:4" x14ac:dyDescent="0.2">
      <c r="A785" s="5">
        <v>724</v>
      </c>
      <c r="B785" s="138">
        <f>'Expenditures 15-22'!D42</f>
        <v>32003</v>
      </c>
      <c r="C785" s="2" t="s">
        <v>594</v>
      </c>
      <c r="D785" s="2" t="str">
        <f t="shared" si="11"/>
        <v>Error?</v>
      </c>
    </row>
    <row r="786" spans="1:4" x14ac:dyDescent="0.2">
      <c r="A786" s="5">
        <v>725</v>
      </c>
      <c r="B786" s="138">
        <f>'Expenditures 15-22'!D44</f>
        <v>17839</v>
      </c>
      <c r="D786" s="2" t="str">
        <f t="shared" si="11"/>
        <v>Error?</v>
      </c>
    </row>
    <row r="787" spans="1:4" x14ac:dyDescent="0.2">
      <c r="A787" s="5">
        <v>726</v>
      </c>
      <c r="B787" s="138">
        <f>'Expenditures 15-22'!D45</f>
        <v>27529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45368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26918</v>
      </c>
      <c r="D791" s="2" t="str">
        <f t="shared" si="11"/>
        <v>Error?</v>
      </c>
    </row>
    <row r="792" spans="1:4" x14ac:dyDescent="0.2">
      <c r="A792" s="5">
        <v>731</v>
      </c>
      <c r="B792" s="138">
        <f>'Expenditures 15-22'!D53</f>
        <v>26948</v>
      </c>
      <c r="C792" s="2" t="s">
        <v>594</v>
      </c>
      <c r="D792" s="2" t="str">
        <f t="shared" si="11"/>
        <v>Error?</v>
      </c>
    </row>
    <row r="793" spans="1:4" x14ac:dyDescent="0.2">
      <c r="A793" s="5">
        <v>732</v>
      </c>
      <c r="B793" s="138">
        <f>'Expenditures 15-22'!D55</f>
        <v>106434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106434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5727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67690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73417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284170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1353473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7792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653</v>
      </c>
      <c r="D833" s="2" t="str">
        <f t="shared" si="12"/>
        <v>Error?</v>
      </c>
    </row>
    <row r="834" spans="1:4" x14ac:dyDescent="0.2">
      <c r="A834" s="5">
        <v>773</v>
      </c>
      <c r="B834" s="138">
        <f>'Expenditures 15-22'!E14</f>
        <v>20219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48813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233</v>
      </c>
      <c r="D838" s="2" t="str">
        <f t="shared" si="12"/>
        <v>Error?</v>
      </c>
    </row>
    <row r="839" spans="1:4" x14ac:dyDescent="0.2">
      <c r="A839" s="5">
        <v>778</v>
      </c>
      <c r="B839" s="138">
        <f>'Expenditures 15-22'!E38</f>
        <v>31332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79419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110984</v>
      </c>
      <c r="C843" s="2" t="s">
        <v>594</v>
      </c>
      <c r="D843" s="2" t="str">
        <f t="shared" si="12"/>
        <v>Error?</v>
      </c>
    </row>
    <row r="844" spans="1:4" x14ac:dyDescent="0.2">
      <c r="A844" s="5">
        <v>783</v>
      </c>
      <c r="B844" s="138">
        <f>'Expenditures 15-22'!E44</f>
        <v>25886</v>
      </c>
      <c r="D844" s="2" t="str">
        <f t="shared" si="12"/>
        <v>Error?</v>
      </c>
    </row>
    <row r="845" spans="1:4" x14ac:dyDescent="0.2">
      <c r="A845" s="5">
        <v>784</v>
      </c>
      <c r="B845" s="138">
        <f>'Expenditures 15-22'!E45</f>
        <v>3597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29483</v>
      </c>
      <c r="C847" s="2" t="s">
        <v>594</v>
      </c>
      <c r="D847" s="2" t="str">
        <f t="shared" si="12"/>
        <v>Error?</v>
      </c>
    </row>
    <row r="848" spans="1:4" x14ac:dyDescent="0.2">
      <c r="A848" s="5">
        <v>787</v>
      </c>
      <c r="B848" s="138">
        <f>'Expenditures 15-22'!E49</f>
        <v>38679</v>
      </c>
      <c r="D848" s="2" t="str">
        <f t="shared" si="12"/>
        <v>Error?</v>
      </c>
    </row>
    <row r="849" spans="1:4" x14ac:dyDescent="0.2">
      <c r="A849" s="5">
        <v>788</v>
      </c>
      <c r="B849" s="138">
        <f>'Expenditures 15-22'!E50</f>
        <v>5737</v>
      </c>
      <c r="D849" s="2" t="str">
        <f t="shared" si="12"/>
        <v>Error?</v>
      </c>
    </row>
    <row r="850" spans="1:4" x14ac:dyDescent="0.2">
      <c r="A850" s="5">
        <v>789</v>
      </c>
      <c r="B850" s="138">
        <f>'Expenditures 15-22'!E53</f>
        <v>44416</v>
      </c>
      <c r="C850" s="2" t="s">
        <v>594</v>
      </c>
      <c r="D850" s="2" t="str">
        <f t="shared" si="12"/>
        <v>Error?</v>
      </c>
    </row>
    <row r="851" spans="1:4" x14ac:dyDescent="0.2">
      <c r="A851" s="5">
        <v>790</v>
      </c>
      <c r="B851" s="138">
        <f>'Expenditures 15-22'!E55</f>
        <v>40611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40611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3185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5586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8771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234265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283078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150965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18099</v>
      </c>
      <c r="D891" s="2" t="str">
        <f t="shared" si="12"/>
        <v>Error?</v>
      </c>
    </row>
    <row r="892" spans="1:4" x14ac:dyDescent="0.2">
      <c r="A892" s="5">
        <v>831</v>
      </c>
      <c r="B892" s="138">
        <f>'Expenditures 15-22'!F14</f>
        <v>68775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407194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192</v>
      </c>
      <c r="D896" s="2" t="str">
        <f t="shared" si="13"/>
        <v>Error?</v>
      </c>
    </row>
    <row r="897" spans="1:4" x14ac:dyDescent="0.2">
      <c r="A897" s="5">
        <v>836</v>
      </c>
      <c r="B897" s="138">
        <f>'Expenditures 15-22'!F38</f>
        <v>2646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527</v>
      </c>
      <c r="D900" s="2" t="str">
        <f t="shared" si="13"/>
        <v>Error?</v>
      </c>
    </row>
    <row r="901" spans="1:4" x14ac:dyDescent="0.2">
      <c r="A901" s="5">
        <v>840</v>
      </c>
      <c r="B901" s="138">
        <f>'Expenditures 15-22'!F42</f>
        <v>3365</v>
      </c>
      <c r="C901" s="2" t="s">
        <v>594</v>
      </c>
      <c r="D901" s="2" t="str">
        <f t="shared" si="13"/>
        <v>Error?</v>
      </c>
    </row>
    <row r="902" spans="1:4" x14ac:dyDescent="0.2">
      <c r="A902" s="5">
        <v>841</v>
      </c>
      <c r="B902" s="138">
        <f>'Expenditures 15-22'!F44</f>
        <v>38305</v>
      </c>
      <c r="D902" s="2" t="str">
        <f t="shared" si="13"/>
        <v>Error?</v>
      </c>
    </row>
    <row r="903" spans="1:4" x14ac:dyDescent="0.2">
      <c r="A903" s="5">
        <v>842</v>
      </c>
      <c r="B903" s="138">
        <f>'Expenditures 15-22'!F45</f>
        <v>11048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49353</v>
      </c>
      <c r="C905" s="2" t="s">
        <v>594</v>
      </c>
      <c r="D905" s="2" t="str">
        <f t="shared" si="13"/>
        <v>Error?</v>
      </c>
    </row>
    <row r="906" spans="1:4" x14ac:dyDescent="0.2">
      <c r="A906" s="5">
        <v>845</v>
      </c>
      <c r="B906" s="138">
        <f>'Expenditures 15-22'!F49</f>
        <v>3255</v>
      </c>
      <c r="D906" s="2" t="str">
        <f t="shared" si="13"/>
        <v>Error?</v>
      </c>
    </row>
    <row r="907" spans="1:4" x14ac:dyDescent="0.2">
      <c r="A907" s="5">
        <v>846</v>
      </c>
      <c r="B907" s="138">
        <f>'Expenditures 15-22'!F50</f>
        <v>2398</v>
      </c>
      <c r="D907" s="2" t="str">
        <f t="shared" si="13"/>
        <v>Error?</v>
      </c>
    </row>
    <row r="908" spans="1:4" x14ac:dyDescent="0.2">
      <c r="A908" s="5">
        <v>847</v>
      </c>
      <c r="B908" s="138">
        <f>'Expenditures 15-22'!F53</f>
        <v>5653</v>
      </c>
      <c r="C908" s="2" t="s">
        <v>594</v>
      </c>
      <c r="D908" s="2" t="str">
        <f t="shared" si="13"/>
        <v>Error?</v>
      </c>
    </row>
    <row r="909" spans="1:4" x14ac:dyDescent="0.2">
      <c r="A909" s="5">
        <v>848</v>
      </c>
      <c r="B909" s="138">
        <f>'Expenditures 15-22'!F55</f>
        <v>2270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2270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1304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210129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211433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705</v>
      </c>
      <c r="D928" s="2" t="str">
        <f t="shared" si="13"/>
        <v>Error?</v>
      </c>
    </row>
    <row r="929" spans="1:4" x14ac:dyDescent="0.2">
      <c r="A929" s="5">
        <v>868</v>
      </c>
      <c r="B929" s="138">
        <f>'Expenditures 15-22'!F74</f>
        <v>272779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679973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13537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9011</v>
      </c>
      <c r="D949" s="2" t="str">
        <f t="shared" si="13"/>
        <v>Error?</v>
      </c>
    </row>
    <row r="950" spans="1:4" x14ac:dyDescent="0.2">
      <c r="A950" s="5">
        <v>889</v>
      </c>
      <c r="B950" s="138">
        <f>'Expenditures 15-22'!G14</f>
        <v>9958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44890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3219</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3219</v>
      </c>
      <c r="C963" s="2" t="s">
        <v>594</v>
      </c>
      <c r="D963" s="2" t="str">
        <f t="shared" si="14"/>
        <v>Error?</v>
      </c>
    </row>
    <row r="964" spans="1:4" x14ac:dyDescent="0.2">
      <c r="A964" s="5">
        <v>903</v>
      </c>
      <c r="B964" s="138">
        <f>'Expenditures 15-22'!G49</f>
        <v>4047</v>
      </c>
      <c r="D964" s="2" t="str">
        <f t="shared" si="14"/>
        <v>Error?</v>
      </c>
    </row>
    <row r="965" spans="1:4" x14ac:dyDescent="0.2">
      <c r="A965" s="5">
        <v>904</v>
      </c>
      <c r="B965" s="138">
        <f>'Expenditures 15-22'!G50</f>
        <v>1107</v>
      </c>
      <c r="D965" s="2" t="str">
        <f t="shared" si="14"/>
        <v>Error?</v>
      </c>
    </row>
    <row r="966" spans="1:4" x14ac:dyDescent="0.2">
      <c r="A966" s="5">
        <v>905</v>
      </c>
      <c r="B966" s="138">
        <f>'Expenditures 15-22'!G53</f>
        <v>5154</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8373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53263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2772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1139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3911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1372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1372</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1115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1115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2487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1065111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1071509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4383892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232315</v>
      </c>
      <c r="C1105" s="2" t="s">
        <v>594</v>
      </c>
      <c r="D1105" s="2" t="str">
        <f t="shared" si="16"/>
        <v>Error?</v>
      </c>
    </row>
    <row r="1106" spans="1:4" x14ac:dyDescent="0.2">
      <c r="A1106" s="5">
        <v>1045</v>
      </c>
      <c r="B1106" s="138">
        <f>'Expenditures 15-22'!K14</f>
        <v>271649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5617999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140416</v>
      </c>
      <c r="C1110" s="2" t="s">
        <v>594</v>
      </c>
      <c r="D1110" s="2" t="str">
        <f t="shared" si="16"/>
        <v>Error?</v>
      </c>
    </row>
    <row r="1111" spans="1:4" x14ac:dyDescent="0.2">
      <c r="A1111" s="5">
        <v>1050</v>
      </c>
      <c r="B1111" s="138">
        <f>'Expenditures 15-22'!K38</f>
        <v>33978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79419</v>
      </c>
      <c r="C1113" s="2" t="s">
        <v>594</v>
      </c>
      <c r="D1113" s="2" t="str">
        <f t="shared" si="16"/>
        <v>Error?</v>
      </c>
    </row>
    <row r="1114" spans="1:4" x14ac:dyDescent="0.2">
      <c r="A1114" s="5">
        <v>1053</v>
      </c>
      <c r="B1114" s="138">
        <f>'Expenditures 15-22'!K41</f>
        <v>2844</v>
      </c>
      <c r="C1114" s="2" t="s">
        <v>594</v>
      </c>
      <c r="D1114" s="2" t="str">
        <f t="shared" si="16"/>
        <v>Error?</v>
      </c>
    </row>
    <row r="1115" spans="1:4" x14ac:dyDescent="0.2">
      <c r="A1115" s="5">
        <v>1054</v>
      </c>
      <c r="B1115" s="138">
        <f>'Expenditures 15-22'!K42</f>
        <v>256657</v>
      </c>
      <c r="C1115" s="2" t="s">
        <v>594</v>
      </c>
      <c r="D1115" s="2" t="str">
        <f t="shared" si="16"/>
        <v>Error?</v>
      </c>
    </row>
    <row r="1116" spans="1:4" x14ac:dyDescent="0.2">
      <c r="A1116" s="5">
        <v>1055</v>
      </c>
      <c r="B1116" s="138">
        <f>'Expenditures 15-22'!K44</f>
        <v>157697</v>
      </c>
      <c r="C1116" s="2" t="s">
        <v>594</v>
      </c>
      <c r="D1116" s="2" t="str">
        <f t="shared" si="16"/>
        <v>Error?</v>
      </c>
    </row>
    <row r="1117" spans="1:4" x14ac:dyDescent="0.2">
      <c r="A1117" s="5">
        <v>1056</v>
      </c>
      <c r="B1117" s="138">
        <f>'Expenditures 15-22'!K45</f>
        <v>146879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304576</v>
      </c>
      <c r="C1119" s="2" t="s">
        <v>594</v>
      </c>
      <c r="D1119" s="2" t="str">
        <f t="shared" si="16"/>
        <v>Error?</v>
      </c>
    </row>
    <row r="1120" spans="1:4" x14ac:dyDescent="0.2">
      <c r="A1120" s="5">
        <v>1059</v>
      </c>
      <c r="B1120" s="138">
        <f>'Expenditures 15-22'!K49</f>
        <v>45981</v>
      </c>
      <c r="C1120" s="2" t="s">
        <v>594</v>
      </c>
      <c r="D1120" s="2" t="str">
        <f t="shared" si="16"/>
        <v>Error?</v>
      </c>
    </row>
    <row r="1121" spans="1:4" x14ac:dyDescent="0.2">
      <c r="A1121" s="5">
        <v>1060</v>
      </c>
      <c r="B1121" s="138">
        <f>'Expenditures 15-22'!K50</f>
        <v>157973</v>
      </c>
      <c r="C1121" s="2" t="s">
        <v>594</v>
      </c>
      <c r="D1121" s="2" t="str">
        <f t="shared" si="16"/>
        <v>Error?</v>
      </c>
    </row>
    <row r="1122" spans="1:4" x14ac:dyDescent="0.2">
      <c r="A1122" s="5">
        <v>1061</v>
      </c>
      <c r="B1122" s="138">
        <f>'Expenditures 15-22'!K53</f>
        <v>203984</v>
      </c>
      <c r="C1122" s="2" t="s">
        <v>594</v>
      </c>
      <c r="D1122" s="2" t="str">
        <f t="shared" si="16"/>
        <v>Error?</v>
      </c>
    </row>
    <row r="1123" spans="1:4" x14ac:dyDescent="0.2">
      <c r="A1123" s="5">
        <v>1062</v>
      </c>
      <c r="B1123" s="138">
        <f>'Expenditures 15-22'!K55</f>
        <v>567675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567675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37847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539566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577413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705</v>
      </c>
      <c r="C1142" s="2" t="s">
        <v>594</v>
      </c>
      <c r="D1142" s="2" t="str">
        <f t="shared" si="16"/>
        <v>Error?</v>
      </c>
    </row>
    <row r="1143" spans="1:4" x14ac:dyDescent="0.2">
      <c r="A1143" s="5">
        <v>1082</v>
      </c>
      <c r="B1143" s="138">
        <f>'Expenditures 15-22'!K74</f>
        <v>1911010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1065111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8594120</v>
      </c>
      <c r="C1152" s="2" t="s">
        <v>594</v>
      </c>
      <c r="D1152" s="2" t="str">
        <f t="shared" si="17"/>
        <v>Error?</v>
      </c>
    </row>
    <row r="1153" spans="1:4" x14ac:dyDescent="0.2">
      <c r="A1153" s="5">
        <v>1092</v>
      </c>
      <c r="B1153" s="138">
        <f>'Expenditures 15-22'!K115</f>
        <v>643839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267139</v>
      </c>
      <c r="D1221" s="2" t="str">
        <f t="shared" si="18"/>
        <v>Error?</v>
      </c>
    </row>
    <row r="1222" spans="1:4" x14ac:dyDescent="0.2">
      <c r="A1222" s="10">
        <v>1161</v>
      </c>
      <c r="D1222" s="2" t="str">
        <f t="shared" si="18"/>
        <v>OK</v>
      </c>
    </row>
    <row r="1223" spans="1:4" x14ac:dyDescent="0.2">
      <c r="A1223" s="5">
        <v>1162</v>
      </c>
      <c r="B1223" s="138">
        <f>'Expenditures 15-22'!C127</f>
        <v>267139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267139</v>
      </c>
      <c r="C1225" s="2" t="s">
        <v>594</v>
      </c>
      <c r="D1225" s="2" t="str">
        <f t="shared" si="18"/>
        <v>Error?</v>
      </c>
    </row>
    <row r="1226" spans="1:4" x14ac:dyDescent="0.2">
      <c r="A1226" s="5">
        <v>1165</v>
      </c>
      <c r="B1226" s="138">
        <f>'Expenditures 15-22'!C151</f>
        <v>267139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59546</v>
      </c>
      <c r="D1229" s="2" t="str">
        <f t="shared" si="18"/>
        <v>Error?</v>
      </c>
    </row>
    <row r="1230" spans="1:4" x14ac:dyDescent="0.2">
      <c r="A1230" s="10">
        <v>1169</v>
      </c>
      <c r="D1230" s="2" t="str">
        <f t="shared" si="18"/>
        <v>OK</v>
      </c>
    </row>
    <row r="1231" spans="1:4" x14ac:dyDescent="0.2">
      <c r="A1231" s="5">
        <v>1170</v>
      </c>
      <c r="B1231" s="138">
        <f>'Expenditures 15-22'!D127</f>
        <v>59546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59546</v>
      </c>
      <c r="C1233" s="2" t="s">
        <v>594</v>
      </c>
      <c r="D1233" s="2" t="str">
        <f t="shared" si="18"/>
        <v>Error?</v>
      </c>
    </row>
    <row r="1234" spans="1:4" x14ac:dyDescent="0.2">
      <c r="A1234" s="5">
        <v>1173</v>
      </c>
      <c r="B1234" s="138">
        <f>'Expenditures 15-22'!D151</f>
        <v>59546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2000</v>
      </c>
      <c r="D1236" s="2" t="str">
        <f t="shared" si="18"/>
        <v>Error?</v>
      </c>
    </row>
    <row r="1237" spans="1:4" x14ac:dyDescent="0.2">
      <c r="A1237" s="5">
        <v>1176</v>
      </c>
      <c r="B1237" s="138">
        <f>'Expenditures 15-22'!E124</f>
        <v>429132</v>
      </c>
      <c r="D1237" s="2" t="str">
        <f t="shared" si="18"/>
        <v>Error?</v>
      </c>
    </row>
    <row r="1238" spans="1:4" x14ac:dyDescent="0.2">
      <c r="A1238" s="10">
        <v>1177</v>
      </c>
      <c r="D1238" s="2" t="str">
        <f t="shared" si="18"/>
        <v>OK</v>
      </c>
    </row>
    <row r="1239" spans="1:4" x14ac:dyDescent="0.2">
      <c r="A1239" s="5">
        <v>1178</v>
      </c>
      <c r="B1239" s="138">
        <f>'Expenditures 15-22'!E127</f>
        <v>431132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431132</v>
      </c>
      <c r="C1241" s="2" t="s">
        <v>594</v>
      </c>
      <c r="D1241" s="2" t="str">
        <f t="shared" si="18"/>
        <v>Error?</v>
      </c>
    </row>
    <row r="1242" spans="1:4" x14ac:dyDescent="0.2">
      <c r="A1242" s="5">
        <v>1181</v>
      </c>
      <c r="B1242" s="138">
        <f>'Expenditures 15-22'!E151</f>
        <v>431132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165857</v>
      </c>
      <c r="D1245" s="2" t="str">
        <f t="shared" si="18"/>
        <v>Error?</v>
      </c>
    </row>
    <row r="1246" spans="1:4" x14ac:dyDescent="0.2">
      <c r="A1246" s="10">
        <v>1185</v>
      </c>
      <c r="D1246" s="2" t="str">
        <f t="shared" si="18"/>
        <v>OK</v>
      </c>
    </row>
    <row r="1247" spans="1:4" x14ac:dyDescent="0.2">
      <c r="A1247" s="5">
        <v>1186</v>
      </c>
      <c r="B1247" s="138">
        <f>'Expenditures 15-22'!F127</f>
        <v>165857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165857</v>
      </c>
      <c r="C1249" s="2" t="s">
        <v>594</v>
      </c>
      <c r="D1249" s="2" t="str">
        <f t="shared" si="18"/>
        <v>Error?</v>
      </c>
    </row>
    <row r="1250" spans="1:4" x14ac:dyDescent="0.2">
      <c r="A1250" s="5">
        <v>1189</v>
      </c>
      <c r="B1250" s="138">
        <f>'Expenditures 15-22'!F151</f>
        <v>165857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63118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63118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63118</v>
      </c>
      <c r="C1258" s="2" t="s">
        <v>594</v>
      </c>
      <c r="D1258" s="2" t="str">
        <f t="shared" si="18"/>
        <v>Error?</v>
      </c>
    </row>
    <row r="1259" spans="1:4" x14ac:dyDescent="0.2">
      <c r="A1259" s="5">
        <v>1198</v>
      </c>
      <c r="B1259" s="138">
        <f>'Expenditures 15-22'!G151</f>
        <v>63118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2000</v>
      </c>
      <c r="C1275" s="2" t="s">
        <v>594</v>
      </c>
      <c r="D1275" s="2" t="str">
        <f t="shared" si="18"/>
        <v>Error?</v>
      </c>
    </row>
    <row r="1276" spans="1:4" x14ac:dyDescent="0.2">
      <c r="A1276" s="5">
        <v>1215</v>
      </c>
      <c r="B1276" s="138">
        <f>'Expenditures 15-22'!K124</f>
        <v>984792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986792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986792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986792</v>
      </c>
      <c r="C1288" s="2" t="s">
        <v>594</v>
      </c>
      <c r="D1288" s="2" t="str">
        <f t="shared" si="19"/>
        <v>Error?</v>
      </c>
    </row>
    <row r="1289" spans="1:4" x14ac:dyDescent="0.2">
      <c r="A1289" s="5">
        <v>1228</v>
      </c>
      <c r="B1289" s="138">
        <f>'Expenditures 15-22'!K152</f>
        <v>-143078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56462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299000</v>
      </c>
      <c r="D1315" s="2" t="str">
        <f t="shared" si="19"/>
        <v>Error?</v>
      </c>
    </row>
    <row r="1316" spans="1:4" x14ac:dyDescent="0.2">
      <c r="A1316" s="5">
        <v>1255</v>
      </c>
      <c r="B1316" s="138">
        <f>'Expenditures 15-22'!H171</f>
        <v>700</v>
      </c>
      <c r="D1316" s="2" t="str">
        <f t="shared" si="19"/>
        <v>Error?</v>
      </c>
    </row>
    <row r="1317" spans="1:4" x14ac:dyDescent="0.2">
      <c r="A1317" s="5">
        <v>1256</v>
      </c>
      <c r="B1317" s="138">
        <f>'Expenditures 15-22'!H172</f>
        <v>356162</v>
      </c>
      <c r="C1317" s="2" t="s">
        <v>594</v>
      </c>
      <c r="D1317" s="2" t="str">
        <f t="shared" si="19"/>
        <v>Error?</v>
      </c>
    </row>
    <row r="1318" spans="1:4" x14ac:dyDescent="0.2">
      <c r="A1318" s="5">
        <v>1257</v>
      </c>
      <c r="B1318" s="138">
        <f>'Expenditures 15-22'!H174</f>
        <v>356162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56462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299000</v>
      </c>
      <c r="C1329" s="2" t="s">
        <v>594</v>
      </c>
      <c r="D1329" s="2" t="str">
        <f t="shared" si="19"/>
        <v>Error?</v>
      </c>
    </row>
    <row r="1330" spans="1:4" x14ac:dyDescent="0.2">
      <c r="A1330" s="5">
        <v>1269</v>
      </c>
      <c r="B1330" s="138">
        <f>'Expenditures 15-22'!K171</f>
        <v>700</v>
      </c>
      <c r="C1330" s="2" t="s">
        <v>594</v>
      </c>
      <c r="D1330" s="2" t="str">
        <f t="shared" si="19"/>
        <v>Error?</v>
      </c>
    </row>
    <row r="1331" spans="1:4" x14ac:dyDescent="0.2">
      <c r="A1331" s="5">
        <v>1270</v>
      </c>
      <c r="B1331" s="138">
        <f>'Expenditures 15-22'!K172</f>
        <v>356162</v>
      </c>
      <c r="C1331" s="2" t="s">
        <v>594</v>
      </c>
      <c r="D1331" s="2" t="str">
        <f t="shared" si="19"/>
        <v>Error?</v>
      </c>
    </row>
    <row r="1332" spans="1:4" x14ac:dyDescent="0.2">
      <c r="A1332" s="5">
        <v>1271</v>
      </c>
      <c r="B1332" s="138">
        <f>'Expenditures 15-22'!K174</f>
        <v>356162</v>
      </c>
      <c r="C1332" s="2" t="s">
        <v>594</v>
      </c>
      <c r="D1332" s="2" t="str">
        <f t="shared" si="19"/>
        <v>Error?</v>
      </c>
    </row>
    <row r="1333" spans="1:4" x14ac:dyDescent="0.2">
      <c r="A1333" s="5">
        <v>1272</v>
      </c>
      <c r="B1333" s="138">
        <f>'Expenditures 15-22'!K175</f>
        <v>117656</v>
      </c>
      <c r="C1333" s="2" t="s">
        <v>594</v>
      </c>
      <c r="D1333" s="2" t="str">
        <f t="shared" si="19"/>
        <v>Error?</v>
      </c>
    </row>
    <row r="1334" spans="1:4" x14ac:dyDescent="0.2">
      <c r="A1334" s="10">
        <v>1273</v>
      </c>
      <c r="D1334" s="2" t="str">
        <f t="shared" si="19"/>
        <v>OK</v>
      </c>
    </row>
    <row r="1335" spans="1:4" x14ac:dyDescent="0.2">
      <c r="A1335" s="5">
        <v>1274</v>
      </c>
      <c r="B1335" s="138">
        <f>'Expenditures 15-22'!C182</f>
        <v>142586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142586</v>
      </c>
      <c r="C1339" s="2" t="s">
        <v>594</v>
      </c>
      <c r="D1339" s="2" t="str">
        <f t="shared" si="19"/>
        <v>Error?</v>
      </c>
    </row>
    <row r="1340" spans="1:4" x14ac:dyDescent="0.2">
      <c r="A1340" s="5">
        <v>1279</v>
      </c>
      <c r="B1340" s="138">
        <f>'Expenditures 15-22'!C210</f>
        <v>142586</v>
      </c>
      <c r="C1340" s="2" t="s">
        <v>594</v>
      </c>
      <c r="D1340" s="2" t="str">
        <f t="shared" si="19"/>
        <v>Error?</v>
      </c>
    </row>
    <row r="1341" spans="1:4" x14ac:dyDescent="0.2">
      <c r="A1341" s="5">
        <v>1280</v>
      </c>
      <c r="B1341" s="138">
        <f>'Expenditures 15-22'!D182</f>
        <v>10150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10150</v>
      </c>
      <c r="C1345" s="2" t="s">
        <v>594</v>
      </c>
      <c r="D1345" s="2" t="str">
        <f t="shared" si="20"/>
        <v>Error?</v>
      </c>
    </row>
    <row r="1346" spans="1:4" x14ac:dyDescent="0.2">
      <c r="A1346" s="5">
        <v>1285</v>
      </c>
      <c r="B1346" s="138">
        <f>'Expenditures 15-22'!D210</f>
        <v>10150</v>
      </c>
      <c r="C1346" s="2" t="s">
        <v>594</v>
      </c>
      <c r="D1346" s="2" t="str">
        <f t="shared" si="20"/>
        <v>Error?</v>
      </c>
    </row>
    <row r="1347" spans="1:4" x14ac:dyDescent="0.2">
      <c r="A1347" s="5">
        <v>1286</v>
      </c>
      <c r="B1347" s="138">
        <f>'Expenditures 15-22'!E182</f>
        <v>92968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92968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92968</v>
      </c>
      <c r="C1353" s="2" t="s">
        <v>594</v>
      </c>
      <c r="D1353" s="2" t="str">
        <f t="shared" si="20"/>
        <v>Error?</v>
      </c>
    </row>
    <row r="1354" spans="1:4" x14ac:dyDescent="0.2">
      <c r="A1354" s="5">
        <v>1293</v>
      </c>
      <c r="B1354" s="138">
        <f>'Expenditures 15-22'!F182</f>
        <v>32462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32462</v>
      </c>
      <c r="C1358" s="2" t="s">
        <v>594</v>
      </c>
      <c r="D1358" s="2" t="str">
        <f t="shared" si="20"/>
        <v>Error?</v>
      </c>
    </row>
    <row r="1359" spans="1:4" x14ac:dyDescent="0.2">
      <c r="A1359" s="5">
        <v>1298</v>
      </c>
      <c r="B1359" s="138">
        <f>'Expenditures 15-22'!F210</f>
        <v>32462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188019</v>
      </c>
      <c r="C1376" s="2" t="s">
        <v>594</v>
      </c>
      <c r="D1376" s="2" t="str">
        <f t="shared" si="20"/>
        <v>Error?</v>
      </c>
    </row>
    <row r="1377" spans="1:4" x14ac:dyDescent="0.2">
      <c r="A1377" s="5">
        <v>1316</v>
      </c>
      <c r="B1377" s="138">
        <f>'Expenditures 15-22'!K182</f>
        <v>278166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278166</v>
      </c>
      <c r="C1381" s="2" t="s">
        <v>594</v>
      </c>
      <c r="D1381" s="2" t="str">
        <f t="shared" si="20"/>
        <v>Error?</v>
      </c>
    </row>
    <row r="1382" spans="1:4" x14ac:dyDescent="0.2">
      <c r="A1382" s="5">
        <v>1321</v>
      </c>
      <c r="B1382" s="138">
        <f>'Expenditures 15-22'!K196</f>
        <v>188019</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466185</v>
      </c>
      <c r="C1388" s="2" t="s">
        <v>594</v>
      </c>
      <c r="D1388" s="2" t="str">
        <f t="shared" si="20"/>
        <v>Error?</v>
      </c>
    </row>
    <row r="1389" spans="1:4" x14ac:dyDescent="0.2">
      <c r="A1389" s="5">
        <v>1328</v>
      </c>
      <c r="B1389" s="138">
        <f>'Expenditures 15-22'!K211</f>
        <v>112925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2523</v>
      </c>
      <c r="D1407" s="2" t="str">
        <f t="shared" ref="D1407:D1470" si="21">IF(ISBLANK(B1407),"OK",IF(A1407-B1407=0,"OK","Error?"))</f>
        <v>Error?</v>
      </c>
    </row>
    <row r="1408" spans="1:4" x14ac:dyDescent="0.2">
      <c r="A1408" s="5">
        <v>1347</v>
      </c>
      <c r="B1408" s="138">
        <f>'Expenditures 15-22'!D223</f>
        <v>5696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80555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1718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33</v>
      </c>
      <c r="D1416" s="2" t="str">
        <f t="shared" si="21"/>
        <v>Error?</v>
      </c>
    </row>
    <row r="1417" spans="1:4" x14ac:dyDescent="0.2">
      <c r="A1417" s="5">
        <v>1356</v>
      </c>
      <c r="B1417" s="138">
        <f>'Expenditures 15-22'!D238</f>
        <v>1751</v>
      </c>
      <c r="C1417" s="2" t="s">
        <v>594</v>
      </c>
      <c r="D1417" s="2" t="str">
        <f t="shared" si="21"/>
        <v>Error?</v>
      </c>
    </row>
    <row r="1418" spans="1:4" x14ac:dyDescent="0.2">
      <c r="A1418" s="5">
        <v>1357</v>
      </c>
      <c r="B1418" s="138">
        <f>'Expenditures 15-22'!D240</f>
        <v>1154</v>
      </c>
      <c r="D1418" s="2" t="str">
        <f t="shared" si="21"/>
        <v>Error?</v>
      </c>
    </row>
    <row r="1419" spans="1:4" x14ac:dyDescent="0.2">
      <c r="A1419" s="5">
        <v>1358</v>
      </c>
      <c r="B1419" s="138">
        <f>'Expenditures 15-22'!D241</f>
        <v>5871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7025</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4751</v>
      </c>
      <c r="D1423" s="2" t="str">
        <f t="shared" si="21"/>
        <v>Error?</v>
      </c>
    </row>
    <row r="1424" spans="1:4" x14ac:dyDescent="0.2">
      <c r="A1424" s="5">
        <v>1363</v>
      </c>
      <c r="B1424" s="138">
        <f>'Expenditures 15-22'!D257</f>
        <v>18356</v>
      </c>
      <c r="C1424" s="2" t="s">
        <v>594</v>
      </c>
      <c r="D1424" s="2" t="str">
        <f t="shared" si="21"/>
        <v>Error?</v>
      </c>
    </row>
    <row r="1425" spans="1:4" x14ac:dyDescent="0.2">
      <c r="A1425" s="5">
        <v>1364</v>
      </c>
      <c r="B1425" s="138">
        <f>'Expenditures 15-22'!D259</f>
        <v>22870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22870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3541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33355</v>
      </c>
      <c r="D1431" s="2" t="str">
        <f t="shared" si="21"/>
        <v>Error?</v>
      </c>
    </row>
    <row r="1432" spans="1:4" x14ac:dyDescent="0.2">
      <c r="A1432" s="5">
        <v>1371</v>
      </c>
      <c r="B1432" s="138">
        <f>'Expenditures 15-22'!D267</f>
        <v>16498</v>
      </c>
      <c r="D1432" s="2" t="str">
        <f t="shared" si="21"/>
        <v>Error?</v>
      </c>
    </row>
    <row r="1433" spans="1:4" x14ac:dyDescent="0.2">
      <c r="A1433" s="5">
        <v>1372</v>
      </c>
      <c r="B1433" s="138">
        <f>'Expenditures 15-22'!D268</f>
        <v>29694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83088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133090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213645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2523</v>
      </c>
      <c r="C1471" s="2" t="s">
        <v>594</v>
      </c>
      <c r="D1471" s="2" t="str">
        <f t="shared" ref="D1471:D1534" si="22">IF(ISBLANK(B1471),"OK",IF(A1471-B1471=0,"OK","Error?"))</f>
        <v>Error?</v>
      </c>
    </row>
    <row r="1472" spans="1:4" x14ac:dyDescent="0.2">
      <c r="A1472" s="5">
        <v>1411</v>
      </c>
      <c r="B1472" s="138">
        <f>'Expenditures 15-22'!K223</f>
        <v>5696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80555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1718</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33</v>
      </c>
      <c r="C1480" s="2" t="s">
        <v>594</v>
      </c>
      <c r="D1480" s="2" t="str">
        <f t="shared" si="22"/>
        <v>Error?</v>
      </c>
    </row>
    <row r="1481" spans="1:4" x14ac:dyDescent="0.2">
      <c r="A1481" s="5">
        <v>1420</v>
      </c>
      <c r="B1481" s="138">
        <f>'Expenditures 15-22'!K238</f>
        <v>1751</v>
      </c>
      <c r="C1481" s="2" t="s">
        <v>594</v>
      </c>
      <c r="D1481" s="2" t="str">
        <f t="shared" si="22"/>
        <v>Error?</v>
      </c>
    </row>
    <row r="1482" spans="1:4" x14ac:dyDescent="0.2">
      <c r="A1482" s="5">
        <v>1421</v>
      </c>
      <c r="B1482" s="138">
        <f>'Expenditures 15-22'!K240</f>
        <v>1154</v>
      </c>
      <c r="C1482" s="2" t="s">
        <v>594</v>
      </c>
      <c r="D1482" s="2" t="str">
        <f t="shared" si="22"/>
        <v>Error?</v>
      </c>
    </row>
    <row r="1483" spans="1:4" x14ac:dyDescent="0.2">
      <c r="A1483" s="5">
        <v>1422</v>
      </c>
      <c r="B1483" s="138">
        <f>'Expenditures 15-22'!K241</f>
        <v>5871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7025</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4751</v>
      </c>
      <c r="C1487" s="2" t="s">
        <v>594</v>
      </c>
      <c r="D1487" s="2" t="str">
        <f t="shared" si="22"/>
        <v>Error?</v>
      </c>
    </row>
    <row r="1488" spans="1:4" x14ac:dyDescent="0.2">
      <c r="A1488" s="5">
        <v>1427</v>
      </c>
      <c r="B1488" s="138">
        <f>'Expenditures 15-22'!K257</f>
        <v>18356</v>
      </c>
      <c r="C1488" s="2" t="s">
        <v>594</v>
      </c>
      <c r="D1488" s="2" t="str">
        <f t="shared" si="22"/>
        <v>Error?</v>
      </c>
    </row>
    <row r="1489" spans="1:4" x14ac:dyDescent="0.2">
      <c r="A1489" s="5">
        <v>1428</v>
      </c>
      <c r="B1489" s="138">
        <f>'Expenditures 15-22'!K259</f>
        <v>22870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22870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3541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33355</v>
      </c>
      <c r="C1495" s="2" t="s">
        <v>594</v>
      </c>
      <c r="D1495" s="2" t="str">
        <f t="shared" si="22"/>
        <v>Error?</v>
      </c>
    </row>
    <row r="1496" spans="1:4" x14ac:dyDescent="0.2">
      <c r="A1496" s="5">
        <v>1435</v>
      </c>
      <c r="B1496" s="138">
        <f>'Expenditures 15-22'!K267</f>
        <v>16498</v>
      </c>
      <c r="C1496" s="2" t="s">
        <v>594</v>
      </c>
      <c r="D1496" s="2" t="str">
        <f t="shared" si="22"/>
        <v>Error?</v>
      </c>
    </row>
    <row r="1497" spans="1:4" x14ac:dyDescent="0.2">
      <c r="A1497" s="5">
        <v>1436</v>
      </c>
      <c r="B1497" s="138">
        <f>'Expenditures 15-22'!K268</f>
        <v>29694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83088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133090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213645</v>
      </c>
      <c r="C1517" s="2" t="s">
        <v>594</v>
      </c>
      <c r="D1517" s="2" t="str">
        <f t="shared" si="22"/>
        <v>Error?</v>
      </c>
    </row>
    <row r="1518" spans="1:4" x14ac:dyDescent="0.2">
      <c r="A1518" s="5">
        <v>1457</v>
      </c>
      <c r="B1518" s="138">
        <f>'Expenditures 15-22'!K296</f>
        <v>42066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3386932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4030771</v>
      </c>
      <c r="C1630" s="2" t="s">
        <v>594</v>
      </c>
      <c r="D1630" s="2" t="str">
        <f t="shared" si="24"/>
        <v>Error?</v>
      </c>
    </row>
    <row r="1631" spans="1:4" x14ac:dyDescent="0.2">
      <c r="A1631" s="5">
        <v>1570</v>
      </c>
      <c r="B1631" s="138">
        <f>'Acct Summary 7-8'!D79</f>
        <v>975278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832200</v>
      </c>
      <c r="C1644" s="2" t="s">
        <v>594</v>
      </c>
      <c r="D1644" s="2" t="str">
        <f t="shared" si="24"/>
        <v>Error?</v>
      </c>
    </row>
    <row r="1645" spans="1:4" x14ac:dyDescent="0.2">
      <c r="A1645" s="5">
        <v>1584</v>
      </c>
      <c r="B1645" s="138">
        <f>'Acct Summary 7-8'!E79</f>
        <v>859704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977360</v>
      </c>
      <c r="C1658" s="2" t="s">
        <v>594</v>
      </c>
      <c r="D1658" s="2" t="str">
        <f t="shared" si="24"/>
        <v>Error?</v>
      </c>
    </row>
    <row r="1659" spans="1:4" x14ac:dyDescent="0.2">
      <c r="A1659" s="5">
        <v>1598</v>
      </c>
      <c r="B1659" s="138">
        <f>'Acct Summary 7-8'!F79</f>
        <v>286318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399243</v>
      </c>
      <c r="C1672" s="2" t="s">
        <v>594</v>
      </c>
      <c r="D1672" s="2" t="str">
        <f t="shared" si="25"/>
        <v>Error?</v>
      </c>
    </row>
    <row r="1673" spans="1:4" x14ac:dyDescent="0.2">
      <c r="A1673" s="5">
        <v>1612</v>
      </c>
      <c r="B1673" s="138">
        <f>'Acct Summary 7-8'!G79</f>
        <v>404875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446941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2356819</v>
      </c>
      <c r="C1744" s="2" t="s">
        <v>594</v>
      </c>
      <c r="D1744" s="2" t="str">
        <f t="shared" si="26"/>
        <v>Error?</v>
      </c>
    </row>
    <row r="1745" spans="1:5" x14ac:dyDescent="0.2">
      <c r="A1745" s="5">
        <v>1684</v>
      </c>
      <c r="B1745" s="138">
        <f>'Tax Sched 23'!B5</f>
        <v>403568</v>
      </c>
      <c r="C1745" s="2" t="s">
        <v>594</v>
      </c>
      <c r="D1745" s="2" t="str">
        <f t="shared" si="26"/>
        <v>Error?</v>
      </c>
    </row>
    <row r="1746" spans="1:5" x14ac:dyDescent="0.2">
      <c r="A1746" s="5">
        <v>1685</v>
      </c>
      <c r="B1746" s="138">
        <f>'Tax Sched 23'!B6</f>
        <v>472867</v>
      </c>
      <c r="C1746" s="2" t="s">
        <v>594</v>
      </c>
      <c r="D1746" s="2" t="str">
        <f t="shared" si="26"/>
        <v>Error?</v>
      </c>
    </row>
    <row r="1747" spans="1:5" x14ac:dyDescent="0.2">
      <c r="A1747" s="5">
        <v>1686</v>
      </c>
      <c r="B1747" s="138">
        <f>'Tax Sched 23'!B7</f>
        <v>161427</v>
      </c>
      <c r="C1747" s="2" t="s">
        <v>594</v>
      </c>
      <c r="D1747" s="2" t="str">
        <f t="shared" si="26"/>
        <v>Error?</v>
      </c>
    </row>
    <row r="1748" spans="1:5" x14ac:dyDescent="0.2">
      <c r="A1748" s="5">
        <v>1687</v>
      </c>
      <c r="B1748" s="138">
        <f>'Tax Sched 23'!B8</f>
        <v>63692</v>
      </c>
      <c r="C1748" s="2" t="s">
        <v>594</v>
      </c>
      <c r="D1748" s="2" t="str">
        <f t="shared" si="26"/>
        <v>Error?</v>
      </c>
    </row>
    <row r="1749" spans="1:5" x14ac:dyDescent="0.2">
      <c r="A1749" s="5">
        <v>1688</v>
      </c>
      <c r="B1749" s="138">
        <f>'Tax Sched 23'!B10</f>
        <v>40357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653807</v>
      </c>
      <c r="C1752" s="2" t="s">
        <v>594</v>
      </c>
      <c r="D1752" s="2" t="str">
        <f t="shared" si="26"/>
        <v>Error?</v>
      </c>
    </row>
    <row r="1753" spans="1:5" x14ac:dyDescent="0.2">
      <c r="A1753" s="5">
        <v>1692</v>
      </c>
      <c r="B1753" s="138">
        <f>'Tax Sched 23'!B12</f>
        <v>40357</v>
      </c>
      <c r="C1753" s="2" t="s">
        <v>594</v>
      </c>
      <c r="D1753" s="2" t="str">
        <f t="shared" si="26"/>
        <v>Error?</v>
      </c>
    </row>
    <row r="1754" spans="1:5" x14ac:dyDescent="0.2">
      <c r="A1754" s="5">
        <v>1693</v>
      </c>
      <c r="B1754" s="138">
        <f>'Tax Sched 23'!B14</f>
        <v>32285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4439692</v>
      </c>
      <c r="C1759" s="2" t="s">
        <v>594</v>
      </c>
      <c r="D1759" s="2" t="str">
        <f t="shared" si="26"/>
        <v>Error?</v>
      </c>
    </row>
    <row r="1760" spans="1:5" x14ac:dyDescent="0.2">
      <c r="A1760" s="5">
        <v>1699</v>
      </c>
      <c r="B1760" s="138">
        <f>'Tax Sched 23'!D4</f>
        <v>2356819</v>
      </c>
      <c r="C1760" s="2" t="s">
        <v>594</v>
      </c>
      <c r="D1760" s="2" t="str">
        <f t="shared" si="26"/>
        <v>Error?</v>
      </c>
    </row>
    <row r="1761" spans="1:5" x14ac:dyDescent="0.2">
      <c r="A1761" s="5">
        <v>1700</v>
      </c>
      <c r="B1761" s="138">
        <f>'Tax Sched 23'!D5</f>
        <v>403568</v>
      </c>
      <c r="C1761" s="2" t="s">
        <v>594</v>
      </c>
      <c r="D1761" s="2" t="str">
        <f t="shared" si="26"/>
        <v>Error?</v>
      </c>
    </row>
    <row r="1762" spans="1:5" s="8" customFormat="1" x14ac:dyDescent="0.2">
      <c r="A1762" s="5">
        <v>1701</v>
      </c>
      <c r="B1762" s="138">
        <f>'Tax Sched 23'!D6</f>
        <v>472867</v>
      </c>
      <c r="C1762" s="2" t="s">
        <v>594</v>
      </c>
      <c r="D1762" s="2" t="str">
        <f t="shared" si="26"/>
        <v>Error?</v>
      </c>
      <c r="E1762" s="9"/>
    </row>
    <row r="1763" spans="1:5" x14ac:dyDescent="0.2">
      <c r="A1763" s="5">
        <v>1702</v>
      </c>
      <c r="B1763" s="138">
        <f>'Tax Sched 23'!D7</f>
        <v>161427</v>
      </c>
      <c r="C1763" s="2" t="s">
        <v>594</v>
      </c>
      <c r="D1763" s="2" t="str">
        <f t="shared" si="26"/>
        <v>Error?</v>
      </c>
    </row>
    <row r="1764" spans="1:5" x14ac:dyDescent="0.2">
      <c r="A1764" s="5">
        <v>1703</v>
      </c>
      <c r="B1764" s="138">
        <f>'Tax Sched 23'!D8</f>
        <v>63692</v>
      </c>
      <c r="C1764" s="2" t="s">
        <v>594</v>
      </c>
      <c r="D1764" s="2" t="str">
        <f t="shared" si="26"/>
        <v>Error?</v>
      </c>
    </row>
    <row r="1765" spans="1:5" x14ac:dyDescent="0.2">
      <c r="A1765" s="5">
        <v>1704</v>
      </c>
      <c r="B1765" s="138">
        <f>'Tax Sched 23'!D10</f>
        <v>40357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653807</v>
      </c>
      <c r="C1768" s="2" t="s">
        <v>594</v>
      </c>
      <c r="D1768" s="2" t="str">
        <f t="shared" si="26"/>
        <v>Error?</v>
      </c>
    </row>
    <row r="1769" spans="1:5" x14ac:dyDescent="0.2">
      <c r="A1769" s="5">
        <v>1708</v>
      </c>
      <c r="B1769" s="138">
        <f>'Tax Sched 23'!D12</f>
        <v>40357</v>
      </c>
      <c r="C1769" s="2" t="s">
        <v>594</v>
      </c>
      <c r="D1769" s="2" t="str">
        <f t="shared" si="26"/>
        <v>Error?</v>
      </c>
    </row>
    <row r="1770" spans="1:5" x14ac:dyDescent="0.2">
      <c r="A1770" s="5">
        <v>1709</v>
      </c>
      <c r="B1770" s="138">
        <f>'Tax Sched 23'!D14</f>
        <v>32285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4439692</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2389206</v>
      </c>
      <c r="C1792" s="2" t="s">
        <v>594</v>
      </c>
      <c r="D1792" s="2" t="str">
        <f t="shared" si="27"/>
        <v>Error?</v>
      </c>
    </row>
    <row r="1793" spans="1:4" x14ac:dyDescent="0.2">
      <c r="A1793" s="5">
        <v>1732</v>
      </c>
      <c r="B1793" s="138">
        <f>'Tax Sched 23'!F5</f>
        <v>409111</v>
      </c>
      <c r="C1793" s="2" t="s">
        <v>594</v>
      </c>
      <c r="D1793" s="2" t="str">
        <f t="shared" si="27"/>
        <v>Error?</v>
      </c>
    </row>
    <row r="1794" spans="1:4" x14ac:dyDescent="0.2">
      <c r="A1794" s="5">
        <v>1733</v>
      </c>
      <c r="B1794" s="138">
        <f>'Tax Sched 23'!F6</f>
        <v>474446</v>
      </c>
      <c r="C1794" s="2" t="s">
        <v>594</v>
      </c>
      <c r="D1794" s="2" t="str">
        <f t="shared" si="27"/>
        <v>Error?</v>
      </c>
    </row>
    <row r="1795" spans="1:4" x14ac:dyDescent="0.2">
      <c r="A1795" s="5">
        <v>1734</v>
      </c>
      <c r="B1795" s="138">
        <f>'Tax Sched 23'!F7</f>
        <v>163644</v>
      </c>
      <c r="C1795" s="2" t="s">
        <v>594</v>
      </c>
      <c r="D1795" s="2" t="str">
        <f t="shared" si="27"/>
        <v>Error?</v>
      </c>
    </row>
    <row r="1796" spans="1:4" x14ac:dyDescent="0.2">
      <c r="A1796" s="5">
        <v>1735</v>
      </c>
      <c r="B1796" s="138">
        <f>'Tax Sched 23'!F8</f>
        <v>75006</v>
      </c>
      <c r="C1796" s="2" t="s">
        <v>594</v>
      </c>
      <c r="D1796" s="2" t="str">
        <f t="shared" si="27"/>
        <v>Error?</v>
      </c>
    </row>
    <row r="1797" spans="1:4" x14ac:dyDescent="0.2">
      <c r="A1797" s="5">
        <v>1736</v>
      </c>
      <c r="B1797" s="138">
        <f>'Tax Sched 23'!F10</f>
        <v>40911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660002</v>
      </c>
      <c r="C1800" s="2" t="s">
        <v>594</v>
      </c>
      <c r="D1800" s="2" t="str">
        <f t="shared" si="27"/>
        <v>Error?</v>
      </c>
    </row>
    <row r="1801" spans="1:4" x14ac:dyDescent="0.2">
      <c r="A1801" s="5">
        <v>1740</v>
      </c>
      <c r="B1801" s="138">
        <f>'Tax Sched 23'!F12</f>
        <v>40911</v>
      </c>
      <c r="C1801" s="2" t="s">
        <v>594</v>
      </c>
      <c r="D1801" s="2" t="str">
        <f t="shared" si="27"/>
        <v>Error?</v>
      </c>
    </row>
    <row r="1802" spans="1:4" x14ac:dyDescent="0.2">
      <c r="A1802" s="5">
        <v>1741</v>
      </c>
      <c r="B1802" s="138">
        <f>'Tax Sched 23'!F14</f>
        <v>32729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4501878</v>
      </c>
      <c r="C1807" s="2" t="s">
        <v>594</v>
      </c>
      <c r="D1807" s="2" t="str">
        <f t="shared" si="27"/>
        <v>Error?</v>
      </c>
    </row>
    <row r="1808" spans="1:4" x14ac:dyDescent="0.2">
      <c r="A1808" s="5">
        <v>1747</v>
      </c>
      <c r="B1808" s="138">
        <f>'Tax Sched 23'!E4</f>
        <v>2389206</v>
      </c>
      <c r="D1808" s="2" t="str">
        <f t="shared" si="27"/>
        <v>Error?</v>
      </c>
    </row>
    <row r="1809" spans="1:4" x14ac:dyDescent="0.2">
      <c r="A1809" s="5">
        <v>1748</v>
      </c>
      <c r="B1809" s="138">
        <f>'Tax Sched 23'!E5</f>
        <v>409111</v>
      </c>
      <c r="D1809" s="2" t="str">
        <f t="shared" si="27"/>
        <v>Error?</v>
      </c>
    </row>
    <row r="1810" spans="1:4" x14ac:dyDescent="0.2">
      <c r="A1810" s="5">
        <v>1749</v>
      </c>
      <c r="B1810" s="138">
        <f>'Tax Sched 23'!E6</f>
        <v>474446</v>
      </c>
      <c r="D1810" s="2" t="str">
        <f t="shared" si="27"/>
        <v>Error?</v>
      </c>
    </row>
    <row r="1811" spans="1:4" x14ac:dyDescent="0.2">
      <c r="A1811" s="5">
        <v>1750</v>
      </c>
      <c r="B1811" s="138">
        <f>'Tax Sched 23'!E7</f>
        <v>163644</v>
      </c>
      <c r="D1811" s="2" t="str">
        <f t="shared" si="27"/>
        <v>Error?</v>
      </c>
    </row>
    <row r="1812" spans="1:4" x14ac:dyDescent="0.2">
      <c r="A1812" s="5">
        <v>1751</v>
      </c>
      <c r="B1812" s="138">
        <f>'Tax Sched 23'!E8</f>
        <v>75006</v>
      </c>
      <c r="D1812" s="2" t="str">
        <f t="shared" si="27"/>
        <v>Error?</v>
      </c>
    </row>
    <row r="1813" spans="1:4" x14ac:dyDescent="0.2">
      <c r="A1813" s="5">
        <v>1752</v>
      </c>
      <c r="B1813" s="138">
        <f>'Tax Sched 23'!E10</f>
        <v>40911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660002</v>
      </c>
      <c r="D1816" s="2" t="str">
        <f t="shared" si="27"/>
        <v>Error?</v>
      </c>
    </row>
    <row r="1817" spans="1:4" x14ac:dyDescent="0.2">
      <c r="A1817" s="5">
        <v>1756</v>
      </c>
      <c r="B1817" s="138">
        <f>'Tax Sched 23'!E12</f>
        <v>40911</v>
      </c>
      <c r="D1817" s="2" t="str">
        <f t="shared" si="27"/>
        <v>Error?</v>
      </c>
    </row>
    <row r="1818" spans="1:4" x14ac:dyDescent="0.2">
      <c r="A1818" s="5">
        <v>1757</v>
      </c>
      <c r="B1818" s="138">
        <f>'Tax Sched 23'!E14</f>
        <v>32729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4501878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3404000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32285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32285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32285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51937</v>
      </c>
      <c r="D2008" s="2" t="str">
        <f t="shared" si="30"/>
        <v>Error?</v>
      </c>
    </row>
    <row r="2009" spans="1:4" x14ac:dyDescent="0.2">
      <c r="A2009" s="5">
        <v>1948</v>
      </c>
      <c r="B2009" s="138">
        <f>'Cap Outlay Deprec 26'!C8</f>
        <v>8504216</v>
      </c>
      <c r="D2009" s="2" t="str">
        <f t="shared" si="30"/>
        <v>Error?</v>
      </c>
    </row>
    <row r="2010" spans="1:4" x14ac:dyDescent="0.2">
      <c r="A2010" s="5">
        <v>1949</v>
      </c>
      <c r="B2010" s="138">
        <f>'Cap Outlay Deprec 26'!C10</f>
        <v>519702</v>
      </c>
      <c r="D2010" s="2" t="str">
        <f t="shared" si="30"/>
        <v>Error?</v>
      </c>
    </row>
    <row r="2011" spans="1:4" x14ac:dyDescent="0.2">
      <c r="A2011" s="5">
        <v>1950</v>
      </c>
      <c r="B2011" s="138">
        <f>'Cap Outlay Deprec 26'!C12</f>
        <v>4650442</v>
      </c>
      <c r="D2011" s="2" t="str">
        <f t="shared" si="30"/>
        <v>Error?</v>
      </c>
    </row>
    <row r="2012" spans="1:4" x14ac:dyDescent="0.2">
      <c r="A2012" s="5">
        <v>1951</v>
      </c>
      <c r="B2012" s="138">
        <f>'Cap Outlay Deprec 26'!C13</f>
        <v>241481</v>
      </c>
      <c r="D2012" s="2" t="str">
        <f t="shared" si="30"/>
        <v>Error?</v>
      </c>
    </row>
    <row r="2013" spans="1:4" x14ac:dyDescent="0.2">
      <c r="A2013" s="5">
        <v>1952</v>
      </c>
      <c r="B2013" s="138">
        <f>'Cap Outlay Deprec 26'!C16</f>
        <v>14062778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118055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118055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51937</v>
      </c>
      <c r="C2026" s="2" t="s">
        <v>594</v>
      </c>
      <c r="D2026" s="2" t="str">
        <f t="shared" si="30"/>
        <v>Error?</v>
      </c>
    </row>
    <row r="2027" spans="1:4" x14ac:dyDescent="0.2">
      <c r="A2027" s="5">
        <v>1966</v>
      </c>
      <c r="B2027" s="138">
        <f>'Cap Outlay Deprec 26'!F8</f>
        <v>8504216</v>
      </c>
      <c r="C2027" s="2" t="s">
        <v>594</v>
      </c>
      <c r="D2027" s="2" t="str">
        <f t="shared" si="30"/>
        <v>Error?</v>
      </c>
    </row>
    <row r="2028" spans="1:4" x14ac:dyDescent="0.2">
      <c r="A2028" s="5">
        <v>1967</v>
      </c>
      <c r="B2028" s="138">
        <f>'Cap Outlay Deprec 26'!F10</f>
        <v>519702</v>
      </c>
      <c r="C2028" s="2" t="s">
        <v>594</v>
      </c>
      <c r="D2028" s="2" t="str">
        <f t="shared" si="30"/>
        <v>Error?</v>
      </c>
    </row>
    <row r="2029" spans="1:4" x14ac:dyDescent="0.2">
      <c r="A2029" s="5">
        <v>1968</v>
      </c>
      <c r="B2029" s="138">
        <f>'Cap Outlay Deprec 26'!F12</f>
        <v>4768497</v>
      </c>
      <c r="C2029" s="2" t="s">
        <v>594</v>
      </c>
      <c r="D2029" s="2" t="str">
        <f t="shared" si="30"/>
        <v>Error?</v>
      </c>
    </row>
    <row r="2030" spans="1:4" x14ac:dyDescent="0.2">
      <c r="A2030" s="5">
        <v>1969</v>
      </c>
      <c r="B2030" s="138">
        <f>'Cap Outlay Deprec 26'!F13</f>
        <v>241481</v>
      </c>
      <c r="C2030" s="2" t="s">
        <v>594</v>
      </c>
      <c r="D2030" s="2" t="str">
        <f t="shared" si="30"/>
        <v>Error?</v>
      </c>
    </row>
    <row r="2031" spans="1:4" x14ac:dyDescent="0.2">
      <c r="A2031" s="5">
        <v>1970</v>
      </c>
      <c r="B2031" s="138">
        <f>'Cap Outlay Deprec 26'!F16</f>
        <v>14180833</v>
      </c>
      <c r="C2031" s="2" t="s">
        <v>594</v>
      </c>
      <c r="D2031" s="2" t="str">
        <f t="shared" si="30"/>
        <v>Error?</v>
      </c>
    </row>
    <row r="2032" spans="1:4" x14ac:dyDescent="0.2">
      <c r="A2032" s="10">
        <v>1971</v>
      </c>
      <c r="D2032" s="2" t="str">
        <f t="shared" si="30"/>
        <v>OK</v>
      </c>
    </row>
    <row r="2033" spans="1:4" x14ac:dyDescent="0.2">
      <c r="A2033" s="5">
        <v>1972</v>
      </c>
      <c r="B2033" s="138">
        <f>'Cap Outlay Deprec 26'!H8</f>
        <v>3987548</v>
      </c>
      <c r="D2033" s="2" t="str">
        <f t="shared" si="30"/>
        <v>Error?</v>
      </c>
    </row>
    <row r="2034" spans="1:4" x14ac:dyDescent="0.2">
      <c r="A2034" s="5">
        <v>1973</v>
      </c>
      <c r="B2034" s="138">
        <f>'Cap Outlay Deprec 26'!H10</f>
        <v>276930</v>
      </c>
      <c r="D2034" s="2" t="str">
        <f t="shared" si="30"/>
        <v>Error?</v>
      </c>
    </row>
    <row r="2035" spans="1:4" x14ac:dyDescent="0.2">
      <c r="A2035" s="5">
        <v>1974</v>
      </c>
      <c r="B2035" s="138">
        <f>'Cap Outlay Deprec 26'!H12</f>
        <v>4121963</v>
      </c>
      <c r="D2035" s="2" t="str">
        <f t="shared" si="30"/>
        <v>Error?</v>
      </c>
    </row>
    <row r="2036" spans="1:4" x14ac:dyDescent="0.2">
      <c r="A2036" s="5">
        <v>1975</v>
      </c>
      <c r="B2036" s="138">
        <f>'Cap Outlay Deprec 26'!H13</f>
        <v>230559</v>
      </c>
      <c r="D2036" s="2" t="str">
        <f t="shared" si="30"/>
        <v>Error?</v>
      </c>
    </row>
    <row r="2037" spans="1:4" x14ac:dyDescent="0.2">
      <c r="A2037" s="5">
        <v>1976</v>
      </c>
      <c r="B2037" s="138">
        <f>'Cap Outlay Deprec 26'!H16</f>
        <v>8635367</v>
      </c>
      <c r="C2037" s="2" t="s">
        <v>594</v>
      </c>
      <c r="D2037" s="2" t="str">
        <f t="shared" si="30"/>
        <v>Error?</v>
      </c>
    </row>
    <row r="2038" spans="1:4" x14ac:dyDescent="0.2">
      <c r="A2038" s="10">
        <v>1977</v>
      </c>
      <c r="D2038" s="2" t="str">
        <f t="shared" si="30"/>
        <v>OK</v>
      </c>
    </row>
    <row r="2039" spans="1:4" x14ac:dyDescent="0.2">
      <c r="A2039" s="5">
        <v>1978</v>
      </c>
      <c r="B2039" s="138">
        <f>'Cap Outlay Deprec 26'!I8</f>
        <v>123969</v>
      </c>
      <c r="D2039" s="2" t="str">
        <f t="shared" si="30"/>
        <v>Error?</v>
      </c>
    </row>
    <row r="2040" spans="1:4" x14ac:dyDescent="0.2">
      <c r="A2040" s="5">
        <v>1979</v>
      </c>
      <c r="B2040" s="138">
        <f>'Cap Outlay Deprec 26'!I10</f>
        <v>23053</v>
      </c>
      <c r="D2040" s="2" t="str">
        <f t="shared" si="30"/>
        <v>Error?</v>
      </c>
    </row>
    <row r="2041" spans="1:4" x14ac:dyDescent="0.2">
      <c r="A2041" s="5">
        <v>1980</v>
      </c>
      <c r="B2041" s="138">
        <f>'Cap Outlay Deprec 26'!I12</f>
        <v>128960</v>
      </c>
      <c r="D2041" s="2" t="str">
        <f t="shared" si="30"/>
        <v>Error?</v>
      </c>
    </row>
    <row r="2042" spans="1:4" x14ac:dyDescent="0.2">
      <c r="A2042" s="5">
        <v>1981</v>
      </c>
      <c r="B2042" s="138">
        <f>'Cap Outlay Deprec 26'!I13</f>
        <v>10922</v>
      </c>
      <c r="D2042" s="2" t="str">
        <f t="shared" si="30"/>
        <v>Error?</v>
      </c>
    </row>
    <row r="2043" spans="1:4" x14ac:dyDescent="0.2">
      <c r="A2043" s="5">
        <v>1982</v>
      </c>
      <c r="B2043" s="138">
        <f>'Cap Outlay Deprec 26'!I16</f>
        <v>290704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4111517</v>
      </c>
      <c r="C2051" s="2" t="s">
        <v>594</v>
      </c>
      <c r="D2051" s="2" t="str">
        <f t="shared" si="31"/>
        <v>Error?</v>
      </c>
    </row>
    <row r="2052" spans="1:4" x14ac:dyDescent="0.2">
      <c r="A2052" s="5">
        <v>1991</v>
      </c>
      <c r="B2052" s="138">
        <f>'Cap Outlay Deprec 26'!K10</f>
        <v>299983</v>
      </c>
      <c r="C2052" s="2" t="s">
        <v>594</v>
      </c>
      <c r="D2052" s="2" t="str">
        <f t="shared" si="31"/>
        <v>Error?</v>
      </c>
    </row>
    <row r="2053" spans="1:4" x14ac:dyDescent="0.2">
      <c r="A2053" s="5">
        <v>1992</v>
      </c>
      <c r="B2053" s="138">
        <f>'Cap Outlay Deprec 26'!K12</f>
        <v>4250923</v>
      </c>
      <c r="C2053" s="2" t="s">
        <v>594</v>
      </c>
      <c r="D2053" s="2" t="str">
        <f t="shared" si="31"/>
        <v>Error?</v>
      </c>
    </row>
    <row r="2054" spans="1:4" x14ac:dyDescent="0.2">
      <c r="A2054" s="5">
        <v>1993</v>
      </c>
      <c r="B2054" s="138">
        <f>'Cap Outlay Deprec 26'!K13</f>
        <v>241481</v>
      </c>
      <c r="C2054" s="2" t="s">
        <v>594</v>
      </c>
      <c r="D2054" s="2" t="str">
        <f t="shared" si="31"/>
        <v>Error?</v>
      </c>
    </row>
    <row r="2055" spans="1:4" x14ac:dyDescent="0.2">
      <c r="A2055" s="5">
        <v>1994</v>
      </c>
      <c r="B2055" s="138">
        <f>'Cap Outlay Deprec 26'!K16</f>
        <v>8926071</v>
      </c>
      <c r="C2055" s="2" t="s">
        <v>594</v>
      </c>
      <c r="D2055" s="2" t="str">
        <f t="shared" si="31"/>
        <v>Error?</v>
      </c>
    </row>
    <row r="2056" spans="1:4" x14ac:dyDescent="0.2">
      <c r="A2056" s="5">
        <v>1995</v>
      </c>
      <c r="B2056" s="138">
        <f>'Cap Outlay Deprec 26'!L5</f>
        <v>51937</v>
      </c>
      <c r="C2056" s="2" t="s">
        <v>594</v>
      </c>
      <c r="D2056" s="2" t="str">
        <f t="shared" si="31"/>
        <v>Error?</v>
      </c>
    </row>
    <row r="2057" spans="1:4" x14ac:dyDescent="0.2">
      <c r="A2057" s="5">
        <v>1996</v>
      </c>
      <c r="B2057" s="138">
        <f>'Cap Outlay Deprec 26'!L8</f>
        <v>4392699</v>
      </c>
      <c r="C2057" s="2" t="s">
        <v>594</v>
      </c>
      <c r="D2057" s="2" t="str">
        <f t="shared" si="31"/>
        <v>Error?</v>
      </c>
    </row>
    <row r="2058" spans="1:4" x14ac:dyDescent="0.2">
      <c r="A2058" s="5">
        <v>1997</v>
      </c>
      <c r="B2058" s="138">
        <f>'Cap Outlay Deprec 26'!L10</f>
        <v>219719</v>
      </c>
      <c r="C2058" s="2" t="s">
        <v>594</v>
      </c>
      <c r="D2058" s="2" t="str">
        <f t="shared" si="31"/>
        <v>Error?</v>
      </c>
    </row>
    <row r="2059" spans="1:4" x14ac:dyDescent="0.2">
      <c r="A2059" s="5">
        <v>1998</v>
      </c>
      <c r="B2059" s="138">
        <f>'Cap Outlay Deprec 26'!L12</f>
        <v>517574</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5254762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1055791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1055791</v>
      </c>
      <c r="C2088" s="2" t="s">
        <v>594</v>
      </c>
      <c r="D2088" s="2" t="str">
        <f t="shared" si="31"/>
        <v>Error?</v>
      </c>
    </row>
    <row r="2089" spans="1:4" x14ac:dyDescent="0.2">
      <c r="A2089" s="5">
        <v>2028</v>
      </c>
      <c r="B2089" s="138">
        <f>'Expenditures 15-22'!K92</f>
        <v>9320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446941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3462872</v>
      </c>
      <c r="C2551" s="2" t="s">
        <v>594</v>
      </c>
      <c r="D2551" s="2" t="str">
        <f t="shared" si="38"/>
        <v>Error?</v>
      </c>
    </row>
    <row r="2552" spans="1:4" x14ac:dyDescent="0.2">
      <c r="A2552" s="10">
        <v>2491</v>
      </c>
      <c r="D2552" s="2" t="str">
        <f t="shared" si="38"/>
        <v>OK</v>
      </c>
    </row>
    <row r="2553" spans="1:4" x14ac:dyDescent="0.2">
      <c r="A2553" s="5">
        <v>2492</v>
      </c>
      <c r="B2553" s="138">
        <f>'Acct Summary 7-8'!C6</f>
        <v>4814763</v>
      </c>
      <c r="C2553" s="2" t="s">
        <v>594</v>
      </c>
      <c r="D2553" s="2" t="str">
        <f t="shared" si="38"/>
        <v>Error?</v>
      </c>
    </row>
    <row r="2554" spans="1:4" x14ac:dyDescent="0.2">
      <c r="A2554" s="5">
        <v>2493</v>
      </c>
      <c r="B2554" s="138">
        <f>'Acct Summary 7-8'!C7</f>
        <v>870324</v>
      </c>
      <c r="C2554" s="2" t="s">
        <v>594</v>
      </c>
      <c r="D2554" s="2" t="str">
        <f t="shared" si="38"/>
        <v>Error?</v>
      </c>
    </row>
    <row r="2555" spans="1:4" x14ac:dyDescent="0.2">
      <c r="A2555" s="5">
        <v>2494</v>
      </c>
      <c r="B2555" s="138">
        <f>'Acct Summary 7-8'!C8</f>
        <v>9237959</v>
      </c>
      <c r="C2555" s="2" t="s">
        <v>594</v>
      </c>
      <c r="D2555" s="2" t="str">
        <f t="shared" si="38"/>
        <v>Error?</v>
      </c>
    </row>
    <row r="2556" spans="1:4" x14ac:dyDescent="0.2">
      <c r="A2556" s="5">
        <v>2495</v>
      </c>
      <c r="B2556" s="138">
        <f>'Acct Summary 7-8'!C12</f>
        <v>5617999</v>
      </c>
      <c r="C2556" s="2" t="s">
        <v>594</v>
      </c>
      <c r="D2556" s="2" t="str">
        <f t="shared" si="38"/>
        <v>Error?</v>
      </c>
    </row>
    <row r="2557" spans="1:4" x14ac:dyDescent="0.2">
      <c r="A2557" s="5">
        <v>2496</v>
      </c>
      <c r="B2557" s="138">
        <f>'Acct Summary 7-8'!C13</f>
        <v>1911010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1065111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8594120</v>
      </c>
      <c r="C2561" s="2" t="s">
        <v>594</v>
      </c>
      <c r="D2561" s="2" t="str">
        <f t="shared" si="39"/>
        <v>Error?</v>
      </c>
    </row>
    <row r="2562" spans="1:4" x14ac:dyDescent="0.2">
      <c r="A2562" s="5">
        <v>2501</v>
      </c>
      <c r="B2562" s="138">
        <f>'Acct Summary 7-8'!C20</f>
        <v>643839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743714</v>
      </c>
      <c r="C2564" s="2" t="s">
        <v>594</v>
      </c>
      <c r="D2564" s="2" t="str">
        <f t="shared" si="39"/>
        <v>Error?</v>
      </c>
    </row>
    <row r="2565" spans="1:4" x14ac:dyDescent="0.2">
      <c r="A2565" s="10">
        <v>2504</v>
      </c>
      <c r="D2565" s="2" t="str">
        <f t="shared" si="39"/>
        <v>OK</v>
      </c>
    </row>
    <row r="2566" spans="1:4" x14ac:dyDescent="0.2">
      <c r="A2566" s="5">
        <v>2505</v>
      </c>
      <c r="B2566" s="138">
        <f>'Acct Summary 7-8'!D6</f>
        <v>100000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843714</v>
      </c>
      <c r="C2568" s="2" t="s">
        <v>594</v>
      </c>
      <c r="D2568" s="2" t="str">
        <f t="shared" si="39"/>
        <v>Error?</v>
      </c>
    </row>
    <row r="2569" spans="1:4" x14ac:dyDescent="0.2">
      <c r="A2569" s="5">
        <v>2508</v>
      </c>
      <c r="B2569" s="138">
        <f>'Acct Summary 7-8'!D13</f>
        <v>986792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986792</v>
      </c>
      <c r="C2573" s="2" t="s">
        <v>594</v>
      </c>
      <c r="D2573" s="2" t="str">
        <f t="shared" si="39"/>
        <v>Error?</v>
      </c>
    </row>
    <row r="2574" spans="1:4" x14ac:dyDescent="0.2">
      <c r="A2574" s="5">
        <v>2513</v>
      </c>
      <c r="B2574" s="138">
        <f>'Acct Summary 7-8'!D20</f>
        <v>-143078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194665</v>
      </c>
      <c r="C2591" s="2" t="s">
        <v>594</v>
      </c>
      <c r="D2591" s="2" t="str">
        <f t="shared" si="39"/>
        <v>Error?</v>
      </c>
    </row>
    <row r="2592" spans="1:4" x14ac:dyDescent="0.2">
      <c r="A2592" s="10">
        <v>2531</v>
      </c>
      <c r="D2592" s="2" t="str">
        <f t="shared" si="39"/>
        <v>OK</v>
      </c>
    </row>
    <row r="2593" spans="1:4" x14ac:dyDescent="0.2">
      <c r="A2593" s="5">
        <v>2532</v>
      </c>
      <c r="B2593" s="138">
        <f>'Acct Summary 7-8'!F6</f>
        <v>384445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579110</v>
      </c>
      <c r="C2595" s="2" t="s">
        <v>594</v>
      </c>
      <c r="D2595" s="2" t="str">
        <f t="shared" si="39"/>
        <v>Error?</v>
      </c>
    </row>
    <row r="2596" spans="1:4" x14ac:dyDescent="0.2">
      <c r="A2596" s="5">
        <v>2535</v>
      </c>
      <c r="B2596" s="138">
        <f>'Acct Summary 7-8'!F13</f>
        <v>278166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188019</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466185</v>
      </c>
      <c r="C2600" s="2" t="s">
        <v>594</v>
      </c>
      <c r="D2600" s="2" t="str">
        <f t="shared" si="39"/>
        <v>Error?</v>
      </c>
    </row>
    <row r="2601" spans="1:4" x14ac:dyDescent="0.2">
      <c r="A2601" s="5">
        <v>2540</v>
      </c>
      <c r="B2601" s="138">
        <f>'Acct Summary 7-8'!F20</f>
        <v>112925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255711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255711</v>
      </c>
      <c r="C2606" s="2" t="s">
        <v>594</v>
      </c>
      <c r="D2606" s="2" t="str">
        <f t="shared" si="39"/>
        <v>Error?</v>
      </c>
    </row>
    <row r="2607" spans="1:4" x14ac:dyDescent="0.2">
      <c r="A2607" s="5">
        <v>2546</v>
      </c>
      <c r="B2607" s="138">
        <f>'Acct Summary 7-8'!G12</f>
        <v>80555</v>
      </c>
      <c r="C2607" s="2" t="s">
        <v>594</v>
      </c>
      <c r="D2607" s="2" t="str">
        <f t="shared" si="39"/>
        <v>Error?</v>
      </c>
    </row>
    <row r="2608" spans="1:4" x14ac:dyDescent="0.2">
      <c r="A2608" s="5">
        <v>2547</v>
      </c>
      <c r="B2608" s="138">
        <f>'Acct Summary 7-8'!G13</f>
        <v>133090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213645</v>
      </c>
      <c r="C2612" s="2" t="s">
        <v>594</v>
      </c>
      <c r="D2612" s="2" t="str">
        <f t="shared" si="39"/>
        <v>Error?</v>
      </c>
    </row>
    <row r="2613" spans="1:4" x14ac:dyDescent="0.2">
      <c r="A2613" s="5">
        <v>2552</v>
      </c>
      <c r="B2613" s="138">
        <f>'Acct Summary 7-8'!G20</f>
        <v>42066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473818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473818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356162</v>
      </c>
      <c r="C2634" s="2" t="s">
        <v>594</v>
      </c>
      <c r="D2634" s="2" t="str">
        <f t="shared" si="40"/>
        <v>Error?</v>
      </c>
    </row>
    <row r="2635" spans="1:4" x14ac:dyDescent="0.2">
      <c r="A2635" s="5">
        <v>2574</v>
      </c>
      <c r="B2635" s="138">
        <f>'Acct Summary 7-8'!E17</f>
        <v>356162</v>
      </c>
      <c r="C2635" s="2" t="s">
        <v>594</v>
      </c>
      <c r="D2635" s="2" t="str">
        <f t="shared" si="40"/>
        <v>Error?</v>
      </c>
    </row>
    <row r="2636" spans="1:4" x14ac:dyDescent="0.2">
      <c r="A2636" s="5">
        <v>2575</v>
      </c>
      <c r="B2636" s="138">
        <f>'Acct Summary 7-8'!E20</f>
        <v>117656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188019</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188019</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188019</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1877703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114131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264940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1877703</v>
      </c>
      <c r="D2912" s="2" t="str">
        <f t="shared" si="44"/>
        <v>Error?</v>
      </c>
    </row>
    <row r="2913" spans="1:4" x14ac:dyDescent="0.2">
      <c r="A2913" s="5">
        <v>2852</v>
      </c>
      <c r="B2913" s="138">
        <f>'Assets-Liab 5-6'!I41</f>
        <v>1877703</v>
      </c>
      <c r="C2913" s="2" t="s">
        <v>594</v>
      </c>
      <c r="D2913" s="2" t="str">
        <f t="shared" si="44"/>
        <v>Error?</v>
      </c>
    </row>
    <row r="2914" spans="1:4" x14ac:dyDescent="0.2">
      <c r="A2914" s="5">
        <v>2853</v>
      </c>
      <c r="B2914" s="138">
        <f>'Assets-Liab 5-6'!L33</f>
        <v>264940</v>
      </c>
      <c r="D2914" s="2" t="str">
        <f t="shared" si="44"/>
        <v>Error?</v>
      </c>
    </row>
    <row r="2915" spans="1:4" x14ac:dyDescent="0.2">
      <c r="A2915" s="10">
        <v>2854</v>
      </c>
      <c r="D2915" s="2" t="str">
        <f t="shared" si="44"/>
        <v>OK</v>
      </c>
    </row>
    <row r="2916" spans="1:4" x14ac:dyDescent="0.2">
      <c r="A2916" s="5">
        <v>2855</v>
      </c>
      <c r="B2916" s="138">
        <f>'Assets-Liab 5-6'!L34</f>
        <v>264940</v>
      </c>
      <c r="C2916" s="2" t="s">
        <v>594</v>
      </c>
      <c r="D2916" s="2" t="str">
        <f t="shared" si="44"/>
        <v>Error?</v>
      </c>
    </row>
    <row r="2917" spans="1:4" x14ac:dyDescent="0.2">
      <c r="A2917" s="5">
        <v>2856</v>
      </c>
      <c r="B2917" s="138">
        <f>'Assets-Liab 5-6'!L41</f>
        <v>264940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2865</v>
      </c>
      <c r="D2955" s="2" t="str">
        <f t="shared" si="45"/>
        <v>Error?</v>
      </c>
    </row>
    <row r="2956" spans="1:4" x14ac:dyDescent="0.2">
      <c r="A2956" s="5">
        <v>2895</v>
      </c>
      <c r="B2956" s="138">
        <f>'Expenditures 15-22'!H79</f>
        <v>1014676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38250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2865</v>
      </c>
      <c r="C2973" s="2" t="s">
        <v>594</v>
      </c>
      <c r="D2973" s="2" t="str">
        <f t="shared" si="45"/>
        <v>Error?</v>
      </c>
    </row>
    <row r="2974" spans="1:4" x14ac:dyDescent="0.2">
      <c r="A2974" s="5">
        <v>2913</v>
      </c>
      <c r="B2974" s="138">
        <f>'Expenditures 15-22'!K79</f>
        <v>1014676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38250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188019</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188019</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245761</v>
      </c>
      <c r="D3055" s="2" t="str">
        <f t="shared" si="46"/>
        <v>Error?</v>
      </c>
    </row>
    <row r="3056" spans="1:4" x14ac:dyDescent="0.2">
      <c r="A3056" s="5">
        <v>2995</v>
      </c>
      <c r="B3056" s="138">
        <f>'Expenditures 15-22'!D10</f>
        <v>87336</v>
      </c>
      <c r="D3056" s="2" t="str">
        <f t="shared" si="46"/>
        <v>Error?</v>
      </c>
    </row>
    <row r="3057" spans="1:4" x14ac:dyDescent="0.2">
      <c r="A3057" s="5">
        <v>2996</v>
      </c>
      <c r="B3057" s="138">
        <f>'Expenditures 15-22'!E10</f>
        <v>18910</v>
      </c>
      <c r="D3057" s="2" t="str">
        <f t="shared" si="46"/>
        <v>Error?</v>
      </c>
    </row>
    <row r="3058" spans="1:4" x14ac:dyDescent="0.2">
      <c r="A3058" s="5">
        <v>2997</v>
      </c>
      <c r="B3058" s="138">
        <f>'Expenditures 15-22'!F10</f>
        <v>164973</v>
      </c>
      <c r="D3058" s="2" t="str">
        <f t="shared" si="46"/>
        <v>Error?</v>
      </c>
    </row>
    <row r="3059" spans="1:4" x14ac:dyDescent="0.2">
      <c r="A3059" s="5">
        <v>2998</v>
      </c>
      <c r="B3059" s="138">
        <f>'Expenditures 15-22'!G10</f>
        <v>12384</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529364</v>
      </c>
      <c r="C3062" s="2" t="s">
        <v>594</v>
      </c>
      <c r="D3062" s="2" t="str">
        <f t="shared" si="46"/>
        <v>Error?</v>
      </c>
    </row>
    <row r="3063" spans="1:4" x14ac:dyDescent="0.2">
      <c r="A3063" s="10">
        <v>3002</v>
      </c>
      <c r="D3063" s="2" t="str">
        <f t="shared" si="46"/>
        <v>OK</v>
      </c>
    </row>
    <row r="3064" spans="1:4" x14ac:dyDescent="0.2">
      <c r="A3064" s="5">
        <v>3003</v>
      </c>
      <c r="B3064" s="138">
        <f>'Expenditures 15-22'!D219</f>
        <v>16611</v>
      </c>
      <c r="D3064" s="2" t="str">
        <f t="shared" si="46"/>
        <v>Error?</v>
      </c>
    </row>
    <row r="3065" spans="1:4" x14ac:dyDescent="0.2">
      <c r="A3065" s="5">
        <v>3004</v>
      </c>
      <c r="B3065" s="138">
        <f>'Expenditures 15-22'!K219</f>
        <v>16611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53016</v>
      </c>
      <c r="C3225" s="2" t="s">
        <v>594</v>
      </c>
      <c r="D3225" s="2" t="str">
        <f t="shared" si="49"/>
        <v>Error?</v>
      </c>
    </row>
    <row r="3226" spans="1:4" x14ac:dyDescent="0.2">
      <c r="A3226" s="5">
        <v>3165</v>
      </c>
      <c r="B3226" s="138">
        <f>'Acct Summary 7-8'!I8</f>
        <v>53016</v>
      </c>
      <c r="C3226" s="2" t="s">
        <v>594</v>
      </c>
      <c r="D3226" s="2" t="str">
        <f t="shared" si="49"/>
        <v>Error?</v>
      </c>
    </row>
    <row r="3227" spans="1:4" x14ac:dyDescent="0.2">
      <c r="A3227" s="5">
        <v>3166</v>
      </c>
      <c r="B3227" s="138">
        <f>'Acct Summary 7-8'!I20</f>
        <v>53016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643839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-143078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112925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42066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117656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53016</v>
      </c>
      <c r="C3320" s="2" t="s">
        <v>594</v>
      </c>
      <c r="D3320" s="2" t="str">
        <f t="shared" si="50"/>
        <v>Error?</v>
      </c>
    </row>
    <row r="3321" spans="1:4" x14ac:dyDescent="0.2">
      <c r="A3321" s="5">
        <v>3260</v>
      </c>
      <c r="B3321" s="138">
        <f>'Acct Summary 7-8'!I79</f>
        <v>1824687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1877703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51403</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51403</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90000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4030771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832200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977360</v>
      </c>
      <c r="D3417" s="2" t="str">
        <f t="shared" si="52"/>
        <v>Error?</v>
      </c>
    </row>
    <row r="3418" spans="1:4" x14ac:dyDescent="0.2">
      <c r="A3418" s="10">
        <v>3357</v>
      </c>
      <c r="D3418" s="2" t="str">
        <f t="shared" si="52"/>
        <v>OK</v>
      </c>
    </row>
    <row r="3419" spans="1:4" x14ac:dyDescent="0.2">
      <c r="A3419" s="5">
        <v>3358</v>
      </c>
      <c r="B3419" s="138">
        <f>'Assets-Liab 5-6'!F4</f>
        <v>399243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446941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1877703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150809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174156</v>
      </c>
      <c r="C3446" s="2" t="s">
        <v>594</v>
      </c>
      <c r="D3446" s="2" t="str">
        <f t="shared" si="52"/>
        <v>Error?</v>
      </c>
    </row>
    <row r="3447" spans="1:4" x14ac:dyDescent="0.2">
      <c r="A3447" s="5">
        <v>3386</v>
      </c>
      <c r="B3447" s="138">
        <f>'Tax Sched 23'!D16</f>
        <v>174156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175001</v>
      </c>
      <c r="C3449" s="2" t="s">
        <v>594</v>
      </c>
      <c r="D3449" s="2" t="str">
        <f t="shared" si="52"/>
        <v>Error?</v>
      </c>
    </row>
    <row r="3450" spans="1:4" x14ac:dyDescent="0.2">
      <c r="A3450" s="5">
        <v>3389</v>
      </c>
      <c r="B3450" s="138">
        <f>'Tax Sched 23'!E16</f>
        <v>175001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18527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18527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18527</v>
      </c>
      <c r="D3567" s="2" t="str">
        <f t="shared" si="54"/>
        <v>Error?</v>
      </c>
    </row>
    <row r="3568" spans="1:4" x14ac:dyDescent="0.2">
      <c r="A3568" s="5">
        <v>3507</v>
      </c>
      <c r="B3568" s="138">
        <f>'Assets-Liab 5-6'!K41</f>
        <v>18527</v>
      </c>
      <c r="C3568" s="2" t="s">
        <v>594</v>
      </c>
      <c r="D3568" s="2" t="str">
        <f t="shared" si="54"/>
        <v>Error?</v>
      </c>
    </row>
    <row r="3569" spans="1:4" x14ac:dyDescent="0.2">
      <c r="A3569" s="5">
        <v>3508</v>
      </c>
      <c r="B3569" s="138">
        <f>'Acct Summary 7-8'!K4</f>
        <v>40757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40757</v>
      </c>
      <c r="C3571" s="2" t="s">
        <v>594</v>
      </c>
      <c r="D3571" s="2" t="str">
        <f t="shared" si="54"/>
        <v>Error?</v>
      </c>
    </row>
    <row r="3572" spans="1:4" x14ac:dyDescent="0.2">
      <c r="A3572" s="5">
        <v>3511</v>
      </c>
      <c r="B3572" s="138">
        <f>'Acct Summary 7-8'!K13</f>
        <v>119848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119848</v>
      </c>
      <c r="C3575" s="2" t="s">
        <v>594</v>
      </c>
      <c r="D3575" s="2" t="str">
        <f t="shared" si="54"/>
        <v>Error?</v>
      </c>
    </row>
    <row r="3576" spans="1:4" x14ac:dyDescent="0.2">
      <c r="A3576" s="5">
        <v>3515</v>
      </c>
      <c r="B3576" s="138">
        <f>'Acct Summary 7-8'!K20</f>
        <v>-79091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-79091</v>
      </c>
      <c r="C3588" s="2" t="s">
        <v>594</v>
      </c>
      <c r="D3588" s="2" t="str">
        <f t="shared" si="55"/>
        <v>Error?</v>
      </c>
    </row>
    <row r="3589" spans="1:4" x14ac:dyDescent="0.2">
      <c r="A3589" s="5">
        <v>3528</v>
      </c>
      <c r="B3589" s="138">
        <f>'Acct Summary 7-8'!K79</f>
        <v>97618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18527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112656</v>
      </c>
      <c r="D3631" s="2" t="str">
        <f t="shared" si="55"/>
        <v>Error?</v>
      </c>
    </row>
    <row r="3632" spans="1:4" x14ac:dyDescent="0.2">
      <c r="A3632" s="5">
        <v>3571</v>
      </c>
      <c r="B3632" s="138">
        <f>'Expenditures 15-22'!E349</f>
        <v>5464</v>
      </c>
      <c r="D3632" s="2" t="str">
        <f t="shared" si="55"/>
        <v>Error?</v>
      </c>
    </row>
    <row r="3633" spans="1:4" x14ac:dyDescent="0.2">
      <c r="A3633" s="5">
        <v>3572</v>
      </c>
      <c r="B3633" s="138">
        <f>'Expenditures 15-22'!E350</f>
        <v>118120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118120</v>
      </c>
      <c r="C3635" s="2" t="s">
        <v>594</v>
      </c>
      <c r="D3635" s="2" t="str">
        <f t="shared" si="55"/>
        <v>Error?</v>
      </c>
    </row>
    <row r="3636" spans="1:4" x14ac:dyDescent="0.2">
      <c r="A3636" s="5">
        <v>3575</v>
      </c>
      <c r="B3636" s="138">
        <f>'Expenditures 15-22'!E367</f>
        <v>118120</v>
      </c>
      <c r="C3636" s="2" t="s">
        <v>594</v>
      </c>
      <c r="D3636" s="2" t="str">
        <f t="shared" si="55"/>
        <v>Error?</v>
      </c>
    </row>
    <row r="3637" spans="1:4" x14ac:dyDescent="0.2">
      <c r="A3637" s="10">
        <v>3576</v>
      </c>
      <c r="D3637" s="2" t="str">
        <f t="shared" si="55"/>
        <v>OK</v>
      </c>
    </row>
    <row r="3638" spans="1:4" x14ac:dyDescent="0.2">
      <c r="A3638" s="5">
        <v>3577</v>
      </c>
      <c r="B3638" s="138">
        <f>'Expenditures 15-22'!F348</f>
        <v>54</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54</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54</v>
      </c>
      <c r="C3642" s="2" t="s">
        <v>594</v>
      </c>
      <c r="D3642" s="2" t="str">
        <f t="shared" si="55"/>
        <v>Error?</v>
      </c>
    </row>
    <row r="3643" spans="1:4" x14ac:dyDescent="0.2">
      <c r="A3643" s="5">
        <v>3582</v>
      </c>
      <c r="B3643" s="138">
        <f>'Expenditures 15-22'!F367</f>
        <v>54</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1674</v>
      </c>
      <c r="D3646" s="2" t="str">
        <f t="shared" si="55"/>
        <v>Error?</v>
      </c>
    </row>
    <row r="3647" spans="1:4" x14ac:dyDescent="0.2">
      <c r="A3647" s="5">
        <v>3586</v>
      </c>
      <c r="B3647" s="138">
        <f>'Expenditures 15-22'!G350</f>
        <v>1674</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1674</v>
      </c>
      <c r="C3649" s="2" t="s">
        <v>594</v>
      </c>
      <c r="D3649" s="2" t="str">
        <f t="shared" si="56"/>
        <v>Error?</v>
      </c>
    </row>
    <row r="3650" spans="1:4" x14ac:dyDescent="0.2">
      <c r="A3650" s="5">
        <v>3589</v>
      </c>
      <c r="B3650" s="138">
        <f>'Expenditures 15-22'!G367</f>
        <v>1674</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112710</v>
      </c>
      <c r="C3668" s="2" t="s">
        <v>594</v>
      </c>
      <c r="D3668" s="2" t="str">
        <f t="shared" si="56"/>
        <v>Error?</v>
      </c>
    </row>
    <row r="3669" spans="1:4" x14ac:dyDescent="0.2">
      <c r="A3669" s="5">
        <v>3608</v>
      </c>
      <c r="B3669" s="138">
        <f>'Expenditures 15-22'!K349</f>
        <v>7138</v>
      </c>
      <c r="C3669" s="2" t="s">
        <v>594</v>
      </c>
      <c r="D3669" s="2" t="str">
        <f t="shared" si="56"/>
        <v>Error?</v>
      </c>
    </row>
    <row r="3670" spans="1:4" x14ac:dyDescent="0.2">
      <c r="A3670" s="5">
        <v>3609</v>
      </c>
      <c r="B3670" s="138">
        <f>'Expenditures 15-22'!K350</f>
        <v>119848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119848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119848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-79091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40357</v>
      </c>
      <c r="C3725" s="2" t="s">
        <v>594</v>
      </c>
      <c r="D3725" s="2" t="str">
        <f t="shared" si="57"/>
        <v>Error?</v>
      </c>
    </row>
    <row r="3726" spans="1:4" x14ac:dyDescent="0.2">
      <c r="A3726" s="5">
        <v>3665</v>
      </c>
      <c r="B3726" s="138">
        <f>'Tax Sched 23'!D13</f>
        <v>40357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40911</v>
      </c>
      <c r="C3728" s="2" t="s">
        <v>594</v>
      </c>
      <c r="D3728" s="2" t="str">
        <f t="shared" si="57"/>
        <v>Error?</v>
      </c>
    </row>
    <row r="3729" spans="1:4" x14ac:dyDescent="0.2">
      <c r="A3729" s="5">
        <v>3668</v>
      </c>
      <c r="B3729" s="138">
        <f>'Tax Sched 23'!E13</f>
        <v>40911</v>
      </c>
      <c r="D3729" s="2" t="str">
        <f t="shared" si="57"/>
        <v>Error?</v>
      </c>
    </row>
    <row r="3730" spans="1:4" x14ac:dyDescent="0.2">
      <c r="A3730" s="5">
        <v>3669</v>
      </c>
      <c r="B3730" s="138">
        <f>'ICR Computation 30'!E10</f>
        <v>209523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3604791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12842750</v>
      </c>
      <c r="C4122" s="2" t="s">
        <v>594</v>
      </c>
      <c r="D4122" s="2" t="str">
        <f t="shared" si="63"/>
        <v>Error?</v>
      </c>
    </row>
    <row r="4123" spans="1:4" x14ac:dyDescent="0.2">
      <c r="A4123" s="5">
        <v>4062</v>
      </c>
      <c r="B4123" s="138">
        <f>'Acct Summary 7-8'!D10</f>
        <v>843714</v>
      </c>
      <c r="C4123" s="2" t="s">
        <v>594</v>
      </c>
      <c r="D4123" s="2" t="str">
        <f t="shared" si="63"/>
        <v>Error?</v>
      </c>
    </row>
    <row r="4124" spans="1:4" x14ac:dyDescent="0.2">
      <c r="A4124" s="5">
        <v>4063</v>
      </c>
      <c r="B4124" s="138">
        <f>'Acct Summary 7-8'!E10</f>
        <v>473818</v>
      </c>
      <c r="C4124" s="2" t="s">
        <v>594</v>
      </c>
      <c r="D4124" s="2" t="str">
        <f t="shared" si="63"/>
        <v>Error?</v>
      </c>
    </row>
    <row r="4125" spans="1:4" x14ac:dyDescent="0.2">
      <c r="A4125" s="5">
        <v>4064</v>
      </c>
      <c r="B4125" s="138">
        <f>'Acct Summary 7-8'!F10</f>
        <v>579110</v>
      </c>
      <c r="C4125" s="2" t="s">
        <v>594</v>
      </c>
      <c r="D4125" s="2" t="str">
        <f t="shared" si="63"/>
        <v>Error?</v>
      </c>
    </row>
    <row r="4126" spans="1:4" x14ac:dyDescent="0.2">
      <c r="A4126" s="5">
        <v>4065</v>
      </c>
      <c r="B4126" s="138">
        <f>'Acct Summary 7-8'!G10</f>
        <v>255711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53016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40757</v>
      </c>
      <c r="C4130" s="2" t="s">
        <v>594</v>
      </c>
      <c r="D4130" s="2" t="str">
        <f t="shared" si="63"/>
        <v>Error?</v>
      </c>
    </row>
    <row r="4131" spans="1:4" x14ac:dyDescent="0.2">
      <c r="A4131" s="5">
        <v>4070</v>
      </c>
      <c r="B4131" s="138">
        <f>'Acct Summary 7-8'!C18</f>
        <v>3604791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12198911</v>
      </c>
      <c r="C4136" s="2" t="s">
        <v>594</v>
      </c>
      <c r="D4136" s="2" t="str">
        <f t="shared" si="63"/>
        <v>Error?</v>
      </c>
    </row>
    <row r="4137" spans="1:4" x14ac:dyDescent="0.2">
      <c r="A4137" s="5">
        <v>4076</v>
      </c>
      <c r="B4137" s="138">
        <f>'Acct Summary 7-8'!D19</f>
        <v>986792</v>
      </c>
      <c r="C4137" s="2" t="s">
        <v>594</v>
      </c>
      <c r="D4137" s="2" t="str">
        <f t="shared" si="63"/>
        <v>Error?</v>
      </c>
    </row>
    <row r="4138" spans="1:4" x14ac:dyDescent="0.2">
      <c r="A4138" s="5">
        <v>4077</v>
      </c>
      <c r="B4138" s="138">
        <f>'Acct Summary 7-8'!E19</f>
        <v>356162</v>
      </c>
      <c r="C4138" s="2" t="s">
        <v>594</v>
      </c>
      <c r="D4138" s="2" t="str">
        <f t="shared" si="63"/>
        <v>Error?</v>
      </c>
    </row>
    <row r="4139" spans="1:4" x14ac:dyDescent="0.2">
      <c r="A4139" s="5">
        <v>4078</v>
      </c>
      <c r="B4139" s="138">
        <f>'Acct Summary 7-8'!F19</f>
        <v>466185</v>
      </c>
      <c r="C4139" s="2" t="s">
        <v>594</v>
      </c>
      <c r="D4139" s="2" t="str">
        <f t="shared" si="63"/>
        <v>Error?</v>
      </c>
    </row>
    <row r="4140" spans="1:4" x14ac:dyDescent="0.2">
      <c r="A4140" s="5">
        <v>4079</v>
      </c>
      <c r="B4140" s="138">
        <f>'Acct Summary 7-8'!G19</f>
        <v>213645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119848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3105000</v>
      </c>
      <c r="C4171" s="2" t="s">
        <v>594</v>
      </c>
      <c r="D4171" s="2" t="str">
        <f t="shared" si="64"/>
        <v>Error?</v>
      </c>
    </row>
    <row r="4172" spans="1:4" x14ac:dyDescent="0.2">
      <c r="A4172" s="5">
        <v>4111</v>
      </c>
      <c r="B4172" s="138">
        <f>'Short-Term Long-Term Debt 24'!J49</f>
        <v>2127640</v>
      </c>
      <c r="C4172" s="2" t="s">
        <v>594</v>
      </c>
      <c r="D4172" s="2" t="str">
        <f t="shared" si="64"/>
        <v>Error?</v>
      </c>
    </row>
    <row r="4173" spans="1:4" x14ac:dyDescent="0.2">
      <c r="A4173" s="5">
        <v>4112</v>
      </c>
      <c r="B4173" s="138">
        <f>'Short-Term Long-Term Debt 24'!H49</f>
        <v>299000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2920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3620.0000000000005</v>
      </c>
      <c r="C4268" s="2" t="s">
        <v>594</v>
      </c>
      <c r="D4268" s="2" t="str">
        <f t="shared" si="65"/>
        <v>Error?</v>
      </c>
    </row>
    <row r="4269" spans="1:5" x14ac:dyDescent="0.2">
      <c r="A4269" s="12">
        <v>4208</v>
      </c>
      <c r="B4269" s="138">
        <f>'FP Info 3'!J16</f>
        <v>7139917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10833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26024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9360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9360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48169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81822122</v>
      </c>
      <c r="D4995" s="2" t="str">
        <f t="shared" si="77"/>
        <v>Error?</v>
      </c>
    </row>
    <row r="4996" spans="1:4" x14ac:dyDescent="0.2">
      <c r="A4996" s="12">
        <v>4935</v>
      </c>
      <c r="B4996" s="138">
        <f>'FP Info 3'!H31</f>
        <v>11291452.836000001</v>
      </c>
      <c r="D4996" s="2" t="str">
        <f t="shared" si="77"/>
        <v>Error?</v>
      </c>
    </row>
    <row r="4997" spans="1:4" x14ac:dyDescent="0.2">
      <c r="A4997" s="12">
        <v>4936</v>
      </c>
      <c r="B4997" s="138">
        <f>'FP Info 3'!H37</f>
        <v>3105000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40357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2356819</v>
      </c>
      <c r="D5061" s="2" t="str">
        <f t="shared" si="78"/>
        <v>Error?</v>
      </c>
    </row>
    <row r="5062" spans="1:4" x14ac:dyDescent="0.2">
      <c r="A5062" s="10">
        <v>5001</v>
      </c>
      <c r="D5062" s="2" t="str">
        <f t="shared" si="78"/>
        <v>OK</v>
      </c>
    </row>
    <row r="5063" spans="1:4" x14ac:dyDescent="0.2">
      <c r="A5063" s="5">
        <v>5002</v>
      </c>
      <c r="B5063" s="138">
        <f>'Revenues 9-14'!C7</f>
        <v>32285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2429461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349681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349681</v>
      </c>
      <c r="C5071" s="2" t="s">
        <v>594</v>
      </c>
      <c r="D5071" s="2" t="str">
        <f t="shared" si="78"/>
        <v>Error?</v>
      </c>
    </row>
    <row r="5072" spans="1:4" x14ac:dyDescent="0.2">
      <c r="A5072" s="5">
        <v>5011</v>
      </c>
      <c r="B5072" s="138">
        <f>'Revenues 9-14'!C20</f>
        <v>919</v>
      </c>
      <c r="D5072" s="2" t="str">
        <f t="shared" si="78"/>
        <v>Error?</v>
      </c>
    </row>
    <row r="5073" spans="1:4" x14ac:dyDescent="0.2">
      <c r="A5073" s="5">
        <v>5012</v>
      </c>
      <c r="B5073" s="138">
        <f>'Revenues 9-14'!C21</f>
        <v>110781</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33</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111733</v>
      </c>
      <c r="C5087" s="2" t="s">
        <v>594</v>
      </c>
      <c r="D5087" s="2" t="str">
        <f t="shared" si="78"/>
        <v>Error?</v>
      </c>
    </row>
    <row r="5088" spans="1:4" x14ac:dyDescent="0.2">
      <c r="A5088" s="5">
        <v>5027</v>
      </c>
      <c r="B5088" s="138">
        <f>'Revenues 9-14'!C65</f>
        <v>28364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28364</v>
      </c>
      <c r="C5090" s="2" t="s">
        <v>594</v>
      </c>
      <c r="D5090" s="2" t="str">
        <f t="shared" si="78"/>
        <v>Error?</v>
      </c>
    </row>
    <row r="5091" spans="1:4" x14ac:dyDescent="0.2">
      <c r="A5091" s="5">
        <v>5030</v>
      </c>
      <c r="B5091" s="138">
        <f>'Revenues 9-14'!C70</f>
        <v>8090</v>
      </c>
      <c r="D5091" s="2" t="str">
        <f t="shared" si="78"/>
        <v>Error?</v>
      </c>
    </row>
    <row r="5092" spans="1:4" x14ac:dyDescent="0.2">
      <c r="A5092" s="5">
        <v>5031</v>
      </c>
      <c r="B5092" s="138">
        <f>'Revenues 9-14'!C71</f>
        <v>25362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5551</v>
      </c>
      <c r="D5094" s="2" t="str">
        <f t="shared" si="78"/>
        <v>Error?</v>
      </c>
    </row>
    <row r="5095" spans="1:4" x14ac:dyDescent="0.2">
      <c r="A5095" s="5">
        <v>5034</v>
      </c>
      <c r="B5095" s="138">
        <f>'Revenues 9-14'!C74</f>
        <v>18948</v>
      </c>
      <c r="D5095" s="2" t="str">
        <f t="shared" si="78"/>
        <v>Error?</v>
      </c>
    </row>
    <row r="5096" spans="1:4" x14ac:dyDescent="0.2">
      <c r="A5096" s="5">
        <v>5035</v>
      </c>
      <c r="B5096" s="138">
        <f>'Revenues 9-14'!C75</f>
        <v>160682</v>
      </c>
      <c r="C5096" s="2" t="s">
        <v>594</v>
      </c>
      <c r="D5096" s="2" t="str">
        <f t="shared" si="78"/>
        <v>Error?</v>
      </c>
    </row>
    <row r="5097" spans="1:4" x14ac:dyDescent="0.2">
      <c r="A5097" s="5">
        <v>5036</v>
      </c>
      <c r="B5097" s="138">
        <f>'Revenues 9-14'!C77</f>
        <v>23306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1589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24895</v>
      </c>
      <c r="C5102" s="2" t="s">
        <v>594</v>
      </c>
      <c r="D5102" s="2" t="str">
        <f t="shared" si="78"/>
        <v>Error?</v>
      </c>
    </row>
    <row r="5103" spans="1:4" x14ac:dyDescent="0.2">
      <c r="A5103" s="5">
        <v>5042</v>
      </c>
      <c r="B5103" s="138">
        <f>'Revenues 9-14'!C84</f>
        <v>29780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29780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63304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262322</v>
      </c>
      <c r="D5119" s="2" t="str">
        <f t="shared" ref="D5119:D5182" si="79">IF(ISBLANK(B5119),"OK",IF(A5119-B5119=0,"OK","Error?"))</f>
        <v>Error?</v>
      </c>
    </row>
    <row r="5120" spans="1:4" x14ac:dyDescent="0.2">
      <c r="A5120" s="5">
        <v>5059</v>
      </c>
      <c r="B5120" s="138">
        <f>'Revenues 9-14'!C108</f>
        <v>328276</v>
      </c>
      <c r="C5120" s="2" t="s">
        <v>594</v>
      </c>
      <c r="D5120" s="2" t="str">
        <f t="shared" si="79"/>
        <v>Error?</v>
      </c>
    </row>
    <row r="5121" spans="1:4" x14ac:dyDescent="0.2">
      <c r="A5121" s="5">
        <v>5060</v>
      </c>
      <c r="B5121" s="138">
        <f>'Revenues 9-14'!C109</f>
        <v>3462872</v>
      </c>
      <c r="C5121" s="2" t="s">
        <v>594</v>
      </c>
      <c r="D5121" s="2" t="str">
        <f t="shared" si="79"/>
        <v>Error?</v>
      </c>
    </row>
    <row r="5122" spans="1:4" x14ac:dyDescent="0.2">
      <c r="A5122" s="5">
        <v>5061</v>
      </c>
      <c r="B5122" s="138">
        <f>'Revenues 9-14'!C111</f>
        <v>90000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90000</v>
      </c>
      <c r="C5125" s="2" t="s">
        <v>594</v>
      </c>
      <c r="D5125" s="2" t="str">
        <f t="shared" si="79"/>
        <v>Error?</v>
      </c>
    </row>
    <row r="5126" spans="1:4" x14ac:dyDescent="0.2">
      <c r="A5126" s="5">
        <v>5065</v>
      </c>
      <c r="B5126" s="138">
        <f>'Revenues 9-14'!C117</f>
        <v>4613817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4613817</v>
      </c>
      <c r="C5132" s="2" t="s">
        <v>594</v>
      </c>
      <c r="D5132" s="2" t="str">
        <f t="shared" si="79"/>
        <v>Error?</v>
      </c>
    </row>
    <row r="5133" spans="1:4" x14ac:dyDescent="0.2">
      <c r="A5133" s="5">
        <v>5072</v>
      </c>
      <c r="B5133" s="138">
        <f>'Revenues 9-14'!C124</f>
        <v>48162</v>
      </c>
      <c r="D5133" s="2" t="str">
        <f t="shared" si="79"/>
        <v>Error?</v>
      </c>
    </row>
    <row r="5134" spans="1:4" x14ac:dyDescent="0.2">
      <c r="A5134" s="5">
        <v>5073</v>
      </c>
      <c r="B5134" s="138">
        <f>'Revenues 9-14'!C125</f>
        <v>73824</v>
      </c>
      <c r="D5134" s="2" t="str">
        <f t="shared" si="79"/>
        <v>Error?</v>
      </c>
    </row>
    <row r="5135" spans="1:4" x14ac:dyDescent="0.2">
      <c r="A5135" s="5">
        <v>5074</v>
      </c>
      <c r="B5135" s="138">
        <f>'Revenues 9-14'!C126</f>
        <v>10750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2262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134998</v>
      </c>
      <c r="C5147" s="2" t="s">
        <v>594</v>
      </c>
      <c r="D5147" s="2" t="str">
        <f t="shared" si="79"/>
        <v>Error?</v>
      </c>
    </row>
    <row r="5148" spans="1:4" x14ac:dyDescent="0.2">
      <c r="A5148" s="5">
        <v>5087</v>
      </c>
      <c r="B5148" s="138">
        <f>'Revenues 9-14'!C133</f>
        <v>33149</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44567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5123</v>
      </c>
      <c r="D5167" s="2" t="str">
        <f t="shared" si="79"/>
        <v>Error?</v>
      </c>
    </row>
    <row r="5168" spans="1:4" x14ac:dyDescent="0.2">
      <c r="A5168" s="5">
        <v>5107</v>
      </c>
      <c r="B5168" s="138">
        <f>'Revenues 9-14'!C147</f>
        <v>14758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200946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4814763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274355</v>
      </c>
      <c r="D5239" s="2" t="str">
        <f t="shared" si="80"/>
        <v>Error?</v>
      </c>
    </row>
    <row r="5240" spans="1:4" x14ac:dyDescent="0.2">
      <c r="A5240" s="5">
        <v>5179</v>
      </c>
      <c r="B5240" s="138">
        <f>'Revenues 9-14'!C195</f>
        <v>259</v>
      </c>
      <c r="D5240" s="2" t="str">
        <f t="shared" si="80"/>
        <v>Error?</v>
      </c>
    </row>
    <row r="5241" spans="1:4" x14ac:dyDescent="0.2">
      <c r="A5241" s="5">
        <v>5180</v>
      </c>
      <c r="B5241" s="138">
        <f>'Revenues 9-14'!C196</f>
        <v>76569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351183</v>
      </c>
      <c r="C5246" s="2" t="s">
        <v>594</v>
      </c>
      <c r="D5246" s="2" t="str">
        <f t="shared" si="80"/>
        <v>Error?</v>
      </c>
    </row>
    <row r="5247" spans="1:4" x14ac:dyDescent="0.2">
      <c r="A5247" s="5">
        <v>5186</v>
      </c>
      <c r="B5247" s="138">
        <f>'Revenues 9-14'!C203</f>
        <v>424755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424755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870324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870324</v>
      </c>
      <c r="C5326" s="2" t="s">
        <v>594</v>
      </c>
      <c r="D5326" s="2" t="str">
        <f t="shared" si="82"/>
        <v>Error?</v>
      </c>
    </row>
    <row r="5327" spans="1:4" x14ac:dyDescent="0.2">
      <c r="A5327" s="5">
        <v>5266</v>
      </c>
      <c r="B5327" s="138">
        <f>'Revenues 9-14'!C275</f>
        <v>9237959</v>
      </c>
      <c r="C5327" s="2" t="s">
        <v>594</v>
      </c>
      <c r="D5327" s="2" t="str">
        <f t="shared" si="82"/>
        <v>Error?</v>
      </c>
    </row>
    <row r="5328" spans="1:4" x14ac:dyDescent="0.2">
      <c r="A5328" s="5">
        <v>5267</v>
      </c>
      <c r="B5328" s="138">
        <f>'Revenues 9-14'!D5</f>
        <v>403568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403568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6518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6518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6200</v>
      </c>
      <c r="D5349" s="2" t="str">
        <f t="shared" si="82"/>
        <v>Error?</v>
      </c>
    </row>
    <row r="5350" spans="1:4" x14ac:dyDescent="0.2">
      <c r="A5350" s="5">
        <v>5289</v>
      </c>
      <c r="B5350" s="138">
        <f>'Revenues 9-14'!D96</f>
        <v>3314</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324114</v>
      </c>
      <c r="D5354" s="2" t="str">
        <f t="shared" si="82"/>
        <v>Error?</v>
      </c>
    </row>
    <row r="5355" spans="1:4" x14ac:dyDescent="0.2">
      <c r="A5355" s="5">
        <v>5294</v>
      </c>
      <c r="B5355" s="138">
        <f>'Revenues 9-14'!D108</f>
        <v>333628</v>
      </c>
      <c r="C5355" s="2" t="s">
        <v>594</v>
      </c>
      <c r="D5355" s="2" t="str">
        <f t="shared" si="82"/>
        <v>Error?</v>
      </c>
    </row>
    <row r="5356" spans="1:4" x14ac:dyDescent="0.2">
      <c r="A5356" s="5">
        <v>5295</v>
      </c>
      <c r="B5356" s="138">
        <f>'Revenues 9-14'!D109</f>
        <v>743714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843714</v>
      </c>
      <c r="C5508" s="2" t="s">
        <v>594</v>
      </c>
      <c r="D5508" s="2" t="str">
        <f t="shared" si="85"/>
        <v>Error?</v>
      </c>
    </row>
    <row r="5509" spans="1:4" x14ac:dyDescent="0.2">
      <c r="A5509" s="5">
        <v>5448</v>
      </c>
      <c r="B5509" s="138">
        <f>'Revenues 9-14'!E5</f>
        <v>472867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472867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951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951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473818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473818</v>
      </c>
      <c r="C5552" s="2" t="s">
        <v>594</v>
      </c>
      <c r="D5552" s="2" t="str">
        <f t="shared" si="85"/>
        <v>Error?</v>
      </c>
    </row>
    <row r="5553" spans="1:4" x14ac:dyDescent="0.2">
      <c r="A5553" s="5">
        <v>5492</v>
      </c>
      <c r="B5553" s="138">
        <f>'Revenues 9-14'!F5</f>
        <v>161427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161427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1049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13809</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14858</v>
      </c>
      <c r="C5579" s="2" t="s">
        <v>594</v>
      </c>
      <c r="D5579" s="2" t="str">
        <f t="shared" si="86"/>
        <v>Error?</v>
      </c>
    </row>
    <row r="5580" spans="1:4" x14ac:dyDescent="0.2">
      <c r="A5580" s="5">
        <v>5519</v>
      </c>
      <c r="B5580" s="138">
        <f>'Revenues 9-14'!F65</f>
        <v>2525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2525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15855</v>
      </c>
      <c r="D5586" s="2" t="str">
        <f t="shared" si="86"/>
        <v>Error?</v>
      </c>
    </row>
    <row r="5587" spans="1:4" x14ac:dyDescent="0.2">
      <c r="A5587" s="5">
        <v>5526</v>
      </c>
      <c r="B5587" s="138">
        <f>'Revenues 9-14'!F108</f>
        <v>15855</v>
      </c>
      <c r="C5587" s="2" t="s">
        <v>594</v>
      </c>
      <c r="D5587" s="2" t="str">
        <f t="shared" si="86"/>
        <v>Error?</v>
      </c>
    </row>
    <row r="5588" spans="1:4" x14ac:dyDescent="0.2">
      <c r="A5588" s="5">
        <v>5527</v>
      </c>
      <c r="B5588" s="138">
        <f>'Revenues 9-14'!F109</f>
        <v>194665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100000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132215</v>
      </c>
      <c r="D5615" s="2" t="str">
        <f t="shared" si="86"/>
        <v>Error?</v>
      </c>
    </row>
    <row r="5616" spans="1:4" x14ac:dyDescent="0.2">
      <c r="A5616" s="10">
        <v>5555</v>
      </c>
      <c r="D5616" s="2" t="str">
        <f t="shared" si="86"/>
        <v>OK</v>
      </c>
    </row>
    <row r="5617" spans="1:4" x14ac:dyDescent="0.2">
      <c r="A5617" s="5">
        <v>5556</v>
      </c>
      <c r="B5617" s="138">
        <f>'Revenues 9-14'!F152</f>
        <v>152230</v>
      </c>
      <c r="D5617" s="2" t="str">
        <f t="shared" si="86"/>
        <v>Error?</v>
      </c>
    </row>
    <row r="5618" spans="1:4" x14ac:dyDescent="0.2">
      <c r="A5618" s="5">
        <v>5557</v>
      </c>
      <c r="B5618" s="138">
        <f>'Revenues 9-14'!F154</f>
        <v>284445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284445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384445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579110</v>
      </c>
      <c r="C5720" s="2" t="s">
        <v>594</v>
      </c>
      <c r="D5720" s="2" t="str">
        <f t="shared" si="88"/>
        <v>Error?</v>
      </c>
    </row>
    <row r="5721" spans="1:4" x14ac:dyDescent="0.2">
      <c r="A5721" s="5">
        <v>5660</v>
      </c>
      <c r="B5721" s="138">
        <f>'Revenues 9-14'!G5</f>
        <v>63692</v>
      </c>
      <c r="D5721" s="2" t="str">
        <f t="shared" si="88"/>
        <v>Error?</v>
      </c>
    </row>
    <row r="5722" spans="1:4" x14ac:dyDescent="0.2">
      <c r="A5722" s="5">
        <v>5661</v>
      </c>
      <c r="B5722" s="138">
        <f>'Revenues 9-14'!G7</f>
        <v>0</v>
      </c>
      <c r="D5722" s="2" t="str">
        <f t="shared" si="88"/>
        <v>Error?</v>
      </c>
    </row>
    <row r="5723" spans="1:4" x14ac:dyDescent="0.2">
      <c r="A5723" s="5">
        <v>5662</v>
      </c>
      <c r="B5723" s="138">
        <f>'Revenues 9-14'!G8</f>
        <v>174156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237848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14450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14450</v>
      </c>
      <c r="C5730" s="2" t="s">
        <v>594</v>
      </c>
      <c r="D5730" s="2" t="str">
        <f t="shared" si="88"/>
        <v>Error?</v>
      </c>
    </row>
    <row r="5731" spans="1:4" x14ac:dyDescent="0.2">
      <c r="A5731" s="5">
        <v>5670</v>
      </c>
      <c r="B5731" s="138">
        <f>'Revenues 9-14'!G65</f>
        <v>3413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3413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255711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40357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40357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12659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12659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53016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40357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40357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400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40757</v>
      </c>
      <c r="C6023" s="2" t="s">
        <v>594</v>
      </c>
      <c r="D6023" s="2" t="str">
        <f t="shared" si="93"/>
        <v>Error?</v>
      </c>
    </row>
    <row r="6024" spans="1:5" x14ac:dyDescent="0.2">
      <c r="A6024" s="5">
        <v>5963</v>
      </c>
      <c r="B6024" s="138">
        <f>'Revenues 9-14'!G109</f>
        <v>255711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53016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40757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102731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53887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850.27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687149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687149</v>
      </c>
      <c r="D6215" s="2" t="str">
        <f t="shared" si="96"/>
        <v>Error?</v>
      </c>
      <c r="E6215" s="2" t="s">
        <v>199</v>
      </c>
    </row>
    <row r="6216" spans="1:5" x14ac:dyDescent="0.2">
      <c r="A6216">
        <v>6155</v>
      </c>
      <c r="B6216" s="138">
        <f>'Assets-Liab 5-6'!J41</f>
        <v>687149</v>
      </c>
      <c r="D6216" s="2" t="str">
        <f t="shared" si="96"/>
        <v>Error?</v>
      </c>
      <c r="E6216" s="2" t="s">
        <v>199</v>
      </c>
    </row>
    <row r="6217" spans="1:5" x14ac:dyDescent="0.2">
      <c r="A6217">
        <v>6156</v>
      </c>
      <c r="B6217" s="138">
        <f>'Assets-Liab 5-6'!J4</f>
        <v>687149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663374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663374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663374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495694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495694</v>
      </c>
      <c r="D6229" s="2" t="str">
        <f t="shared" si="96"/>
        <v>Error?</v>
      </c>
      <c r="E6229" s="2" t="s">
        <v>199</v>
      </c>
    </row>
    <row r="6230" spans="1:5" x14ac:dyDescent="0.2">
      <c r="A6230">
        <v>6169</v>
      </c>
      <c r="B6230" s="138">
        <f>'Acct Summary 7-8'!J20</f>
        <v>167680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167680</v>
      </c>
      <c r="D6263" s="2" t="str">
        <f t="shared" si="96"/>
        <v>Error?</v>
      </c>
      <c r="E6263" s="2" t="s">
        <v>199</v>
      </c>
    </row>
    <row r="6264" spans="1:5" x14ac:dyDescent="0.2">
      <c r="A6264">
        <v>6203</v>
      </c>
      <c r="B6264" s="138">
        <f>'Acct Summary 7-8'!J79</f>
        <v>519469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687149</v>
      </c>
      <c r="D6266" s="2" t="str">
        <f t="shared" si="96"/>
        <v>Error?</v>
      </c>
      <c r="E6266" s="2" t="s">
        <v>199</v>
      </c>
    </row>
    <row r="6267" spans="1:5" x14ac:dyDescent="0.2">
      <c r="A6267">
        <v>6206</v>
      </c>
      <c r="B6267" s="138">
        <f>'Acct Summary 7-8'!C82</f>
        <v>643839</v>
      </c>
      <c r="D6267" s="2" t="str">
        <f t="shared" si="96"/>
        <v>Error?</v>
      </c>
      <c r="E6267" s="2" t="s">
        <v>199</v>
      </c>
    </row>
    <row r="6268" spans="1:5" x14ac:dyDescent="0.2">
      <c r="A6268">
        <v>6207</v>
      </c>
      <c r="B6268" s="138">
        <f>'Acct Summary 7-8'!D82</f>
        <v>-143078</v>
      </c>
      <c r="D6268" s="2" t="str">
        <f t="shared" si="96"/>
        <v>Error?</v>
      </c>
      <c r="E6268" s="2" t="s">
        <v>199</v>
      </c>
    </row>
    <row r="6269" spans="1:5" x14ac:dyDescent="0.2">
      <c r="A6269">
        <v>6208</v>
      </c>
      <c r="B6269" s="138">
        <f>'Acct Summary 7-8'!E82</f>
        <v>117656</v>
      </c>
      <c r="D6269" s="2" t="str">
        <f t="shared" si="96"/>
        <v>Error?</v>
      </c>
      <c r="E6269" s="2" t="s">
        <v>199</v>
      </c>
    </row>
    <row r="6270" spans="1:5" x14ac:dyDescent="0.2">
      <c r="A6270">
        <v>6209</v>
      </c>
      <c r="B6270" s="138">
        <f>'Acct Summary 7-8'!F82</f>
        <v>112925</v>
      </c>
      <c r="D6270" s="2" t="str">
        <f t="shared" si="96"/>
        <v>Error?</v>
      </c>
      <c r="E6270" s="2" t="s">
        <v>199</v>
      </c>
    </row>
    <row r="6271" spans="1:5" x14ac:dyDescent="0.2">
      <c r="A6271">
        <v>6210</v>
      </c>
      <c r="B6271" s="138">
        <f>'Acct Summary 7-8'!G82</f>
        <v>42066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53016</v>
      </c>
      <c r="D6273" s="2" t="str">
        <f t="shared" si="97"/>
        <v>Error?</v>
      </c>
      <c r="E6273" s="2" t="s">
        <v>199</v>
      </c>
    </row>
    <row r="6274" spans="1:5" x14ac:dyDescent="0.2">
      <c r="A6274">
        <v>6213</v>
      </c>
      <c r="B6274" s="138">
        <f>'Acct Summary 7-8'!J82</f>
        <v>167680</v>
      </c>
      <c r="D6274" s="2" t="str">
        <f t="shared" si="97"/>
        <v>Error?</v>
      </c>
      <c r="E6274" s="2" t="s">
        <v>199</v>
      </c>
    </row>
    <row r="6275" spans="1:5" x14ac:dyDescent="0.2">
      <c r="A6275">
        <v>6214</v>
      </c>
      <c r="B6275" s="138">
        <f>'Acct Summary 7-8'!K82</f>
        <v>-79091</v>
      </c>
      <c r="D6275" s="2" t="str">
        <f t="shared" si="97"/>
        <v>Error?</v>
      </c>
      <c r="E6275" s="2" t="s">
        <v>199</v>
      </c>
    </row>
    <row r="6276" spans="1:5" x14ac:dyDescent="0.2">
      <c r="A6276">
        <v>6215</v>
      </c>
      <c r="B6276" s="138">
        <f>'Acct Summary 7-8'!C83</f>
        <v>0.15973097950739448</v>
      </c>
      <c r="D6276" s="2" t="str">
        <f t="shared" si="97"/>
        <v>Error?</v>
      </c>
      <c r="E6276" s="2" t="s">
        <v>199</v>
      </c>
    </row>
    <row r="6277" spans="1:5" x14ac:dyDescent="0.2">
      <c r="A6277">
        <v>6216</v>
      </c>
      <c r="B6277" s="138">
        <f>'Acct Summary 7-8'!D83</f>
        <v>-0.17192742129295843</v>
      </c>
      <c r="D6277" s="2" t="str">
        <f t="shared" si="97"/>
        <v>Error?</v>
      </c>
      <c r="E6277" s="2" t="s">
        <v>199</v>
      </c>
    </row>
    <row r="6278" spans="1:5" x14ac:dyDescent="0.2">
      <c r="A6278">
        <v>6217</v>
      </c>
      <c r="B6278" s="138">
        <f>'Acct Summary 7-8'!E83</f>
        <v>0.1203814357043464</v>
      </c>
      <c r="D6278" s="2" t="str">
        <f t="shared" si="97"/>
        <v>Error?</v>
      </c>
      <c r="E6278" s="2" t="s">
        <v>199</v>
      </c>
    </row>
    <row r="6279" spans="1:5" x14ac:dyDescent="0.2">
      <c r="A6279">
        <v>6218</v>
      </c>
      <c r="B6279" s="138">
        <f>'Acct Summary 7-8'!F83</f>
        <v>0.28284778944151806</v>
      </c>
      <c r="D6279" s="2" t="str">
        <f t="shared" si="97"/>
        <v>Error?</v>
      </c>
      <c r="E6279" s="2" t="s">
        <v>199</v>
      </c>
    </row>
    <row r="6280" spans="1:5" x14ac:dyDescent="0.2">
      <c r="A6280">
        <v>6219</v>
      </c>
      <c r="B6280" s="138">
        <f>'Acct Summary 7-8'!G83</f>
        <v>9.4119805522429129E-2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2.8234497148910132E-2</v>
      </c>
      <c r="D6282" s="2" t="str">
        <f t="shared" si="97"/>
        <v>Error?</v>
      </c>
      <c r="E6282" s="2" t="s">
        <v>199</v>
      </c>
    </row>
    <row r="6283" spans="1:5" x14ac:dyDescent="0.2">
      <c r="A6283">
        <v>6222</v>
      </c>
      <c r="B6283" s="138">
        <f>'Acct Summary 7-8'!J83</f>
        <v>0.24402276653244057</v>
      </c>
      <c r="D6283" s="2" t="str">
        <f t="shared" si="97"/>
        <v>Error?</v>
      </c>
      <c r="E6283" s="2" t="s">
        <v>199</v>
      </c>
    </row>
    <row r="6284" spans="1:5" x14ac:dyDescent="0.2">
      <c r="A6284">
        <v>6223</v>
      </c>
      <c r="B6284" s="138">
        <f>'Acct Summary 7-8'!K83</f>
        <v>-4.2689588168618773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653807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653807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5193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5193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2650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4374</v>
      </c>
      <c r="D6350" s="2" t="str">
        <f t="shared" si="98"/>
        <v>Error?</v>
      </c>
      <c r="E6350" s="2" t="s">
        <v>199</v>
      </c>
    </row>
    <row r="6351" spans="1:5" x14ac:dyDescent="0.2">
      <c r="A6351">
        <v>6290</v>
      </c>
      <c r="B6351" s="138">
        <f>'Revenues 9-14'!J108</f>
        <v>4374</v>
      </c>
      <c r="D6351" s="2" t="str">
        <f t="shared" si="98"/>
        <v>Error?</v>
      </c>
      <c r="E6351" s="2" t="s">
        <v>199</v>
      </c>
    </row>
    <row r="6352" spans="1:5" x14ac:dyDescent="0.2">
      <c r="A6352">
        <v>6291</v>
      </c>
      <c r="B6352" s="138">
        <f>'Revenues 9-14'!J109</f>
        <v>663374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11418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92821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122841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77938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30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30</v>
      </c>
      <c r="D6940" s="2" t="str">
        <f t="shared" si="107"/>
        <v>Error?</v>
      </c>
    </row>
    <row r="6941" spans="1:4" x14ac:dyDescent="0.2">
      <c r="A6941">
        <v>6880</v>
      </c>
      <c r="B6941" s="138">
        <f>'Expenditures 15-22'!L52</f>
        <v>15000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9320</v>
      </c>
      <c r="D6989" s="2" t="str">
        <f t="shared" si="108"/>
        <v>Error?</v>
      </c>
    </row>
    <row r="6990" spans="1:4" x14ac:dyDescent="0.2">
      <c r="A6990">
        <v>6929</v>
      </c>
      <c r="B6990" s="138">
        <f>'Expenditures 15-22'!K89</f>
        <v>9320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9320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495694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663374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3347</v>
      </c>
      <c r="D7073" s="2" t="str">
        <f t="shared" si="109"/>
        <v>Error?</v>
      </c>
    </row>
    <row r="7074" spans="1:4" x14ac:dyDescent="0.2">
      <c r="A7074">
        <v>7013</v>
      </c>
      <c r="B7074" s="138">
        <f>'Expenditures 15-22'!K216</f>
        <v>3347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975</v>
      </c>
      <c r="D7079" s="2" t="str">
        <f t="shared" si="109"/>
        <v>Error?</v>
      </c>
    </row>
    <row r="7080" spans="1:4" x14ac:dyDescent="0.2">
      <c r="A7080">
        <v>7019</v>
      </c>
      <c r="B7080" s="138">
        <f>'Expenditures 15-22'!K226</f>
        <v>975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13605</v>
      </c>
      <c r="D7093" s="2" t="str">
        <f t="shared" si="109"/>
        <v>Error?</v>
      </c>
    </row>
    <row r="7094" spans="1:4" x14ac:dyDescent="0.2">
      <c r="A7094">
        <v>7033</v>
      </c>
      <c r="B7094" s="138">
        <f>'Expenditures 15-22'!K254</f>
        <v>13605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41047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41047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11715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11715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44223</v>
      </c>
      <c r="D7156" s="2" t="str">
        <f t="shared" si="110"/>
        <v>Error?</v>
      </c>
    </row>
    <row r="7157" spans="1:4" x14ac:dyDescent="0.2">
      <c r="A7157">
        <v>7096</v>
      </c>
      <c r="B7157" s="138">
        <f>'Expenditures 15-22'!F323</f>
        <v>1298</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45521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237243</v>
      </c>
      <c r="D7172" s="2" t="str">
        <f t="shared" si="111"/>
        <v>Error?</v>
      </c>
    </row>
    <row r="7173" spans="1:4" x14ac:dyDescent="0.2">
      <c r="A7173">
        <v>7112</v>
      </c>
      <c r="B7173" s="138">
        <f>'Expenditures 15-22'!D325</f>
        <v>47868</v>
      </c>
      <c r="D7173" s="2" t="str">
        <f t="shared" si="111"/>
        <v>Error?</v>
      </c>
    </row>
    <row r="7174" spans="1:4" x14ac:dyDescent="0.2">
      <c r="A7174">
        <v>7113</v>
      </c>
      <c r="B7174" s="138">
        <f>'Expenditures 15-22'!E325</f>
        <v>55455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340566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5150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5150</v>
      </c>
      <c r="D7198" s="2" t="str">
        <f t="shared" si="111"/>
        <v>Error?</v>
      </c>
    </row>
    <row r="7199" spans="1:4" x14ac:dyDescent="0.2">
      <c r="A7199">
        <v>7138</v>
      </c>
      <c r="B7199" s="138">
        <f>'Expenditures 15-22'!C330</f>
        <v>237243</v>
      </c>
      <c r="D7199" s="2" t="str">
        <f t="shared" si="111"/>
        <v>Error?</v>
      </c>
    </row>
    <row r="7200" spans="1:4" x14ac:dyDescent="0.2">
      <c r="A7200">
        <v>7139</v>
      </c>
      <c r="B7200" s="138">
        <f>'Expenditures 15-22'!D330</f>
        <v>47868</v>
      </c>
      <c r="D7200" s="2" t="str">
        <f t="shared" si="111"/>
        <v>Error?</v>
      </c>
    </row>
    <row r="7201" spans="1:4" x14ac:dyDescent="0.2">
      <c r="A7201">
        <v>7140</v>
      </c>
      <c r="B7201" s="138">
        <f>'Expenditures 15-22'!E330</f>
        <v>209285</v>
      </c>
      <c r="D7201" s="2" t="str">
        <f t="shared" si="111"/>
        <v>Error?</v>
      </c>
    </row>
    <row r="7202" spans="1:4" x14ac:dyDescent="0.2">
      <c r="A7202">
        <v>7141</v>
      </c>
      <c r="B7202" s="138">
        <f>'Expenditures 15-22'!F330</f>
        <v>1298</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495694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237243</v>
      </c>
      <c r="D7216" s="2" t="str">
        <f t="shared" si="111"/>
        <v>Error?</v>
      </c>
    </row>
    <row r="7217" spans="1:4" x14ac:dyDescent="0.2">
      <c r="A7217">
        <v>7156</v>
      </c>
      <c r="B7217" s="138">
        <f>'Expenditures 15-22'!D342</f>
        <v>47868</v>
      </c>
      <c r="D7217" s="2" t="str">
        <f t="shared" si="111"/>
        <v>Error?</v>
      </c>
    </row>
    <row r="7218" spans="1:4" x14ac:dyDescent="0.2">
      <c r="A7218">
        <v>7157</v>
      </c>
      <c r="B7218" s="138">
        <f>'Expenditures 15-22'!E342</f>
        <v>209285</v>
      </c>
      <c r="D7218" s="2" t="str">
        <f t="shared" si="111"/>
        <v>Error?</v>
      </c>
    </row>
    <row r="7219" spans="1:4" x14ac:dyDescent="0.2">
      <c r="A7219">
        <v>7158</v>
      </c>
      <c r="B7219" s="138">
        <f>'Expenditures 15-22'!F342</f>
        <v>1298</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495694</v>
      </c>
      <c r="D7224" s="2" t="str">
        <f t="shared" si="111"/>
        <v>Error?</v>
      </c>
    </row>
    <row r="7225" spans="1:4" x14ac:dyDescent="0.2">
      <c r="A7225">
        <v>7164</v>
      </c>
      <c r="B7225" s="138">
        <f>'Expenditures 15-22'!K343</f>
        <v>167680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26748</v>
      </c>
      <c r="D7246" s="2" t="str">
        <f t="shared" si="112"/>
        <v>Error?</v>
      </c>
    </row>
    <row r="7247" spans="1:4" x14ac:dyDescent="0.2">
      <c r="A7247">
        <f t="shared" si="113"/>
        <v>7186</v>
      </c>
      <c r="B7247" s="138">
        <f>'Expenditures 15-22'!E7</f>
        <v>147</v>
      </c>
      <c r="D7247" s="2" t="str">
        <f t="shared" si="112"/>
        <v>Error?</v>
      </c>
    </row>
    <row r="7248" spans="1:4" x14ac:dyDescent="0.2">
      <c r="A7248">
        <f t="shared" si="113"/>
        <v>7187</v>
      </c>
      <c r="B7248" s="138">
        <f>'Expenditures 15-22'!F7</f>
        <v>3125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61233</v>
      </c>
      <c r="D7263" s="2" t="str">
        <f t="shared" si="112"/>
        <v>Error?</v>
      </c>
    </row>
    <row r="7264" spans="1:4" x14ac:dyDescent="0.2">
      <c r="A7264">
        <f t="shared" si="113"/>
        <v>7203</v>
      </c>
      <c r="B7264" s="138">
        <f>'Expenditures 15-22'!D17</f>
        <v>14356</v>
      </c>
      <c r="D7264" s="2" t="str">
        <f t="shared" si="112"/>
        <v>Error?</v>
      </c>
    </row>
    <row r="7265" spans="1:5" x14ac:dyDescent="0.2">
      <c r="A7265">
        <f t="shared" si="113"/>
        <v>7204</v>
      </c>
      <c r="B7265" s="138">
        <f>'Expenditures 15-22'!E17</f>
        <v>1092</v>
      </c>
      <c r="D7265" s="2" t="str">
        <f t="shared" si="112"/>
        <v>Error?</v>
      </c>
    </row>
    <row r="7266" spans="1:5" x14ac:dyDescent="0.2">
      <c r="A7266">
        <f t="shared" si="113"/>
        <v>7205</v>
      </c>
      <c r="B7266" s="138">
        <f>'Expenditures 15-22'!F17</f>
        <v>1257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95000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95000</v>
      </c>
      <c r="D7609" s="2" t="str">
        <f t="shared" si="122"/>
        <v>Error?</v>
      </c>
      <c r="E7609" s="2" t="s">
        <v>19</v>
      </c>
    </row>
    <row r="7610" spans="1:5" x14ac:dyDescent="0.2">
      <c r="A7610">
        <f t="shared" si="123"/>
        <v>7549</v>
      </c>
      <c r="B7610" s="138">
        <f>'Cap Outlay Deprec 26'!H9</f>
        <v>18367</v>
      </c>
      <c r="D7610" s="2" t="str">
        <f t="shared" si="122"/>
        <v>Error?</v>
      </c>
      <c r="E7610" s="2" t="s">
        <v>19</v>
      </c>
    </row>
    <row r="7611" spans="1:5" x14ac:dyDescent="0.2">
      <c r="A7611">
        <f t="shared" si="123"/>
        <v>7550</v>
      </c>
      <c r="B7611" s="138">
        <f>'Cap Outlay Deprec 26'!I9</f>
        <v>3800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22167</v>
      </c>
      <c r="D7613" s="2" t="str">
        <f t="shared" si="122"/>
        <v>Error?</v>
      </c>
      <c r="E7613" s="2" t="s">
        <v>19</v>
      </c>
    </row>
    <row r="7614" spans="1:5" x14ac:dyDescent="0.2">
      <c r="A7614">
        <f t="shared" si="123"/>
        <v>7553</v>
      </c>
      <c r="B7614" s="138">
        <f>'Cap Outlay Deprec 26'!L9</f>
        <v>72833</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290704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42116</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42116</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9579</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9579</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2650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14758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17408</v>
      </c>
      <c r="D7719" s="2" t="str">
        <f t="shared" si="126"/>
        <v>Error?</v>
      </c>
      <c r="E7719" s="2" t="s">
        <v>881</v>
      </c>
    </row>
    <row r="7720" spans="1:6" x14ac:dyDescent="0.2">
      <c r="A7720">
        <v>7659</v>
      </c>
      <c r="B7720" s="138">
        <f>'Rest Tax Levies-Tort Im 25'!H14</f>
        <v>32285</v>
      </c>
      <c r="D7720" s="2" t="str">
        <f t="shared" si="126"/>
        <v>Error?</v>
      </c>
      <c r="E7720" s="2" t="s">
        <v>881</v>
      </c>
    </row>
    <row r="7721" spans="1:6" x14ac:dyDescent="0.2">
      <c r="A7721">
        <v>7660</v>
      </c>
      <c r="B7721" s="138">
        <f>'Rest Tax Levies-Tort Im 25'!K14</f>
        <v>17408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66700</v>
      </c>
      <c r="D7797" s="2" t="str">
        <f t="shared" si="127"/>
        <v>Error?</v>
      </c>
      <c r="E7797" s="4" t="s">
        <v>2017</v>
      </c>
    </row>
    <row r="7798" spans="1:5" x14ac:dyDescent="0.2">
      <c r="A7798">
        <v>7737</v>
      </c>
      <c r="B7798" s="138">
        <f>'Contracts Paid in CY 29'!F141</f>
        <v>25000</v>
      </c>
      <c r="D7798" s="2" t="str">
        <f t="shared" si="127"/>
        <v>Error?</v>
      </c>
      <c r="E7798" s="4" t="s">
        <v>2017</v>
      </c>
    </row>
    <row r="7799" spans="1:5" x14ac:dyDescent="0.2">
      <c r="A7799">
        <v>7738</v>
      </c>
      <c r="B7799" s="138">
        <f>'Contracts Paid in CY 29'!G141</f>
        <v>41700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3" t="str">
        <f>COVER!A17</f>
        <v>Iroquois Co CUSD 9</v>
      </c>
      <c r="B7" s="2424"/>
      <c r="C7" s="2424"/>
      <c r="D7" s="2425"/>
      <c r="E7" s="2426">
        <f>COVER!A13</f>
        <v>32038009026</v>
      </c>
      <c r="F7" s="2427"/>
      <c r="G7" s="2433" t="str">
        <f>COVER!T23</f>
        <v>065.018319</v>
      </c>
      <c r="H7" s="2434"/>
      <c r="I7" s="2434"/>
      <c r="J7" s="2434"/>
      <c r="K7" s="2434"/>
      <c r="L7" s="243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6"/>
      <c r="B9" s="2437"/>
      <c r="C9" s="2437"/>
      <c r="D9" s="2437"/>
      <c r="E9" s="2437"/>
      <c r="F9" s="2438"/>
      <c r="G9" s="2407" t="str">
        <f>COVER!T13</f>
        <v>RUSSELL LEIGH &amp; ASSOCIATES</v>
      </c>
      <c r="H9" s="2439"/>
      <c r="I9" s="2439"/>
      <c r="J9" s="2439"/>
      <c r="K9" s="2439"/>
      <c r="L9" s="2440"/>
    </row>
    <row r="10" spans="1:29" ht="13.5" customHeight="1" x14ac:dyDescent="0.2">
      <c r="A10" s="2413" t="str">
        <f>COVER!A38</f>
        <v>Guy Gradert</v>
      </c>
      <c r="B10" s="2414"/>
      <c r="C10" s="2414"/>
      <c r="D10" s="2414"/>
      <c r="E10" s="2414"/>
      <c r="F10" s="2415"/>
      <c r="G10" s="2407" t="str">
        <f>COVER!T17</f>
        <v>228 E MAIN ST</v>
      </c>
      <c r="H10" s="2408"/>
      <c r="I10" s="2408"/>
      <c r="J10" s="2408"/>
      <c r="K10" s="2408"/>
      <c r="L10" s="2409"/>
    </row>
    <row r="11" spans="1:29" ht="13.5" customHeight="1" x14ac:dyDescent="0.2">
      <c r="A11" s="1185" t="s">
        <v>1599</v>
      </c>
      <c r="B11" s="1186"/>
      <c r="C11" s="1187"/>
      <c r="D11" s="1192"/>
      <c r="E11" s="1187"/>
      <c r="F11" s="1191"/>
      <c r="G11" s="2407" t="str">
        <f>COVER!T19</f>
        <v>HOOPESTON</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admin@russleigh.com</v>
      </c>
      <c r="J13" s="2420"/>
      <c r="K13" s="2420"/>
      <c r="L13" s="2421"/>
    </row>
    <row r="14" spans="1:29" ht="13.5" customHeight="1" x14ac:dyDescent="0.2">
      <c r="A14" s="2407" t="str">
        <f>COVER!A19</f>
        <v>1411 WEST LAFAYETTE STREET</v>
      </c>
      <c r="B14" s="2408"/>
      <c r="C14" s="2408"/>
      <c r="D14" s="2408"/>
      <c r="E14" s="2408"/>
      <c r="F14" s="2409"/>
      <c r="G14" s="1196" t="s">
        <v>1247</v>
      </c>
      <c r="H14" s="1194"/>
      <c r="I14" s="1194"/>
      <c r="J14" s="1194"/>
      <c r="K14" s="1194"/>
      <c r="L14" s="1195"/>
    </row>
    <row r="15" spans="1:29" ht="13.5" customHeight="1" x14ac:dyDescent="0.2">
      <c r="A15" s="2407" t="str">
        <f>COVER!A21</f>
        <v>WATSEKA</v>
      </c>
      <c r="B15" s="2408"/>
      <c r="C15" s="2408"/>
      <c r="D15" s="2408"/>
      <c r="E15" s="2408"/>
      <c r="F15" s="2409"/>
      <c r="G15" s="2404" t="str">
        <f>COVER!T15</f>
        <v>RUSS LEIGH</v>
      </c>
      <c r="H15" s="2405"/>
      <c r="I15" s="2405"/>
      <c r="J15" s="2405"/>
      <c r="K15" s="2405"/>
      <c r="L15" s="2406"/>
    </row>
    <row r="16" spans="1:29" ht="12.2" customHeight="1" x14ac:dyDescent="0.2">
      <c r="A16" s="2429">
        <f>COVER!A25</f>
        <v>60970</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1246</v>
      </c>
      <c r="H17" s="1194"/>
      <c r="I17" s="1194"/>
      <c r="J17" s="1194"/>
      <c r="K17" s="1198" t="s">
        <v>1245</v>
      </c>
      <c r="L17" s="1191"/>
      <c r="M17" s="1184"/>
    </row>
    <row r="18" spans="1:13" ht="12.2" customHeight="1" x14ac:dyDescent="0.2">
      <c r="A18" s="2413"/>
      <c r="B18" s="2414"/>
      <c r="C18" s="2414"/>
      <c r="D18" s="2414"/>
      <c r="E18" s="2414"/>
      <c r="F18" s="2415"/>
      <c r="G18" s="2423" t="str">
        <f>COVER!T21</f>
        <v>217.283.9336</v>
      </c>
      <c r="H18" s="2424"/>
      <c r="I18" s="2424"/>
      <c r="J18" s="2424"/>
      <c r="K18" s="2423" t="str">
        <f>COVER!X21</f>
        <v>217.283.9736</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L33" sqref="L33:L4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Iroquois Co CUSD 9</v>
      </c>
      <c r="B1" s="2422"/>
      <c r="C1" s="2422"/>
      <c r="D1" s="2422"/>
    </row>
    <row r="2" spans="1:11" s="1215" customFormat="1" ht="12.75" x14ac:dyDescent="0.2">
      <c r="A2" s="2446">
        <f>'Single Audit Cover'!E7</f>
        <v>32038009026</v>
      </c>
      <c r="B2" s="2447"/>
      <c r="C2" s="2447"/>
      <c r="D2" s="2447"/>
    </row>
    <row r="3" spans="1:11" s="1215" customFormat="1" ht="12.75" x14ac:dyDescent="0.2">
      <c r="A3" s="2445" t="s">
        <v>1593</v>
      </c>
      <c r="B3" s="2422"/>
      <c r="C3" s="2422"/>
      <c r="D3" s="242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Iroquois Co CUSD 9</v>
      </c>
      <c r="B1" s="2449"/>
      <c r="C1" s="2449"/>
      <c r="D1" s="2449"/>
      <c r="E1" s="2449"/>
    </row>
    <row r="2" spans="1:5" x14ac:dyDescent="0.2">
      <c r="A2" s="2450">
        <f>'Single Audit Cover'!E7</f>
        <v>32038009026</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870324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53887</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-26024</v>
      </c>
    </row>
    <row r="19" spans="1:4" ht="13.5" thickBot="1" x14ac:dyDescent="0.25">
      <c r="A19" s="1265" t="s">
        <v>1297</v>
      </c>
      <c r="D19" s="1266">
        <f>SUM(D10:D17)</f>
        <v>898187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898187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898187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Iroquois Co CUSD 9</v>
      </c>
      <c r="B1" s="2462"/>
      <c r="C1" s="2462"/>
      <c r="D1" s="2462"/>
      <c r="E1" s="2462"/>
      <c r="F1" s="2462"/>
    </row>
    <row r="2" spans="1:7" ht="13.5" customHeight="1" x14ac:dyDescent="0.2">
      <c r="A2" s="2463">
        <f>'Single Audit Cover'!E7</f>
        <v>32038009026</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2113</v>
      </c>
      <c r="B7" s="2461"/>
      <c r="C7" s="2461"/>
      <c r="D7" s="2461"/>
      <c r="E7" s="2461"/>
      <c r="F7" s="2461"/>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t="s">
        <v>2114</v>
      </c>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1" t="s">
        <v>2115</v>
      </c>
      <c r="B13" s="2461"/>
      <c r="C13" s="2461"/>
      <c r="D13" s="2461"/>
      <c r="E13" s="2461"/>
      <c r="F13" s="2461"/>
    </row>
    <row r="14" spans="1:7" ht="9.75" customHeight="1" x14ac:dyDescent="0.2">
      <c r="C14" s="1260"/>
      <c r="D14" s="1260"/>
    </row>
    <row r="15" spans="1:7" ht="13.5" customHeight="1" x14ac:dyDescent="0.2">
      <c r="C15" s="1871" t="s">
        <v>1332</v>
      </c>
      <c r="D15" s="2459" t="s">
        <v>1331</v>
      </c>
      <c r="E15" s="2459"/>
      <c r="F15" s="2459"/>
    </row>
    <row r="16" spans="1:7" ht="13.5" customHeight="1" x14ac:dyDescent="0.2">
      <c r="A16" s="1282"/>
      <c r="B16" s="1276" t="s">
        <v>1330</v>
      </c>
      <c r="C16" s="1871" t="s">
        <v>1329</v>
      </c>
      <c r="D16" s="2460" t="s">
        <v>1670</v>
      </c>
      <c r="E16" s="2460"/>
      <c r="F16" s="2460"/>
    </row>
    <row r="17" spans="1:6" ht="20.45" customHeight="1" x14ac:dyDescent="0.2">
      <c r="A17" s="1283"/>
      <c r="B17" s="1284" t="s">
        <v>2116</v>
      </c>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5" t="s">
        <v>1833</v>
      </c>
      <c r="B32" s="2455"/>
      <c r="C32" s="2455"/>
      <c r="D32" s="2455"/>
      <c r="E32" s="2455"/>
      <c r="F32" s="2455"/>
    </row>
    <row r="33" spans="1:6" ht="13.5" customHeight="1" x14ac:dyDescent="0.2">
      <c r="A33" s="328" t="s">
        <v>1509</v>
      </c>
      <c r="B33" s="328"/>
      <c r="C33" s="1288">
        <v>33003</v>
      </c>
      <c r="D33" s="1928"/>
      <c r="E33" s="1286"/>
    </row>
    <row r="34" spans="1:6" ht="13.5" customHeight="1" x14ac:dyDescent="0.2">
      <c r="A34" s="328" t="s">
        <v>1946</v>
      </c>
      <c r="B34" s="328"/>
      <c r="C34" s="1289">
        <v>20884</v>
      </c>
      <c r="D34" s="1928" t="s">
        <v>1671</v>
      </c>
      <c r="E34" s="2456">
        <f>+C33+C34</f>
        <v>53887</v>
      </c>
      <c r="F34" s="2457"/>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2117</v>
      </c>
      <c r="D38" s="1928"/>
      <c r="E38" s="1286"/>
    </row>
    <row r="39" spans="1:6" ht="14.25" customHeight="1" x14ac:dyDescent="0.2">
      <c r="A39" s="328"/>
      <c r="B39" s="328" t="s">
        <v>1511</v>
      </c>
      <c r="C39" s="1292" t="s">
        <v>2117</v>
      </c>
      <c r="D39" s="1928"/>
      <c r="E39" s="1286"/>
    </row>
    <row r="40" spans="1:6" ht="14.25" customHeight="1" x14ac:dyDescent="0.2">
      <c r="A40" s="328"/>
      <c r="B40" s="328" t="s">
        <v>1512</v>
      </c>
      <c r="C40" s="1292" t="s">
        <v>2117</v>
      </c>
      <c r="D40" s="1928"/>
      <c r="E40" s="1286"/>
    </row>
    <row r="41" spans="1:6" ht="14.25" customHeight="1" x14ac:dyDescent="0.2">
      <c r="A41" s="328"/>
      <c r="B41" s="328" t="s">
        <v>1513</v>
      </c>
      <c r="C41" s="1292" t="s">
        <v>2117</v>
      </c>
      <c r="D41" s="1928"/>
      <c r="E41" s="1286"/>
    </row>
    <row r="42" spans="1:6" ht="14.25" customHeight="1" x14ac:dyDescent="0.2">
      <c r="A42" s="328" t="s">
        <v>1514</v>
      </c>
      <c r="B42" s="328"/>
      <c r="C42" s="1926" t="s">
        <v>2117</v>
      </c>
      <c r="D42" s="1928"/>
      <c r="E42" s="1286"/>
    </row>
    <row r="43" spans="1:6" ht="14.25" customHeight="1" x14ac:dyDescent="0.2">
      <c r="A43" s="328" t="s">
        <v>1515</v>
      </c>
      <c r="B43" s="328"/>
      <c r="C43" s="1293" t="s">
        <v>2117</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70"/>
      <c r="C50" s="1870"/>
      <c r="D50" s="1870"/>
      <c r="E50" s="1399"/>
    </row>
    <row r="51" spans="1:5" s="1300" customFormat="1" ht="20.25" customHeight="1" x14ac:dyDescent="0.2">
      <c r="A51" s="1301">
        <v>6</v>
      </c>
      <c r="B51" s="2453" t="s">
        <v>1632</v>
      </c>
      <c r="C51" s="2453"/>
      <c r="D51" s="2453"/>
    </row>
    <row r="52" spans="1:5" ht="14.25" customHeight="1" x14ac:dyDescent="0.2">
      <c r="A52" s="1301"/>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B14" sqref="B14"/>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Iroquois Co CUSD 9</v>
      </c>
      <c r="C1" s="2466"/>
      <c r="D1" s="2466"/>
      <c r="E1" s="2466"/>
      <c r="F1" s="2466"/>
      <c r="G1" s="2466"/>
      <c r="H1" s="2466"/>
      <c r="I1" s="2466"/>
      <c r="J1" s="2466"/>
      <c r="K1" s="2466"/>
      <c r="L1" s="2466"/>
      <c r="M1" s="2466"/>
    </row>
    <row r="2" spans="2:14" ht="15" x14ac:dyDescent="0.2">
      <c r="B2" s="2463">
        <f>'Single Audit Cover'!E7</f>
        <v>32038009026</v>
      </c>
      <c r="C2" s="2463"/>
      <c r="D2" s="2463"/>
      <c r="E2" s="2463"/>
      <c r="F2" s="2463"/>
      <c r="G2" s="2463"/>
      <c r="H2" s="2463"/>
      <c r="I2" s="2463"/>
      <c r="J2" s="2463"/>
      <c r="K2" s="2463"/>
      <c r="L2" s="2463"/>
      <c r="M2" s="2463"/>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2118</v>
      </c>
      <c r="C11" s="1338"/>
      <c r="D11" s="1339"/>
      <c r="E11" s="1340"/>
      <c r="F11" s="1340"/>
      <c r="G11" s="1340"/>
      <c r="H11" s="1340"/>
      <c r="I11" s="1340"/>
      <c r="J11" s="1340"/>
      <c r="K11" s="1340"/>
      <c r="L11" s="1340">
        <f>+G11+I11+K11</f>
        <v>0</v>
      </c>
      <c r="M11" s="1340"/>
    </row>
    <row r="12" spans="2:14" ht="20.100000000000001" customHeight="1" x14ac:dyDescent="0.2">
      <c r="B12" s="1337" t="s">
        <v>2119</v>
      </c>
      <c r="C12" s="1341"/>
      <c r="D12" s="1342"/>
      <c r="E12" s="1343"/>
      <c r="F12" s="1343"/>
      <c r="G12" s="1343"/>
      <c r="H12" s="1343"/>
      <c r="I12" s="1343"/>
      <c r="J12" s="1343"/>
      <c r="K12" s="1343"/>
      <c r="L12" s="1340">
        <f t="shared" ref="L12:L27" si="0">+G12+I12+K12</f>
        <v>0</v>
      </c>
      <c r="M12" s="1343"/>
    </row>
    <row r="13" spans="2:14" ht="20.100000000000001" customHeight="1" x14ac:dyDescent="0.2">
      <c r="B13" s="1337" t="s">
        <v>2153</v>
      </c>
      <c r="C13" s="1341">
        <v>10.555</v>
      </c>
      <c r="D13" s="1342" t="s">
        <v>2120</v>
      </c>
      <c r="E13" s="1343">
        <v>282778</v>
      </c>
      <c r="F13" s="1343">
        <v>43649</v>
      </c>
      <c r="G13" s="1343">
        <v>282778</v>
      </c>
      <c r="H13" s="1343"/>
      <c r="I13" s="1343">
        <v>43649</v>
      </c>
      <c r="J13" s="1343"/>
      <c r="K13" s="1343"/>
      <c r="L13" s="1340">
        <f t="shared" si="0"/>
        <v>326427</v>
      </c>
      <c r="M13" s="1343"/>
    </row>
    <row r="14" spans="2:14" ht="20.100000000000001" customHeight="1" x14ac:dyDescent="0.2">
      <c r="B14" s="1337" t="s">
        <v>2153</v>
      </c>
      <c r="C14" s="1341">
        <v>10.555</v>
      </c>
      <c r="D14" s="1342" t="s">
        <v>2121</v>
      </c>
      <c r="E14" s="1343"/>
      <c r="F14" s="1343">
        <v>230706</v>
      </c>
      <c r="G14" s="1343"/>
      <c r="H14" s="1343"/>
      <c r="I14" s="1343">
        <v>230706</v>
      </c>
      <c r="J14" s="1343"/>
      <c r="K14" s="1343"/>
      <c r="L14" s="1340">
        <f t="shared" si="0"/>
        <v>230706</v>
      </c>
      <c r="M14" s="1343"/>
    </row>
    <row r="15" spans="2:14" ht="20.100000000000001" customHeight="1" x14ac:dyDescent="0.2">
      <c r="B15" s="1337" t="s">
        <v>2122</v>
      </c>
      <c r="C15" s="1341">
        <v>10.553000000000001</v>
      </c>
      <c r="D15" s="1342" t="s">
        <v>2123</v>
      </c>
      <c r="E15" s="1343">
        <v>78115</v>
      </c>
      <c r="F15" s="1343">
        <v>11600</v>
      </c>
      <c r="G15" s="1343">
        <v>78115</v>
      </c>
      <c r="H15" s="1343"/>
      <c r="I15" s="1343">
        <v>11600</v>
      </c>
      <c r="J15" s="1343"/>
      <c r="K15" s="1343"/>
      <c r="L15" s="1340">
        <f t="shared" si="0"/>
        <v>89715</v>
      </c>
      <c r="M15" s="1343"/>
    </row>
    <row r="16" spans="2:14" ht="20.100000000000001" customHeight="1" x14ac:dyDescent="0.2">
      <c r="B16" s="1337" t="s">
        <v>2122</v>
      </c>
      <c r="C16" s="1341">
        <v>10.553000000000001</v>
      </c>
      <c r="D16" s="1342" t="s">
        <v>2124</v>
      </c>
      <c r="E16" s="1343"/>
      <c r="F16" s="1343">
        <v>64969</v>
      </c>
      <c r="G16" s="1343"/>
      <c r="H16" s="1343"/>
      <c r="I16" s="1343">
        <v>64969</v>
      </c>
      <c r="J16" s="1343"/>
      <c r="K16" s="1343"/>
      <c r="L16" s="1340">
        <f t="shared" si="0"/>
        <v>64969</v>
      </c>
      <c r="M16" s="1343"/>
    </row>
    <row r="17" spans="2:14" ht="20.100000000000001" customHeight="1" x14ac:dyDescent="0.2">
      <c r="B17" s="1337" t="s">
        <v>2125</v>
      </c>
      <c r="C17" s="1341">
        <v>10.555999999999999</v>
      </c>
      <c r="D17" s="1342" t="s">
        <v>2126</v>
      </c>
      <c r="E17" s="1343">
        <v>304</v>
      </c>
      <c r="F17" s="1343">
        <v>23</v>
      </c>
      <c r="G17" s="1343">
        <v>304</v>
      </c>
      <c r="H17" s="1343"/>
      <c r="I17" s="1343">
        <v>23</v>
      </c>
      <c r="J17" s="1343"/>
      <c r="K17" s="1343"/>
      <c r="L17" s="1340">
        <f t="shared" si="0"/>
        <v>327</v>
      </c>
      <c r="M17" s="1343"/>
    </row>
    <row r="18" spans="2:14" ht="20.100000000000001" customHeight="1" x14ac:dyDescent="0.2">
      <c r="B18" s="1337" t="s">
        <v>2125</v>
      </c>
      <c r="C18" s="1341">
        <v>10.555999999999999</v>
      </c>
      <c r="D18" s="1342" t="s">
        <v>2127</v>
      </c>
      <c r="E18" s="1343"/>
      <c r="F18" s="1343">
        <v>236</v>
      </c>
      <c r="G18" s="1343"/>
      <c r="H18" s="1343"/>
      <c r="I18" s="1343">
        <v>236</v>
      </c>
      <c r="J18" s="1343"/>
      <c r="K18" s="1343"/>
      <c r="L18" s="1340">
        <f t="shared" si="0"/>
        <v>236</v>
      </c>
      <c r="M18" s="1343"/>
    </row>
    <row r="19" spans="2:14" ht="20.100000000000001" customHeight="1" x14ac:dyDescent="0.2">
      <c r="B19" s="1337" t="s">
        <v>2128</v>
      </c>
      <c r="C19" s="1341">
        <v>10.555</v>
      </c>
      <c r="D19" s="1342" t="s">
        <v>2129</v>
      </c>
      <c r="E19" s="1343"/>
      <c r="F19" s="1343">
        <v>20884</v>
      </c>
      <c r="G19" s="1343"/>
      <c r="H19" s="1343"/>
      <c r="I19" s="1343">
        <v>20884</v>
      </c>
      <c r="J19" s="1343"/>
      <c r="K19" s="1343"/>
      <c r="L19" s="1340">
        <f t="shared" si="0"/>
        <v>20884</v>
      </c>
      <c r="M19" s="1343"/>
    </row>
    <row r="20" spans="2:14" ht="20.100000000000001" customHeight="1" x14ac:dyDescent="0.2">
      <c r="B20" s="1337" t="s">
        <v>2130</v>
      </c>
      <c r="C20" s="1341">
        <v>10.555</v>
      </c>
      <c r="D20" s="1342" t="s">
        <v>2129</v>
      </c>
      <c r="E20" s="1343"/>
      <c r="F20" s="1343">
        <v>33003</v>
      </c>
      <c r="G20" s="1343"/>
      <c r="H20" s="1343"/>
      <c r="I20" s="1343">
        <v>33003</v>
      </c>
      <c r="J20" s="1343"/>
      <c r="K20" s="1343"/>
      <c r="L20" s="1340">
        <f t="shared" si="0"/>
        <v>33003</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2131</v>
      </c>
      <c r="C22" s="1341"/>
      <c r="D22" s="1342"/>
      <c r="E22" s="1343">
        <v>361197</v>
      </c>
      <c r="F22" s="1343">
        <v>405070</v>
      </c>
      <c r="G22" s="1343">
        <v>361197</v>
      </c>
      <c r="H22" s="1343"/>
      <c r="I22" s="1343">
        <v>405070</v>
      </c>
      <c r="J22" s="1343"/>
      <c r="K22" s="1343"/>
      <c r="L22" s="1340">
        <f t="shared" si="0"/>
        <v>766267</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t="s">
        <v>2132</v>
      </c>
      <c r="C24" s="1341"/>
      <c r="D24" s="1342"/>
      <c r="E24" s="1343"/>
      <c r="F24" s="1343"/>
      <c r="G24" s="1343"/>
      <c r="H24" s="1343"/>
      <c r="I24" s="1343"/>
      <c r="J24" s="1343"/>
      <c r="K24" s="1343"/>
      <c r="L24" s="1340">
        <f t="shared" si="0"/>
        <v>0</v>
      </c>
      <c r="M24" s="1343"/>
    </row>
    <row r="25" spans="2:14" ht="20.100000000000001" customHeight="1" x14ac:dyDescent="0.2">
      <c r="B25" s="1337" t="s">
        <v>2133</v>
      </c>
      <c r="C25" s="1341"/>
      <c r="D25" s="1342"/>
      <c r="E25" s="1343"/>
      <c r="F25" s="1343"/>
      <c r="G25" s="1343"/>
      <c r="H25" s="1343"/>
      <c r="I25" s="1343"/>
      <c r="J25" s="1343"/>
      <c r="K25" s="1343"/>
      <c r="L25" s="1340">
        <f t="shared" si="0"/>
        <v>0</v>
      </c>
      <c r="M25" s="1343"/>
    </row>
    <row r="26" spans="2:14" ht="20.100000000000001" customHeight="1" x14ac:dyDescent="0.2">
      <c r="B26" s="1337" t="s">
        <v>2136</v>
      </c>
      <c r="C26" s="1341" t="s">
        <v>2134</v>
      </c>
      <c r="D26" s="1342" t="s">
        <v>2135</v>
      </c>
      <c r="E26" s="1343">
        <v>362405</v>
      </c>
      <c r="F26" s="1343">
        <v>174125</v>
      </c>
      <c r="G26" s="1343">
        <v>362405</v>
      </c>
      <c r="H26" s="1343"/>
      <c r="I26" s="1343">
        <v>66016</v>
      </c>
      <c r="J26" s="1343"/>
      <c r="K26" s="1343"/>
      <c r="L26" s="1340">
        <f t="shared" si="0"/>
        <v>428421</v>
      </c>
      <c r="M26" s="1343">
        <v>454620</v>
      </c>
    </row>
    <row r="27" spans="2:14" ht="20.100000000000001" customHeight="1" x14ac:dyDescent="0.2">
      <c r="B27" s="1337" t="s">
        <v>2136</v>
      </c>
      <c r="C27" s="1341" t="s">
        <v>2134</v>
      </c>
      <c r="D27" s="1342" t="s">
        <v>2137</v>
      </c>
      <c r="E27" s="1343"/>
      <c r="F27" s="1343">
        <v>250630</v>
      </c>
      <c r="G27" s="1343"/>
      <c r="H27" s="1343"/>
      <c r="I27" s="1343">
        <v>454878</v>
      </c>
      <c r="J27" s="1343"/>
      <c r="K27" s="1343"/>
      <c r="L27" s="1340">
        <f t="shared" si="0"/>
        <v>454878</v>
      </c>
      <c r="M27" s="1343">
        <v>465412</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25" sqref="I2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Iroquois Co CUSD 9</v>
      </c>
      <c r="C1" s="2466"/>
      <c r="D1" s="2466"/>
      <c r="E1" s="2466"/>
      <c r="F1" s="2466"/>
      <c r="G1" s="2466"/>
      <c r="H1" s="2466"/>
      <c r="I1" s="2466"/>
      <c r="J1" s="2466"/>
      <c r="K1" s="2466"/>
      <c r="L1" s="2466"/>
      <c r="M1" s="2466"/>
    </row>
    <row r="2" spans="2:14" ht="15" x14ac:dyDescent="0.2">
      <c r="B2" s="2463">
        <f>'Single Audit Cover'!E7</f>
        <v>32038009026</v>
      </c>
      <c r="C2" s="2463"/>
      <c r="D2" s="2463"/>
      <c r="E2" s="2463"/>
      <c r="F2" s="2463"/>
      <c r="G2" s="2463"/>
      <c r="H2" s="2463"/>
      <c r="I2" s="2463"/>
      <c r="J2" s="2463"/>
      <c r="K2" s="2463"/>
      <c r="L2" s="2463"/>
      <c r="M2" s="2463"/>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2138</v>
      </c>
      <c r="C11" s="1338" t="s">
        <v>2139</v>
      </c>
      <c r="D11" s="1339" t="s">
        <v>2140</v>
      </c>
      <c r="E11" s="1340">
        <v>42543</v>
      </c>
      <c r="F11" s="1340">
        <v>10780</v>
      </c>
      <c r="G11" s="1340">
        <v>47280</v>
      </c>
      <c r="H11" s="1340"/>
      <c r="I11" s="1340">
        <v>6043</v>
      </c>
      <c r="J11" s="1340"/>
      <c r="K11" s="1340"/>
      <c r="L11" s="1340">
        <f>+G11+I11+K11</f>
        <v>53323</v>
      </c>
      <c r="M11" s="1340">
        <v>55000</v>
      </c>
    </row>
    <row r="12" spans="2:14" ht="20.100000000000001" customHeight="1" x14ac:dyDescent="0.2">
      <c r="B12" s="1337" t="s">
        <v>2138</v>
      </c>
      <c r="C12" s="1341" t="s">
        <v>2139</v>
      </c>
      <c r="D12" s="1342" t="s">
        <v>2141</v>
      </c>
      <c r="E12" s="1343"/>
      <c r="F12" s="1343">
        <v>37388</v>
      </c>
      <c r="G12" s="1343"/>
      <c r="H12" s="1343"/>
      <c r="I12" s="1343">
        <v>47986</v>
      </c>
      <c r="J12" s="1343"/>
      <c r="K12" s="1343"/>
      <c r="L12" s="1340">
        <f t="shared" ref="L12:L27" si="0">+G12+I12+K12</f>
        <v>47986</v>
      </c>
      <c r="M12" s="1343">
        <v>56000</v>
      </c>
    </row>
    <row r="13" spans="2:14" ht="20.100000000000001" customHeight="1" x14ac:dyDescent="0.2">
      <c r="B13" s="1337" t="s">
        <v>2142</v>
      </c>
      <c r="C13" s="1341" t="s">
        <v>2143</v>
      </c>
      <c r="D13" s="1342" t="s">
        <v>2144</v>
      </c>
      <c r="E13" s="1343"/>
      <c r="F13" s="1343">
        <v>9360</v>
      </c>
      <c r="G13" s="1343"/>
      <c r="H13" s="1343"/>
      <c r="I13" s="1343">
        <v>9360</v>
      </c>
      <c r="J13" s="1343"/>
      <c r="K13" s="1343"/>
      <c r="L13" s="1340">
        <f t="shared" si="0"/>
        <v>9360</v>
      </c>
      <c r="M13" s="1343">
        <v>9360</v>
      </c>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2145</v>
      </c>
      <c r="C15" s="1341"/>
      <c r="D15" s="1342"/>
      <c r="E15" s="1343">
        <v>404948</v>
      </c>
      <c r="F15" s="1343">
        <v>482284</v>
      </c>
      <c r="G15" s="1343">
        <v>409685</v>
      </c>
      <c r="H15" s="1343"/>
      <c r="I15" s="1343">
        <v>584283</v>
      </c>
      <c r="J15" s="1343"/>
      <c r="K15" s="1343"/>
      <c r="L15" s="1340">
        <f t="shared" si="0"/>
        <v>993968</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t="s">
        <v>2146</v>
      </c>
      <c r="C17" s="1341"/>
      <c r="D17" s="1342"/>
      <c r="E17" s="1343"/>
      <c r="F17" s="1343"/>
      <c r="G17" s="1343"/>
      <c r="H17" s="1343"/>
      <c r="I17" s="1343"/>
      <c r="J17" s="1343"/>
      <c r="K17" s="1343"/>
      <c r="L17" s="1340">
        <f t="shared" si="0"/>
        <v>0</v>
      </c>
      <c r="M17" s="1343"/>
    </row>
    <row r="18" spans="2:14" ht="20.100000000000001" customHeight="1" x14ac:dyDescent="0.2">
      <c r="B18" s="1337" t="s">
        <v>2147</v>
      </c>
      <c r="C18" s="1341"/>
      <c r="D18" s="1342"/>
      <c r="E18" s="1343"/>
      <c r="F18" s="1343"/>
      <c r="G18" s="1343"/>
      <c r="H18" s="1343"/>
      <c r="I18" s="1343"/>
      <c r="J18" s="1343"/>
      <c r="K18" s="1343"/>
      <c r="L18" s="1340">
        <f t="shared" si="0"/>
        <v>0</v>
      </c>
      <c r="M18" s="1343"/>
    </row>
    <row r="19" spans="2:14" ht="20.100000000000001" customHeight="1" x14ac:dyDescent="0.2">
      <c r="B19" s="1337" t="s">
        <v>2148</v>
      </c>
      <c r="C19" s="1341">
        <v>93.778000000000006</v>
      </c>
      <c r="D19" s="1342" t="s">
        <v>2149</v>
      </c>
      <c r="E19" s="1343"/>
      <c r="F19" s="1343">
        <v>10833</v>
      </c>
      <c r="G19" s="1343"/>
      <c r="H19" s="1343"/>
      <c r="I19" s="1343">
        <v>10833</v>
      </c>
      <c r="J19" s="1343"/>
      <c r="K19" s="1343"/>
      <c r="L19" s="1340">
        <f t="shared" si="0"/>
        <v>10833</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t="s">
        <v>2150</v>
      </c>
      <c r="C21" s="1341"/>
      <c r="D21" s="1342"/>
      <c r="E21" s="1343"/>
      <c r="F21" s="1343">
        <v>10833</v>
      </c>
      <c r="G21" s="1343"/>
      <c r="H21" s="1343"/>
      <c r="I21" s="1343">
        <v>10833</v>
      </c>
      <c r="J21" s="1343"/>
      <c r="K21" s="1343"/>
      <c r="L21" s="1340">
        <f t="shared" si="0"/>
        <v>10833</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t="s">
        <v>2151</v>
      </c>
      <c r="C24" s="1341"/>
      <c r="D24" s="1342"/>
      <c r="E24" s="1343">
        <v>766145</v>
      </c>
      <c r="F24" s="1343">
        <v>898187</v>
      </c>
      <c r="G24" s="1343">
        <v>770882</v>
      </c>
      <c r="H24" s="1343"/>
      <c r="I24" s="1343">
        <v>1000186</v>
      </c>
      <c r="J24" s="1343"/>
      <c r="K24" s="1343"/>
      <c r="L24" s="1340">
        <f t="shared" si="0"/>
        <v>1771068</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G52" sqref="G5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Iroquois Co CUSD 9</v>
      </c>
      <c r="C1" s="2481"/>
      <c r="D1" s="2481"/>
      <c r="E1" s="2481"/>
      <c r="F1" s="2481"/>
      <c r="G1" s="2481"/>
      <c r="H1" s="2481"/>
      <c r="I1" s="2481"/>
      <c r="J1" s="1422"/>
    </row>
    <row r="2" spans="2:10" s="317" customFormat="1" ht="12.75" customHeight="1" x14ac:dyDescent="0.2">
      <c r="B2" s="2482">
        <f>'Single Audit Cover'!E7</f>
        <v>32038009026</v>
      </c>
      <c r="C2" s="2483"/>
      <c r="D2" s="2483"/>
      <c r="E2" s="2483"/>
      <c r="F2" s="2483"/>
      <c r="G2" s="2483"/>
      <c r="H2" s="2483"/>
      <c r="I2" s="2483"/>
      <c r="J2" s="1422"/>
    </row>
    <row r="3" spans="2:10" s="317" customFormat="1" ht="12.75" customHeight="1" x14ac:dyDescent="0.2">
      <c r="B3" s="2484" t="s">
        <v>1347</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1346</v>
      </c>
      <c r="C7" s="2485"/>
      <c r="D7" s="2485"/>
      <c r="E7" s="2485"/>
      <c r="F7" s="2485"/>
      <c r="G7" s="2485"/>
      <c r="H7" s="2485"/>
      <c r="I7" s="248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6" t="s">
        <v>2152</v>
      </c>
      <c r="D11" s="248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2154</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2154</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2154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2154</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2154</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7" t="s">
        <v>2155</v>
      </c>
      <c r="E29" s="2487"/>
      <c r="F29" s="2487"/>
      <c r="G29" s="2487"/>
      <c r="H29" s="2487"/>
      <c r="I29" s="2487"/>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2154</v>
      </c>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88" t="s">
        <v>1852</v>
      </c>
      <c r="D37" s="2489"/>
      <c r="E37" s="2489"/>
      <c r="F37" s="2490"/>
      <c r="G37" s="2488" t="s">
        <v>1674</v>
      </c>
      <c r="H37" s="2489"/>
      <c r="I37" s="2490"/>
    </row>
    <row r="38" spans="2:9" ht="16.5" customHeight="1" x14ac:dyDescent="0.2">
      <c r="B38" s="1444" t="s">
        <v>2134</v>
      </c>
      <c r="C38" s="2476" t="s">
        <v>2156</v>
      </c>
      <c r="D38" s="2477"/>
      <c r="E38" s="2477"/>
      <c r="F38" s="2478"/>
      <c r="G38" s="2491">
        <v>520894</v>
      </c>
      <c r="H38" s="2492"/>
      <c r="I38" s="2493"/>
    </row>
    <row r="39" spans="2:9" ht="16.5" customHeight="1" x14ac:dyDescent="0.2">
      <c r="B39" s="1444">
        <v>10.555</v>
      </c>
      <c r="C39" s="2476" t="s">
        <v>2157</v>
      </c>
      <c r="D39" s="2477"/>
      <c r="E39" s="2477"/>
      <c r="F39" s="2478"/>
      <c r="G39" s="2479">
        <v>274355</v>
      </c>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1675</v>
      </c>
      <c r="D43" s="2470"/>
      <c r="E43" s="2470"/>
      <c r="F43" s="2471"/>
      <c r="G43" s="2472">
        <f>SUM(G38:I42)</f>
        <v>795249</v>
      </c>
      <c r="H43" s="2472"/>
      <c r="I43" s="2472"/>
    </row>
    <row r="44" spans="2:9" ht="12.75" customHeight="1" x14ac:dyDescent="0.2"/>
    <row r="45" spans="2:9" ht="12.75" customHeight="1" x14ac:dyDescent="0.2">
      <c r="B45" s="1435" t="s">
        <v>1949</v>
      </c>
      <c r="D45" s="2473">
        <v>1000186</v>
      </c>
      <c r="E45" s="2474"/>
    </row>
    <row r="46" spans="2:9" ht="5.25" customHeight="1" x14ac:dyDescent="0.2">
      <c r="B46" s="1445"/>
      <c r="D46" s="1446"/>
      <c r="E46" s="1447"/>
    </row>
    <row r="47" spans="2:9" ht="12.75" customHeight="1" x14ac:dyDescent="0.2">
      <c r="B47" s="1300" t="s">
        <v>1676</v>
      </c>
      <c r="C47" s="1300"/>
      <c r="D47" s="1448">
        <f>+G43/D45</f>
        <v>0.79510111119331806</v>
      </c>
      <c r="E47" s="1449"/>
      <c r="F47" s="1450"/>
      <c r="I47" s="1451"/>
    </row>
    <row r="48" spans="2:9" ht="9.9499999999999993" customHeight="1" x14ac:dyDescent="0.2"/>
    <row r="49" spans="1:9" x14ac:dyDescent="0.2">
      <c r="B49" s="1368" t="s">
        <v>1335</v>
      </c>
      <c r="C49" s="1282"/>
      <c r="D49" s="1282"/>
      <c r="E49" s="2475">
        <v>750000</v>
      </c>
      <c r="F49" s="2475"/>
      <c r="G49" s="2475"/>
      <c r="H49" s="322"/>
    </row>
    <row r="51" spans="1:9" ht="13.5" customHeight="1" x14ac:dyDescent="0.2">
      <c r="B51" s="1368" t="s">
        <v>1334</v>
      </c>
      <c r="C51" s="1282"/>
      <c r="E51" s="1438"/>
      <c r="F51" s="1300" t="s">
        <v>940</v>
      </c>
      <c r="G51" s="1438" t="s">
        <v>2154</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5"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Iroquois Co CUSD 9</v>
      </c>
      <c r="C1" s="2480"/>
      <c r="D1" s="2480"/>
      <c r="E1" s="2480"/>
      <c r="F1" s="2480"/>
      <c r="G1" s="2480"/>
      <c r="H1" s="2480"/>
      <c r="I1" s="2480"/>
      <c r="J1" s="2480"/>
      <c r="K1" s="2480"/>
      <c r="L1" s="1374"/>
      <c r="M1" s="1374"/>
    </row>
    <row r="2" spans="1:13" ht="12" customHeight="1" x14ac:dyDescent="0.2">
      <c r="B2" s="2482">
        <f>'Single Audit Cover'!E7</f>
        <v>32038009026</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1950</v>
      </c>
      <c r="D10" s="1386">
        <v>1</v>
      </c>
      <c r="E10" s="322"/>
      <c r="F10" s="1387" t="s">
        <v>1362</v>
      </c>
      <c r="G10" s="1388"/>
      <c r="H10" s="1389" t="s">
        <v>1361</v>
      </c>
      <c r="I10" s="1388" t="s">
        <v>2114</v>
      </c>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t="s">
        <v>2158</v>
      </c>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t="s">
        <v>2159</v>
      </c>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499" t="s">
        <v>2160</v>
      </c>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t="s">
        <v>2161</v>
      </c>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t="s">
        <v>2162</v>
      </c>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t="s">
        <v>2163</v>
      </c>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494" t="s">
        <v>2164</v>
      </c>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1847</v>
      </c>
      <c r="C38" s="1420"/>
    </row>
    <row r="39" spans="1:13" ht="9.6" customHeight="1" x14ac:dyDescent="0.2">
      <c r="B39" s="1300" t="s">
        <v>1348</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Iroquois Co CUSD 9</v>
      </c>
      <c r="C1" s="2503"/>
      <c r="D1" s="2503"/>
      <c r="E1" s="2503"/>
      <c r="F1" s="2503"/>
      <c r="G1" s="2503"/>
      <c r="H1" s="2503"/>
      <c r="I1" s="2503"/>
      <c r="J1" s="2503"/>
      <c r="K1" s="2503"/>
      <c r="L1" s="1465"/>
    </row>
    <row r="2" spans="1:12" ht="12.75" customHeight="1" x14ac:dyDescent="0.2">
      <c r="B2" s="2504">
        <f>'Single Audit Cover'!E7</f>
        <v>32038009026</v>
      </c>
      <c r="C2" s="2504"/>
      <c r="D2" s="2504"/>
      <c r="E2" s="2504"/>
      <c r="F2" s="2504"/>
      <c r="G2" s="2504"/>
      <c r="H2" s="2504"/>
      <c r="I2" s="2504"/>
      <c r="J2" s="2504"/>
      <c r="K2" s="2504"/>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1950</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t="s">
        <v>2116</v>
      </c>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topLeftCell="C1" zoomScale="110" zoomScaleNormal="110" workbookViewId="0">
      <selection activeCell="D17" sqref="D1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Iroquois Co CUSD 9</v>
      </c>
      <c r="C1" s="2480"/>
      <c r="D1" s="2480"/>
      <c r="E1" s="1491"/>
    </row>
    <row r="2" spans="2:5" s="1282" customFormat="1" ht="12.75" customHeight="1" x14ac:dyDescent="0.2">
      <c r="B2" s="2482">
        <f>'Single Audit Cover'!E7</f>
        <v>32038009026</v>
      </c>
      <c r="C2" s="2482"/>
      <c r="D2" s="2482"/>
      <c r="E2" s="1492"/>
    </row>
    <row r="3" spans="2:5" ht="12.75" customHeight="1" x14ac:dyDescent="0.2">
      <c r="B3" s="2496" t="s">
        <v>1867</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1868</v>
      </c>
      <c r="C5" s="328"/>
      <c r="D5" s="328"/>
      <c r="E5" s="328"/>
    </row>
    <row r="6" spans="2:5" s="1282" customFormat="1" ht="13.5" customHeight="1" x14ac:dyDescent="0.2">
      <c r="B6" s="1495" t="s">
        <v>1382</v>
      </c>
      <c r="C6" s="1495" t="s">
        <v>1381</v>
      </c>
      <c r="D6" s="1495" t="s">
        <v>1869</v>
      </c>
    </row>
    <row r="7" spans="2:5" ht="13.5" customHeight="1" x14ac:dyDescent="0.2">
      <c r="B7" s="1496"/>
      <c r="C7" s="324"/>
      <c r="D7" s="324"/>
      <c r="E7" s="324"/>
    </row>
    <row r="8" spans="2:5" ht="13.5" customHeight="1" x14ac:dyDescent="0.2">
      <c r="B8" s="1496" t="s">
        <v>2165</v>
      </c>
      <c r="C8" s="324" t="s">
        <v>2166</v>
      </c>
      <c r="D8" s="324" t="s">
        <v>2167</v>
      </c>
      <c r="E8" s="324"/>
    </row>
    <row r="9" spans="2:5" ht="13.5" customHeight="1" x14ac:dyDescent="0.2">
      <c r="B9" s="1497"/>
      <c r="C9" s="323"/>
      <c r="D9" s="323"/>
      <c r="E9" s="323"/>
    </row>
    <row r="10" spans="2:5" ht="13.5" customHeight="1" x14ac:dyDescent="0.2">
      <c r="B10" s="1496" t="s">
        <v>2168</v>
      </c>
      <c r="C10" s="323" t="s">
        <v>2169</v>
      </c>
      <c r="D10" s="323" t="s">
        <v>2170</v>
      </c>
      <c r="E10" s="323"/>
    </row>
    <row r="11" spans="2:5" ht="13.5" customHeight="1" x14ac:dyDescent="0.2">
      <c r="B11" s="1496"/>
      <c r="C11" s="323"/>
      <c r="D11" s="323"/>
      <c r="E11" s="323"/>
    </row>
    <row r="12" spans="2:5" ht="13.5" customHeight="1" x14ac:dyDescent="0.2">
      <c r="B12" s="1496" t="s">
        <v>2171</v>
      </c>
      <c r="C12" s="323" t="s">
        <v>2172</v>
      </c>
      <c r="D12" s="323" t="s">
        <v>2175</v>
      </c>
      <c r="E12" s="323"/>
    </row>
    <row r="13" spans="2:5" ht="13.5" customHeight="1" x14ac:dyDescent="0.2">
      <c r="B13" s="1496"/>
      <c r="C13" s="323"/>
      <c r="D13" s="323"/>
      <c r="E13" s="323"/>
    </row>
    <row r="14" spans="2:5" ht="13.5" customHeight="1" x14ac:dyDescent="0.2">
      <c r="B14" s="1496" t="s">
        <v>2173</v>
      </c>
      <c r="C14" s="323" t="s">
        <v>2174</v>
      </c>
      <c r="D14" s="323"/>
      <c r="E14" s="323"/>
    </row>
    <row r="15" spans="2:5" ht="13.5" customHeight="1" x14ac:dyDescent="0.2">
      <c r="B15" s="1496"/>
      <c r="C15" s="323"/>
      <c r="D15" s="323" t="s">
        <v>2176</v>
      </c>
      <c r="E15" s="323"/>
    </row>
    <row r="16" spans="2:5" ht="13.5" customHeight="1" x14ac:dyDescent="0.2">
      <c r="B16" s="1496"/>
      <c r="C16" s="323"/>
      <c r="D16" s="323"/>
      <c r="E16" s="323"/>
    </row>
    <row r="17" spans="2:5" ht="13.5" customHeight="1" x14ac:dyDescent="0.2">
      <c r="B17" s="1496" t="s">
        <v>2177</v>
      </c>
      <c r="C17" s="323" t="s">
        <v>2166</v>
      </c>
      <c r="D17" s="323" t="s">
        <v>2178</v>
      </c>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1870</v>
      </c>
    </row>
    <row r="46" spans="2:5" ht="12.2" customHeight="1" x14ac:dyDescent="0.2">
      <c r="B46" s="1505" t="s">
        <v>1871</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documentManagement/types"/>
    <ds:schemaRef ds:uri="d21dc803-237d-4c68-8692-8d731fd29118"/>
    <ds:schemaRef ds:uri="http://purl.org/dc/dcmitype/"/>
    <ds:schemaRef ds:uri="http://schemas.microsoft.com/office/2006/metadata/properties"/>
    <ds:schemaRef ds:uri="6ce3111e-7420-4802-b50a-75d4e9a0b980"/>
    <ds:schemaRef ds:uri="http://purl.org/dc/elements/1.1/"/>
    <ds:schemaRef ds:uri="http://purl.org/dc/terms/"/>
    <ds:schemaRef ds:uri="http://www.w3.org/XML/1998/namespace"/>
    <ds:schemaRef ds:uri="http://schemas.openxmlformats.org/package/2006/metadata/core-propertie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(2)</vt:lpstr>
      <vt:lpstr> SEFA</vt:lpstr>
      <vt:lpstr>SF&amp;QC Sec-1</vt:lpstr>
      <vt:lpstr>SF&amp;QC Sec-2</vt:lpstr>
      <vt:lpstr>SF&amp;QC Sec-3</vt:lpstr>
      <vt:lpstr>SSPAF</vt:lpstr>
      <vt:lpstr>Sheet2</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2018-10-11T13:21:43Z</cp:lastPrinted>
  <dcterms:created xsi:type="dcterms:W3CDTF">2003-10-29T19:06:34Z</dcterms:created>
  <dcterms:modified xsi:type="dcterms:W3CDTF">2018-11-21T17:09:20Z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