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PG 2)" sheetId="183" r:id="rId30"/>
    <sheet name=" SEFA (PG 3)" sheetId="184" r:id="rId31"/>
    <sheet name=" SEFA (PG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(PG 2)'!$B$1:$M$46</definedName>
    <definedName name="_xlnm.Print_Area" localSheetId="30">' SEFA (PG 3)'!$B$1:$M$46</definedName>
    <definedName name="_xlnm.Print_Area" localSheetId="31">' SEFA (PG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D4" i="3" l="1"/>
  <c r="C4" i="3"/>
  <c r="D39" i="3"/>
  <c r="D79" i="4"/>
  <c r="C39" i="3"/>
  <c r="C79" i="4"/>
  <c r="G38" i="174" l="1"/>
  <c r="D24" i="171"/>
  <c r="H19" i="179"/>
  <c r="H18" i="179"/>
  <c r="H17" i="179"/>
  <c r="H16" i="179"/>
  <c r="H15" i="179"/>
  <c r="H14" i="179"/>
  <c r="I15" i="185" l="1"/>
  <c r="G15" i="185"/>
  <c r="F15" i="185"/>
  <c r="E15" i="185"/>
  <c r="I18" i="184" l="1"/>
  <c r="G18" i="184"/>
  <c r="F18" i="184"/>
  <c r="E18" i="184"/>
  <c r="I25" i="183" l="1"/>
  <c r="I19" i="184" s="1"/>
  <c r="G25" i="183"/>
  <c r="G19" i="184" s="1"/>
  <c r="F25" i="183"/>
  <c r="F19" i="184" s="1"/>
  <c r="E25" i="183"/>
  <c r="E19" i="184" s="1"/>
  <c r="I19" i="183"/>
  <c r="G19" i="183"/>
  <c r="F19" i="183"/>
  <c r="E19" i="183"/>
  <c r="I20" i="179"/>
  <c r="I22" i="179" s="1"/>
  <c r="G20" i="179"/>
  <c r="G22" i="179" s="1"/>
  <c r="F20" i="179"/>
  <c r="F22" i="179" s="1"/>
  <c r="E20" i="179"/>
  <c r="E22" i="179" s="1"/>
  <c r="L27" i="185"/>
  <c r="L26" i="185"/>
  <c r="L25" i="185"/>
  <c r="L24" i="185"/>
  <c r="L23" i="185"/>
  <c r="L22" i="185"/>
  <c r="L21" i="185"/>
  <c r="L20" i="185"/>
  <c r="L19" i="185"/>
  <c r="L18" i="185"/>
  <c r="L16" i="185"/>
  <c r="L15" i="185"/>
  <c r="L14" i="185"/>
  <c r="L13" i="185"/>
  <c r="L12" i="185"/>
  <c r="L11" i="185"/>
  <c r="B4" i="185"/>
  <c r="L27" i="184"/>
  <c r="L26" i="184"/>
  <c r="L24" i="184"/>
  <c r="L23" i="184"/>
  <c r="L22" i="184"/>
  <c r="L21" i="184"/>
  <c r="L20" i="184"/>
  <c r="L18" i="184"/>
  <c r="L17" i="184"/>
  <c r="L16" i="184"/>
  <c r="L15" i="184"/>
  <c r="L14" i="184"/>
  <c r="L13" i="184"/>
  <c r="L12" i="184"/>
  <c r="L11" i="184"/>
  <c r="B4" i="184"/>
  <c r="L27" i="183"/>
  <c r="L26" i="183"/>
  <c r="L24" i="183"/>
  <c r="L23" i="183"/>
  <c r="L22" i="183"/>
  <c r="L21" i="183"/>
  <c r="L20" i="183"/>
  <c r="L18" i="183"/>
  <c r="L17" i="183"/>
  <c r="L16" i="183"/>
  <c r="L15" i="183"/>
  <c r="L14" i="183"/>
  <c r="L13" i="183"/>
  <c r="L12" i="183"/>
  <c r="L11" i="183"/>
  <c r="B4" i="183"/>
  <c r="L19" i="184" l="1"/>
  <c r="L19" i="183"/>
  <c r="E25" i="184"/>
  <c r="E17" i="185" s="1"/>
  <c r="F25" i="184"/>
  <c r="F17" i="185" s="1"/>
  <c r="D35" i="171" s="1"/>
  <c r="G25" i="184"/>
  <c r="I25" i="184"/>
  <c r="I17" i="185" s="1"/>
  <c r="L25" i="183"/>
  <c r="L25" i="184" l="1"/>
  <c r="G17" i="185"/>
  <c r="L17" i="185" s="1"/>
  <c r="D124" i="29"/>
  <c r="D75" i="29"/>
  <c r="D70" i="29"/>
  <c r="D68" i="29"/>
  <c r="D63" i="29"/>
  <c r="D61" i="29"/>
  <c r="D60" i="29"/>
  <c r="D59" i="29"/>
  <c r="D55" i="29"/>
  <c r="D51" i="29"/>
  <c r="D50" i="29"/>
  <c r="D46" i="29"/>
  <c r="D45" i="29"/>
  <c r="D44" i="29"/>
  <c r="D40" i="29"/>
  <c r="D39" i="29"/>
  <c r="D38" i="29"/>
  <c r="D37" i="29"/>
  <c r="D36" i="29"/>
  <c r="D18" i="29"/>
  <c r="D17" i="29"/>
  <c r="D15" i="29"/>
  <c r="D14" i="29"/>
  <c r="D13" i="29"/>
  <c r="D9" i="29"/>
  <c r="D8" i="29"/>
  <c r="D5" i="29"/>
  <c r="D38" i="3" l="1"/>
  <c r="K7" i="12" l="1"/>
  <c r="H5" i="12"/>
  <c r="L182" i="29"/>
  <c r="L128" i="29"/>
  <c r="L14" i="29"/>
  <c r="L124" i="29"/>
  <c r="H169" i="29"/>
  <c r="H170" i="29"/>
  <c r="E124" i="29"/>
  <c r="F124" i="29"/>
  <c r="G63" i="29"/>
  <c r="G60" i="29"/>
  <c r="G55" i="29"/>
  <c r="G45" i="29"/>
  <c r="G17" i="29"/>
  <c r="G14" i="29"/>
  <c r="G13" i="29"/>
  <c r="G8" i="29"/>
  <c r="G5" i="29"/>
  <c r="D107" i="5" l="1"/>
  <c r="D65" i="5"/>
  <c r="G16" i="5" l="1"/>
  <c r="N21" i="3"/>
  <c r="D5" i="3"/>
  <c r="C32" i="3"/>
  <c r="C16" i="7" l="1"/>
  <c r="C14" i="7"/>
  <c r="C10" i="7"/>
  <c r="C8" i="7"/>
  <c r="C7" i="7"/>
  <c r="C6" i="7"/>
  <c r="C5" i="7"/>
  <c r="C4"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E63" i="181"/>
  <c r="F63" i="181" s="1"/>
  <c r="G63" i="181" s="1"/>
  <c r="E62" i="181"/>
  <c r="F62" i="181" s="1"/>
  <c r="G62" i="181" s="1"/>
  <c r="E61" i="181"/>
  <c r="F61" i="181" s="1"/>
  <c r="G61" i="181" s="1"/>
  <c r="E60" i="181"/>
  <c r="F60" i="181" s="1"/>
  <c r="G60" i="181" s="1"/>
  <c r="E59" i="181"/>
  <c r="F59" i="181" s="1"/>
  <c r="G59" i="181" s="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3"/>
  <c r="B2" i="184"/>
  <c r="B1" i="184"/>
  <c r="B1" i="185"/>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I36" i="8"/>
  <c r="J36" i="8" s="1"/>
  <c r="I37" i="8"/>
  <c r="J37" i="8" s="1"/>
  <c r="I38" i="8"/>
  <c r="J38" i="8" s="1"/>
  <c r="I39" i="8"/>
  <c r="J39" i="8" s="1"/>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D27" i="108"/>
  <c r="E27" i="108"/>
  <c r="F27" i="108"/>
  <c r="G27" i="108"/>
  <c r="F31" i="108"/>
  <c r="F36" i="108"/>
  <c r="F37" i="108"/>
  <c r="G28" i="108"/>
  <c r="E30" i="108"/>
  <c r="G30" i="108"/>
  <c r="D31" i="108"/>
  <c r="D36" i="108"/>
  <c r="D37" i="108"/>
  <c r="E31" i="108"/>
  <c r="G31" i="108"/>
  <c r="E33" i="108"/>
  <c r="G33"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C14" i="4"/>
  <c r="B2558" i="106" s="1"/>
  <c r="D2558" i="106" s="1"/>
  <c r="D14" i="4"/>
  <c r="B2570" i="106" s="1"/>
  <c r="D2570" i="106" s="1"/>
  <c r="F14" i="4"/>
  <c r="B2597" i="106" s="1"/>
  <c r="D2597" i="106" s="1"/>
  <c r="B2633" i="106"/>
  <c r="D2633" i="106" s="1"/>
  <c r="D7" i="118"/>
  <c r="D8" i="118"/>
  <c r="D9" i="118"/>
  <c r="H14" i="118"/>
  <c r="H19" i="118"/>
  <c r="H24" i="118"/>
  <c r="L22" i="37"/>
  <c r="D24" i="37"/>
  <c r="B4270" i="106" s="1"/>
  <c r="D4270" i="106" s="1"/>
  <c r="K24" i="12" l="1"/>
  <c r="B7733" i="106" s="1"/>
  <c r="D7733" i="106" s="1"/>
  <c r="D13" i="7"/>
  <c r="B3726" i="106" s="1"/>
  <c r="D3726" i="106" s="1"/>
  <c r="E35" i="108"/>
  <c r="F46" i="34"/>
  <c r="I210" i="29"/>
  <c r="B7071" i="106" s="1"/>
  <c r="D7071" i="106" s="1"/>
  <c r="J210" i="29"/>
  <c r="B7072" i="106" s="1"/>
  <c r="D7072" i="106" s="1"/>
  <c r="F38" i="34"/>
  <c r="G38" i="108"/>
  <c r="G26" i="108"/>
  <c r="E38" i="108"/>
  <c r="F28" i="108"/>
  <c r="F41" i="108" s="1"/>
  <c r="G43" i="108" s="1"/>
  <c r="E28" i="108"/>
  <c r="F71" i="34"/>
  <c r="B1274" i="106"/>
  <c r="D1274" i="106" s="1"/>
  <c r="F44" i="34"/>
  <c r="F34" i="34"/>
  <c r="E26" i="108"/>
  <c r="F50" i="34"/>
  <c r="F42" i="34"/>
  <c r="G35" i="108"/>
  <c r="J49" i="8"/>
  <c r="B4172" i="106" s="1"/>
  <c r="D4172" i="106" s="1"/>
  <c r="I24" i="12"/>
  <c r="H28" i="118"/>
  <c r="D17" i="7"/>
  <c r="B4104" i="106" s="1"/>
  <c r="D4104" i="106" s="1"/>
  <c r="D9" i="7"/>
  <c r="B1767" i="106" s="1"/>
  <c r="D1767" i="106" s="1"/>
  <c r="F36" i="34"/>
  <c r="B1124" i="106"/>
  <c r="D1124" i="106" s="1"/>
  <c r="H109" i="5"/>
  <c r="B6025" i="106" s="1"/>
  <c r="D6025" i="106" s="1"/>
  <c r="G34" i="108"/>
  <c r="D12" i="7"/>
  <c r="B1769" i="106" s="1"/>
  <c r="D1769" i="106" s="1"/>
  <c r="D5" i="4"/>
  <c r="B3406" i="106" s="1"/>
  <c r="D3406" i="106" s="1"/>
  <c r="B5096" i="106"/>
  <c r="D5096" i="106" s="1"/>
  <c r="F69" i="34"/>
  <c r="B7047" i="106"/>
  <c r="D7047" i="106" s="1"/>
  <c r="F41" i="34"/>
  <c r="F35" i="34"/>
  <c r="H342" i="29"/>
  <c r="B7221" i="106" s="1"/>
  <c r="D7221" i="106" s="1"/>
  <c r="F45" i="34"/>
  <c r="B6289" i="106"/>
  <c r="D6289" i="106" s="1"/>
  <c r="G15" i="145"/>
  <c r="D5" i="7"/>
  <c r="B1761" i="106" s="1"/>
  <c r="D1761" i="106" s="1"/>
  <c r="H76" i="4"/>
  <c r="B3298" i="106" s="1"/>
  <c r="D3298" i="106" s="1"/>
  <c r="B1223" i="106"/>
  <c r="D1223" i="106" s="1"/>
  <c r="B1126" i="106"/>
  <c r="D1126" i="106" s="1"/>
  <c r="C342" i="29"/>
  <c r="B7216" i="106" s="1"/>
  <c r="D7216" i="106" s="1"/>
  <c r="B3647" i="106"/>
  <c r="D3647" i="106" s="1"/>
  <c r="J352" i="29"/>
  <c r="J367" i="29" s="1"/>
  <c r="B7245" i="106" s="1"/>
  <c r="D7245" i="106" s="1"/>
  <c r="L367" i="29"/>
  <c r="E29" i="108"/>
  <c r="B4373" i="106"/>
  <c r="D4373" i="106" s="1"/>
  <c r="I173" i="5"/>
  <c r="B4216" i="106" s="1"/>
  <c r="D4216" i="106" s="1"/>
  <c r="D109" i="5"/>
  <c r="B5356" i="106" s="1"/>
  <c r="D5356" i="106" s="1"/>
  <c r="F127" i="34"/>
  <c r="L342" i="29"/>
  <c r="F72" i="34"/>
  <c r="K350" i="29"/>
  <c r="B3670" i="106" s="1"/>
  <c r="D3670" i="106" s="1"/>
  <c r="F70" i="34"/>
  <c r="G29" i="108"/>
  <c r="B7235" i="106"/>
  <c r="D7235" i="106" s="1"/>
  <c r="B3619" i="106"/>
  <c r="D3619" i="106" s="1"/>
  <c r="B3488" i="106"/>
  <c r="D3488" i="106" s="1"/>
  <c r="K184" i="29"/>
  <c r="F13" i="4" s="1"/>
  <c r="B2596" i="106" s="1"/>
  <c r="D2596" i="106" s="1"/>
  <c r="G210" i="29"/>
  <c r="G14" i="4"/>
  <c r="B2609" i="106" s="1"/>
  <c r="D2609" i="106" s="1"/>
  <c r="B6995" i="106"/>
  <c r="D6995" i="106" s="1"/>
  <c r="E174" i="29"/>
  <c r="B1309" i="106" s="1"/>
  <c r="D1309" i="106" s="1"/>
  <c r="B1329" i="106"/>
  <c r="D1329" i="106" s="1"/>
  <c r="F61" i="34"/>
  <c r="G109" i="5"/>
  <c r="B6024" i="106" s="1"/>
  <c r="D6024" i="106" s="1"/>
  <c r="F136" i="34"/>
  <c r="F106" i="34"/>
  <c r="B5161" i="106"/>
  <c r="D5161" i="106" s="1"/>
  <c r="B3621" i="106"/>
  <c r="D3621" i="106" s="1"/>
  <c r="C367" i="29"/>
  <c r="B3622" i="106" s="1"/>
  <c r="D3622" i="106" s="1"/>
  <c r="L312" i="29"/>
  <c r="H365" i="29"/>
  <c r="B7242" i="106" s="1"/>
  <c r="D7242" i="106" s="1"/>
  <c r="K285" i="29"/>
  <c r="B3724" i="106" s="1"/>
  <c r="D3724" i="106" s="1"/>
  <c r="B1410" i="106"/>
  <c r="D1410" i="106" s="1"/>
  <c r="I342" i="29"/>
  <c r="B7222" i="106" s="1"/>
  <c r="D7222" i="106" s="1"/>
  <c r="B3649" i="106"/>
  <c r="D3649" i="106" s="1"/>
  <c r="G367" i="29"/>
  <c r="B3650" i="106" s="1"/>
  <c r="D3650" i="106" s="1"/>
  <c r="D7" i="7"/>
  <c r="B1763" i="106" s="1"/>
  <c r="D1763" i="106" s="1"/>
  <c r="C172" i="5"/>
  <c r="B5214" i="106" s="1"/>
  <c r="D5214" i="106" s="1"/>
  <c r="F128" i="34"/>
  <c r="D4" i="7"/>
  <c r="B1760" i="106" s="1"/>
  <c r="D1760" i="106" s="1"/>
  <c r="C109" i="5"/>
  <c r="B5121" i="106" s="1"/>
  <c r="D5121" i="106" s="1"/>
  <c r="D15" i="7"/>
  <c r="B1772" i="106" s="1"/>
  <c r="D1772" i="106" s="1"/>
  <c r="H173" i="5"/>
  <c r="F130" i="34"/>
  <c r="D11" i="7"/>
  <c r="B1768" i="106" s="1"/>
  <c r="D1768" i="106" s="1"/>
  <c r="F111" i="34"/>
  <c r="F131" i="34"/>
  <c r="G5" i="4"/>
  <c r="B3409" i="106" s="1"/>
  <c r="D3409" i="106" s="1"/>
  <c r="B7041" i="106"/>
  <c r="D7041" i="106" s="1"/>
  <c r="E109" i="5"/>
  <c r="E4" i="4" s="1"/>
  <c r="B2630" i="106" s="1"/>
  <c r="D2630" i="106" s="1"/>
  <c r="K173" i="5"/>
  <c r="K6" i="4" s="1"/>
  <c r="B3570" i="106" s="1"/>
  <c r="D3570" i="106" s="1"/>
  <c r="G172" i="5"/>
  <c r="F172" i="5"/>
  <c r="B5644" i="106" s="1"/>
  <c r="D5644" i="106" s="1"/>
  <c r="K274" i="5"/>
  <c r="K7" i="4" s="1"/>
  <c r="B3718" i="106" s="1"/>
  <c r="D3718" i="106" s="1"/>
  <c r="J77" i="4"/>
  <c r="B6262" i="106" s="1"/>
  <c r="D6262" i="106" s="1"/>
  <c r="F77" i="4"/>
  <c r="B3255" i="106" s="1"/>
  <c r="D3255" i="106" s="1"/>
  <c r="D69" i="36"/>
  <c r="J22" i="37"/>
  <c r="D68" i="36"/>
  <c r="D22" i="37"/>
  <c r="N22" i="3"/>
  <c r="B283" i="106" s="1"/>
  <c r="D283" i="106" s="1"/>
  <c r="F21" i="8"/>
  <c r="L5" i="11"/>
  <c r="B2056" i="106" s="1"/>
  <c r="D2056" i="106" s="1"/>
  <c r="L13" i="11"/>
  <c r="B2060" i="106" s="1"/>
  <c r="D2060" i="106" s="1"/>
  <c r="D54" i="36"/>
  <c r="J41" i="3"/>
  <c r="B6216" i="106" s="1"/>
  <c r="D6216" i="106" s="1"/>
  <c r="K41" i="3"/>
  <c r="H33" i="118"/>
  <c r="B1746" i="106"/>
  <c r="D1746" i="106" s="1"/>
  <c r="F19" i="7"/>
  <c r="B1807" i="106" s="1"/>
  <c r="D1807" i="106" s="1"/>
  <c r="D31" i="36"/>
  <c r="H29" i="118"/>
  <c r="D11" i="37"/>
  <c r="K76" i="4"/>
  <c r="B3586" i="106" s="1"/>
  <c r="D3586"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K26" i="12" l="1"/>
  <c r="B7743" i="106" s="1"/>
  <c r="D7743" i="106" s="1"/>
  <c r="J16" i="4"/>
  <c r="B6226" i="106" s="1"/>
  <c r="D6226" i="106" s="1"/>
  <c r="B6014" i="106"/>
  <c r="D6014" i="106" s="1"/>
  <c r="B1328" i="106"/>
  <c r="D1328" i="106" s="1"/>
  <c r="F66" i="34"/>
  <c r="K28" i="118"/>
  <c r="O27" i="118" s="1"/>
  <c r="O29" i="118" s="1"/>
  <c r="H4" i="4"/>
  <c r="B2655" i="106" s="1"/>
  <c r="D2655" i="106" s="1"/>
  <c r="B1996" i="106"/>
  <c r="D1996" i="106" s="1"/>
  <c r="I26" i="12"/>
  <c r="B7741" i="106" s="1"/>
  <c r="D7741" i="106" s="1"/>
  <c r="B1317" i="106"/>
  <c r="D1317" i="106" s="1"/>
  <c r="L114" i="29"/>
  <c r="H77" i="4"/>
  <c r="B3299" i="106" s="1"/>
  <c r="D3299" i="106" s="1"/>
  <c r="C4" i="4"/>
  <c r="B2551" i="106" s="1"/>
  <c r="D2551" i="106" s="1"/>
  <c r="B3628" i="106"/>
  <c r="D3628" i="106" s="1"/>
  <c r="B1381" i="106"/>
  <c r="D1381" i="106" s="1"/>
  <c r="B6022" i="106"/>
  <c r="D6022" i="106" s="1"/>
  <c r="I6" i="4"/>
  <c r="B5011" i="106" s="1"/>
  <c r="D5011" i="106" s="1"/>
  <c r="K365" i="29"/>
  <c r="K16" i="4" s="1"/>
  <c r="D4" i="4"/>
  <c r="B2564" i="106" s="1"/>
  <c r="D2564" i="106" s="1"/>
  <c r="K352" i="29"/>
  <c r="K13" i="4" s="1"/>
  <c r="B3572" i="106" s="1"/>
  <c r="D3572" i="106" s="1"/>
  <c r="H275" i="5"/>
  <c r="B5915" i="106" s="1"/>
  <c r="D5915" i="106" s="1"/>
  <c r="C173" i="5"/>
  <c r="B5223" i="106" s="1"/>
  <c r="D5223" i="106" s="1"/>
  <c r="F73" i="34"/>
  <c r="G15" i="4"/>
  <c r="B6032" i="106" s="1"/>
  <c r="D6032" i="106" s="1"/>
  <c r="B1365" i="106"/>
  <c r="D1365" i="106" s="1"/>
  <c r="F65" i="34"/>
  <c r="G4" i="4"/>
  <c r="B2603" i="106" s="1"/>
  <c r="D2603" i="106" s="1"/>
  <c r="F274" i="5"/>
  <c r="F7" i="4" s="1"/>
  <c r="B2594" i="106" s="1"/>
  <c r="D2594" i="106" s="1"/>
  <c r="K342" i="29"/>
  <c r="F13" i="34" s="1"/>
  <c r="C114" i="29"/>
  <c r="B757" i="106" s="1"/>
  <c r="D757" i="106" s="1"/>
  <c r="H367" i="29"/>
  <c r="B3660" i="106" s="1"/>
  <c r="D3660" i="106" s="1"/>
  <c r="F173" i="5"/>
  <c r="G173" i="5"/>
  <c r="B5770" i="106"/>
  <c r="D5770" i="106" s="1"/>
  <c r="B5527" i="106"/>
  <c r="D5527" i="106" s="1"/>
  <c r="B5906" i="106"/>
  <c r="D5906" i="106" s="1"/>
  <c r="H6" i="4"/>
  <c r="B5914" i="106"/>
  <c r="D5914" i="106" s="1"/>
  <c r="K77" i="4"/>
  <c r="B3587" i="106" s="1"/>
  <c r="D3587" i="106" s="1"/>
  <c r="D274" i="5"/>
  <c r="D7" i="4" s="1"/>
  <c r="N23" i="3"/>
  <c r="B284" i="106" s="1"/>
  <c r="D284" i="106" s="1"/>
  <c r="D51" i="36"/>
  <c r="D44" i="36"/>
  <c r="B1879" i="106"/>
  <c r="D1879" i="106" s="1"/>
  <c r="H22" i="37"/>
  <c r="L16" i="11"/>
  <c r="B2061" i="106" s="1"/>
  <c r="D2061" i="106" s="1"/>
  <c r="B3568" i="106"/>
  <c r="D3568" i="106" s="1"/>
  <c r="D52" i="36"/>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7243" i="106" l="1"/>
  <c r="D7243" i="106" s="1"/>
  <c r="B1145" i="106"/>
  <c r="D1145" i="106" s="1"/>
  <c r="B5507" i="106"/>
  <c r="D5507" i="106" s="1"/>
  <c r="D275" i="5"/>
  <c r="B5508" i="106" s="1"/>
  <c r="D5508" i="106" s="1"/>
  <c r="C6" i="4"/>
  <c r="B2553" i="106" s="1"/>
  <c r="D2553" i="106" s="1"/>
  <c r="B3672" i="106"/>
  <c r="D3672" i="106" s="1"/>
  <c r="B5719" i="106"/>
  <c r="D5719" i="106" s="1"/>
  <c r="K367" i="29"/>
  <c r="B3678" i="106" s="1"/>
  <c r="D3678" i="106" s="1"/>
  <c r="B7224" i="106"/>
  <c r="D7224" i="106" s="1"/>
  <c r="B5778" i="106"/>
  <c r="D5778" i="106" s="1"/>
  <c r="G6" i="4"/>
  <c r="B2604" i="106" s="1"/>
  <c r="D2604" i="106" s="1"/>
  <c r="B5653" i="106"/>
  <c r="D5653" i="106" s="1"/>
  <c r="F6" i="4"/>
  <c r="B2593" i="106" s="1"/>
  <c r="D2593" i="106" s="1"/>
  <c r="B2656" i="106"/>
  <c r="D2656" i="106" s="1"/>
  <c r="H8" i="4"/>
  <c r="F275" i="5"/>
  <c r="B5720" i="106" s="1"/>
  <c r="D5720" i="106" s="1"/>
  <c r="J8" i="4"/>
  <c r="J10" i="4" s="1"/>
  <c r="B6225" i="106" s="1"/>
  <c r="D6225" i="106" s="1"/>
  <c r="J17" i="4"/>
  <c r="B6227" i="106" s="1"/>
  <c r="D6227"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368" i="29"/>
  <c r="B3681" i="106" s="1"/>
  <c r="D3681" i="106" s="1"/>
  <c r="J20" i="4"/>
  <c r="B6230" i="106" s="1"/>
  <c r="D6230" i="106" s="1"/>
  <c r="F76" i="34"/>
  <c r="D8" i="4"/>
  <c r="C8" i="146" s="1"/>
  <c r="B6223" i="106"/>
  <c r="D6223" i="106" s="1"/>
  <c r="B2658" i="106"/>
  <c r="D2658" i="106" s="1"/>
  <c r="H10" i="4"/>
  <c r="B4127" i="106" s="1"/>
  <c r="D4127" i="106" s="1"/>
  <c r="F8" i="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2568" i="106"/>
  <c r="D2568" i="106" s="1"/>
  <c r="D10" i="4"/>
  <c r="B4123" i="106" s="1"/>
  <c r="D4123" i="106" s="1"/>
  <c r="D20" i="4"/>
  <c r="D78" i="4" s="1"/>
  <c r="B2595" i="106"/>
  <c r="D2595" i="106" s="1"/>
  <c r="D8" i="146"/>
  <c r="F10" i="4"/>
  <c r="B4125" i="106" s="1"/>
  <c r="D4125"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9" i="34" l="1"/>
  <c r="F79" i="34"/>
  <c r="B6263" i="106"/>
  <c r="D6263" i="106" s="1"/>
  <c r="D10" i="146"/>
  <c r="F8" i="146"/>
  <c r="B2574" i="106"/>
  <c r="D2574"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<sst xmlns="http://schemas.openxmlformats.org/spreadsheetml/2006/main" count="5500" uniqueCount="2232">
  <si>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</si>
  <si>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</si>
  <si>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</si>
  <si>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</si>
  <si>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</si>
  <si>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</si>
  <si>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</si>
  <si>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</si>
  <si>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</si>
  <si>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</si>
  <si>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</si>
  <si>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</si>
  <si>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</si>
  <si>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</si>
  <si>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</si>
  <si>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</si>
  <si>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</si>
  <si>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</si>
  <si>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</si>
  <si>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</si>
  <si>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</si>
  <si>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</si>
  <si>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</si>
  <si>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</si>
  <si>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</si>
  <si>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</si>
  <si>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</si>
  <si>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</si>
  <si>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</si>
  <si>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</si>
  <si>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</si>
  <si>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</si>
  <si>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</si>
  <si>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</si>
  <si>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</si>
  <si>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</si>
  <si>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</si>
  <si>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</si>
  <si>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</si>
  <si>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</si>
  <si>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</si>
  <si>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</si>
  <si>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</si>
  <si>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</si>
  <si>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</si>
  <si>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</si>
  <si>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</si>
  <si>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</si>
  <si>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</si>
  <si>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</si>
  <si>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</si>
  <si>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</si>
  <si>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</si>
  <si>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</si>
  <si>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</si>
  <si>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</si>
  <si>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</si>
  <si>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</si>
  <si>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</si>
  <si>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</si>
  <si>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</si>
  <si>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</si>
  <si>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</si>
  <si>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</si>
  <si>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</si>
  <si>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</si>
  <si>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</si>
  <si>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</si>
  <si>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</si>
  <si>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</si>
  <si>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</si>
  <si>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</si>
  <si>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</si>
  <si>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</si>
  <si>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</si>
  <si>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</si>
  <si>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</si>
  <si>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</si>
  <si>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</si>
  <si>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</si>
  <si>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</si>
  <si>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</si>
  <si>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</si>
  <si>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</si>
  <si>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</si>
  <si>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</si>
  <si>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</si>
  <si>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</si>
  <si>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</si>
  <si>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</si>
  <si>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</si>
  <si>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</si>
  <si>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</si>
  <si>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</si>
  <si>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</si>
  <si>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</si>
  <si>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</si>
  <si>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</si>
  <si>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</si>
  <si>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</si>
  <si>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</si>
  <si>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</si>
  <si>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</si>
  <si>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</si>
  <si>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</si>
  <si>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</si>
  <si>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</si>
  <si>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</si>
  <si>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</si>
  <si>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</si>
  <si>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</si>
  <si>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</si>
  <si>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</si>
  <si>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</si>
  <si>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</si>
  <si>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</si>
  <si>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</si>
  <si>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</si>
  <si>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</si>
  <si>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</si>
  <si>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</si>
  <si>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</si>
  <si>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</si>
  <si>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</si>
  <si>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</si>
  <si>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</si>
  <si>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</si>
  <si>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</si>
  <si>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</si>
  <si>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</si>
  <si>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</si>
  <si>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</si>
  <si>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</si>
  <si>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</si>
  <si>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</si>
  <si>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</si>
  <si>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</si>
  <si>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</si>
  <si>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</si>
  <si>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</si>
  <si>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</si>
  <si>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</si>
  <si>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</si>
  <si>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</si>
  <si>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</si>
  <si>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</si>
  <si>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</si>
  <si>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</si>
  <si>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</si>
  <si>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</si>
  <si>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</si>
  <si>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</si>
  <si>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</si>
  <si>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</si>
  <si>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</si>
  <si>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</si>
  <si>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</si>
  <si>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</si>
  <si>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</si>
  <si>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</si>
  <si>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</si>
  <si>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</si>
  <si>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</si>
  <si>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</si>
  <si>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</si>
  <si>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</si>
  <si>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</si>
  <si>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</si>
  <si>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</si>
  <si>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</si>
  <si>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</si>
  <si>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</si>
  <si>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</si>
  <si>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</si>
  <si>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</si>
  <si>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</si>
  <si>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</si>
  <si>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</si>
  <si>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</si>
  <si>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</si>
  <si>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</si>
  <si>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</si>
  <si>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</si>
  <si>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</si>
  <si>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</si>
  <si>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</si>
  <si>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</si>
  <si>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</si>
  <si>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</si>
  <si>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</si>
  <si>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</si>
  <si>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</si>
  <si>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</si>
  <si>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</si>
  <si>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</si>
  <si>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</si>
  <si>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</si>
  <si>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</si>
  <si>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</si>
  <si>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</si>
  <si>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</si>
  <si>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</si>
  <si>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</si>
  <si>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</si>
  <si>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</si>
  <si>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</si>
  <si>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</si>
  <si>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</si>
  <si>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</si>
  <si>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</si>
  <si>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</si>
  <si>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</si>
  <si>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</si>
  <si>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</si>
  <si>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</si>
  <si>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</si>
  <si>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</si>
  <si>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</si>
  <si>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</si>
  <si>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</si>
  <si>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</si>
  <si>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</si>
  <si>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</si>
  <si>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</si>
  <si>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</si>
  <si>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</si>
  <si>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</si>
  <si>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</si>
  <si>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</si>
  <si>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</si>
  <si>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</si>
  <si>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</si>
  <si>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</si>
  <si>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</si>
  <si>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</si>
  <si>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</si>
  <si>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</si>
  <si>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</si>
  <si>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</si>
  <si>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</si>
  <si>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</si>
  <si>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</si>
  <si>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</si>
  <si>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</si>
  <si>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</si>
  <si>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</si>
  <si>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</si>
  <si>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</si>
  <si>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</si>
  <si>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</si>
  <si>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</si>
  <si>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</si>
  <si>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</si>
  <si>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</si>
  <si>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</si>
  <si>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</si>
  <si>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</si>
  <si>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</si>
  <si>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</si>
  <si>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</si>
  <si>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</si>
  <si>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</si>
  <si>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</si>
  <si>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</si>
  <si>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</si>
  <si>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</si>
  <si>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</si>
  <si>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</si>
  <si>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</si>
  <si>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</si>
  <si>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</si>
  <si>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</si>
  <si>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</si>
  <si>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</si>
  <si>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</si>
  <si>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</si>
  <si>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</si>
  <si>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</si>
  <si>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</si>
  <si>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</si>
  <si>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</si>
  <si>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</si>
  <si>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</si>
  <si>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</si>
  <si>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</si>
  <si>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</si>
  <si>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</si>
  <si>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</si>
  <si>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</si>
  <si>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</si>
  <si>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</si>
  <si>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</si>
  <si>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</si>
  <si>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</si>
  <si>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</si>
  <si>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</si>
  <si>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</si>
  <si>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</si>
  <si>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</si>
  <si>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</si>
  <si>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</si>
  <si>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</si>
  <si>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</si>
  <si>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</si>
  <si>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</si>
  <si>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</si>
  <si>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</si>
  <si>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</si>
  <si>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</si>
  <si>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</si>
  <si>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</si>
  <si>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</si>
  <si>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</si>
  <si>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</si>
  <si>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</si>
  <si>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</si>
  <si>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</si>
  <si>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</si>
  <si>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</si>
  <si>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</si>
  <si>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</si>
  <si>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</si>
  <si>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</si>
  <si>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</si>
  <si>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</si>
  <si>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</si>
  <si>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</si>
  <si>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</si>
  <si>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</si>
  <si>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</si>
  <si>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</si>
  <si>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</si>
  <si>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</si>
  <si>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</si>
  <si>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</si>
  <si>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</si>
  <si>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</si>
  <si>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</si>
  <si>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</si>
  <si>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</si>
  <si>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</si>
  <si>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</si>
  <si>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</si>
  <si>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</si>
  <si>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</si>
  <si>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</si>
  <si>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</si>
  <si>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</si>
  <si>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</si>
  <si>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</si>
  <si>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</si>
  <si>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</si>
  <si>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</si>
  <si>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</si>
  <si>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</si>
  <si>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</si>
  <si>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</si>
  <si>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</si>
  <si>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</si>
  <si>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</si>
  <si>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</si>
  <si>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</si>
  <si>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</si>
  <si>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</si>
  <si>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</si>
  <si>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</si>
  <si>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</si>
  <si>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</si>
  <si>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</si>
  <si>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</si>
  <si>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</si>
  <si>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</si>
  <si>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</si>
  <si>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</si>
  <si>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</si>
  <si>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</si>
  <si>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</si>
  <si>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</si>
  <si>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</si>
  <si>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</si>
  <si>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</si>
  <si>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</si>
  <si>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</si>
  <si>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</si>
  <si>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</si>
  <si>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</si>
  <si>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</si>
  <si>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</si>
  <si>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</si>
  <si>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</si>
  <si>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</si>
  <si>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</si>
  <si>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</si>
  <si>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</si>
  <si>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</si>
  <si>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</si>
  <si>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</si>
  <si>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</si>
  <si>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</si>
  <si>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</si>
  <si>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</si>
  <si>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</si>
  <si>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</si>
  <si>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</si>
  <si>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</si>
  <si>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</si>
  <si>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</si>
  <si>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</si>
  <si>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</si>
  <si>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</si>
  <si>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</si>
  <si>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</si>
  <si>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</si>
  <si>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</si>
  <si>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</si>
  <si>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</si>
  <si>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</si>
  <si>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</si>
  <si>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</si>
  <si>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</si>
  <si>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</si>
  <si>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</si>
  <si>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</si>
  <si>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</si>
  <si>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</si>
  <si>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</si>
  <si>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</si>
  <si>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</si>
  <si>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</si>
  <si>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</si>
  <si>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</si>
  <si>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</si>
  <si>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</si>
  <si>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</si>
  <si>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</si>
  <si>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</si>
  <si>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</si>
  <si>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</si>
  <si>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</si>
  <si>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</si>
  <si>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</si>
  <si>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</si>
  <si>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</si>
  <si>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</si>
  <si>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</si>
  <si>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</si>
  <si>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</si>
  <si>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</si>
  <si>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</si>
  <si>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</si>
  <si>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</si>
  <si>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</si>
  <si>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</si>
  <si>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</si>
  <si>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</si>
  <si>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</si>
  <si>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</si>
  <si>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</si>
  <si>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</si>
  <si>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</si>
  <si>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</si>
  <si>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</si>
  <si>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</si>
  <si>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</si>
  <si>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</si>
  <si>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</si>
  <si>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</si>
  <si>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</si>
  <si>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</si>
  <si>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</si>
  <si>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</si>
  <si>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</si>
  <si>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</si>
  <si>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</si>
  <si>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</si>
  <si>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</si>
  <si>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</si>
  <si>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</si>
  <si>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</si>
  <si>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</si>
  <si>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</si>
  <si>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</si>
  <si>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</si>
  <si>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</si>
  <si>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</si>
  <si>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</si>
  <si>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</si>
  <si>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</si>
  <si>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</si>
  <si>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</si>
  <si>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</si>
  <si>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</si>
  <si>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</si>
  <si>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</si>
  <si>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</si>
  <si>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</si>
  <si>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</si>
  <si>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</si>
  <si>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</si>
  <si>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</si>
  <si>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</si>
  <si>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</si>
  <si>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</si>
  <si>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</si>
  <si>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</si>
  <si>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</si>
  <si>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</si>
  <si>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</si>
  <si>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</si>
  <si>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</si>
  <si>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</si>
  <si>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</si>
  <si>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</si>
  <si>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</si>
  <si>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</si>
  <si>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</si>
  <si>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</si>
  <si>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</si>
  <si>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</si>
  <si>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</si>
  <si>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</si>
  <si>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</si>
  <si>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</si>
  <si>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</si>
  <si>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</si>
  <si>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</si>
  <si>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</si>
  <si>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</si>
  <si>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</si>
  <si>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</si>
  <si>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</si>
  <si>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</si>
  <si>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</si>
  <si>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</si>
  <si>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</si>
  <si>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</si>
  <si>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</si>
  <si>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</si>
  <si>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</si>
  <si>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</si>
  <si>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</si>
  <si>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</si>
  <si>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</si>
  <si>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</si>
  <si>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</si>
  <si>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</si>
  <si>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</si>
  <si>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</si>
  <si>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</si>
  <si>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</si>
  <si>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</si>
  <si>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</si>
  <si>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</si>
  <si>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</si>
  <si>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</si>
  <si>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</si>
  <si>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</si>
  <si>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</si>
  <si>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</si>
  <si>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</si>
  <si>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</si>
  <si>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</si>
  <si>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</si>
  <si>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</si>
  <si>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</si>
  <si>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</si>
  <si>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</si>
  <si>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</si>
  <si>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</si>
  <si>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</si>
  <si>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</si>
  <si>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</si>
  <si>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</si>
  <si>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</si>
  <si>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</si>
  <si>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</si>
  <si>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</si>
  <si>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</si>
  <si>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</si>
  <si>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</si>
  <si>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</si>
  <si>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</si>
  <si>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</si>
  <si>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</si>
  <si>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</si>
  <si>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</si>
  <si>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</si>
  <si>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</si>
  <si>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</si>
  <si>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</si>
  <si>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</si>
  <si>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</si>
  <si>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</si>
  <si>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</si>
  <si>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</si>
  <si>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</si>
  <si>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</si>
  <si>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</si>
  <si>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</si>
  <si>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</si>
  <si>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</si>
  <si>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</si>
  <si>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</si>
  <si>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</si>
  <si>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</si>
  <si>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</si>
  <si>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</si>
  <si>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</si>
  <si>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</si>
  <si>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</si>
  <si>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</si>
  <si>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</si>
  <si>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</si>
  <si>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</si>
  <si>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</si>
  <si>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</si>
  <si>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</si>
  <si>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</si>
  <si>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</si>
  <si>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</si>
  <si>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</si>
  <si>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</si>
  <si>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</si>
  <si>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</si>
  <si>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</si>
  <si>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</si>
  <si>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</si>
  <si>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</si>
  <si>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</si>
  <si>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</si>
  <si>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</si>
  <si>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</si>
  <si>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</si>
  <si>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</si>
  <si>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</si>
  <si>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</si>
  <si>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</si>
  <si>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</si>
  <si>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</si>
  <si>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</si>
  <si>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</si>
  <si>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</si>
  <si>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</si>
  <si>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</si>
  <si>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</si>
  <si>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</si>
  <si>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</si>
  <si>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</si>
  <si>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</si>
  <si>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</si>
  <si>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</si>
  <si>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</si>
  <si>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</si>
  <si>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</si>
  <si>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</si>
  <si>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</si>
  <si>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</si>
  <si>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</si>
  <si>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</si>
  <si>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</si>
  <si>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</si>
  <si>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</si>
  <si>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</si>
  <si>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</si>
  <si>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</si>
  <si>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</si>
  <si>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</si>
  <si>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</si>
  <si>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</si>
  <si>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</si>
  <si>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</si>
  <si>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</si>
  <si>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</si>
  <si>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</si>
  <si>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</si>
  <si>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</si>
  <si>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</si>
  <si>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</si>
  <si>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</si>
  <si>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</si>
  <si>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</si>
  <si>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</si>
  <si>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</si>
  <si>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</si>
  <si>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</si>
  <si>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</si>
  <si>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</si>
  <si>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</si>
  <si>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</si>
  <si>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</si>
  <si>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</si>
  <si>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</si>
  <si>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</si>
  <si>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</si>
  <si>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</si>
  <si>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</si>
  <si>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</si>
  <si>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</si>
  <si>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</si>
  <si>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</si>
  <si>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</si>
  <si>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</si>
  <si>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</si>
  <si>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</si>
  <si>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</si>
  <si>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</si>
  <si>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</si>
  <si>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</si>
  <si>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</si>
  <si>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</si>
  <si>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</si>
  <si>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</si>
  <si>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</si>
  <si>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</si>
  <si>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</si>
  <si>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</si>
  <si>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</si>
  <si>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</si>
  <si>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</si>
  <si>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</si>
  <si>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</si>
  <si>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</si>
  <si>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</si>
  <si>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</si>
  <si>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</si>
  <si>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</si>
  <si>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</si>
  <si>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</si>
  <si>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</si>
  <si>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</si>
  <si>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</si>
  <si>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</si>
  <si>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</si>
  <si>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</si>
  <si>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</si>
  <si>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</si>
  <si>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</si>
  <si>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</si>
  <si>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</si>
  <si>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</si>
  <si>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</si>
  <si>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</si>
  <si>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</si>
  <si>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</si>
  <si>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</si>
  <si>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</si>
  <si>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</si>
  <si>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</si>
  <si>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</si>
  <si>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</si>
  <si>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</si>
  <si>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</si>
  <si>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</si>
  <si>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</si>
  <si>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</si>
  <si>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</si>
  <si>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</si>
  <si>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</si>
  <si>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</si>
  <si>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</si>
  <si>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</si>
  <si>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</si>
  <si>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</si>
  <si>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</si>
  <si>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</si>
  <si>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</si>
  <si>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</si>
  <si>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</si>
  <si>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</si>
  <si>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</si>
  <si>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</si>
  <si>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</si>
  <si>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</si>
  <si>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</si>
  <si>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</si>
  <si>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</si>
  <si>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</si>
  <si>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</si>
  <si>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</si>
  <si>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</si>
  <si>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</si>
  <si>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</si>
  <si>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</si>
  <si>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</si>
  <si>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</si>
  <si>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</si>
  <si>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</si>
  <si>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</si>
  <si>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</si>
  <si>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</si>
  <si>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</si>
  <si>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</si>
  <si>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</si>
  <si>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</si>
  <si>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</si>
  <si>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</si>
  <si>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</si>
  <si>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</si>
  <si>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</si>
  <si>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</si>
  <si>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</si>
  <si>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</si>
  <si>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</si>
  <si>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</si>
  <si>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</si>
  <si>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</si>
  <si>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</si>
  <si>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</si>
  <si>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</si>
  <si>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</si>
  <si>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</si>
  <si>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</si>
  <si>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</si>
  <si>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</si>
  <si>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</si>
  <si>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</si>
  <si>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</si>
  <si>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</si>
  <si>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</si>
  <si>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</si>
  <si>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</si>
  <si>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</si>
  <si>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</si>
  <si>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</si>
  <si>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</si>
  <si>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</si>
  <si>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</si>
  <si>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</si>
  <si>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</si>
  <si>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</si>
  <si>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</si>
  <si>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</si>
  <si>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</si>
  <si>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</si>
  <si>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</si>
  <si>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</si>
  <si>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</si>
  <si>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</si>
  <si>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</si>
  <si>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</si>
  <si>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</si>
  <si>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</si>
  <si>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</si>
  <si>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</si>
  <si>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</si>
  <si>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</si>
  <si>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</si>
  <si>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</si>
  <si>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</si>
  <si>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</si>
  <si>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</si>
  <si>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</si>
  <si>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</si>
  <si>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</si>
  <si>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</si>
  <si>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</si>
  <si>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</si>
  <si>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</si>
  <si>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</si>
  <si>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</si>
  <si>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</si>
  <si>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</si>
  <si>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</si>
  <si>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</si>
  <si>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</si>
  <si>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</si>
  <si>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</si>
  <si>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</si>
  <si>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</si>
  <si>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</si>
  <si>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</si>
  <si>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</si>
  <si>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</si>
  <si>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</si>
  <si>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</si>
  <si>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</si>
  <si>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</si>
  <si>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</si>
  <si>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</si>
  <si>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</si>
  <si>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</si>
  <si>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</si>
  <si>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</si>
  <si>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</si>
  <si>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</si>
  <si>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</si>
  <si>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</si>
  <si>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</si>
  <si>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</si>
  <si>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</si>
  <si>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</si>
  <si>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</si>
  <si>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</si>
  <si>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</si>
  <si>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</si>
  <si>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</si>
  <si>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</si>
  <si>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</si>
  <si>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</si>
  <si>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</si>
  <si>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</si>
  <si>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</si>
  <si>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</si>
  <si>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</si>
  <si>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</si>
  <si>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</si>
  <si>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</si>
  <si>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</si>
  <si>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</si>
  <si>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</si>
  <si>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</si>
  <si>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</si>
  <si>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</si>
  <si>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</si>
  <si>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</si>
  <si>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</si>
  <si>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</si>
  <si>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</si>
  <si>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</si>
  <si>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</si>
  <si>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</si>
  <si>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</si>
  <si>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</si>
  <si>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</si>
  <si>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</si>
  <si>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</si>
  <si>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</si>
  <si>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</si>
  <si>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</si>
  <si>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</si>
  <si>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</si>
  <si>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</si>
  <si>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</si>
  <si>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</si>
  <si>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</si>
  <si>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</si>
  <si>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</si>
  <si>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</si>
  <si>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</si>
  <si>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</si>
  <si>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</si>
  <si>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</si>
  <si>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</si>
  <si>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</si>
  <si>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</si>
  <si>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</si>
  <si>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</si>
  <si>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</si>
  <si>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</si>
  <si>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</si>
  <si>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</si>
  <si>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</si>
  <si>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</si>
  <si>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</si>
  <si>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</si>
  <si>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</si>
  <si>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</si>
  <si>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</si>
  <si>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</si>
  <si>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</si>
  <si>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</si>
  <si>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</si>
  <si>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</si>
  <si>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</si>
  <si>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</si>
  <si>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</si>
  <si>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</si>
  <si>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</si>
  <si>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</si>
  <si>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</si>
  <si>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</si>
  <si>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</si>
  <si>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</si>
  <si>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</si>
  <si>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</si>
  <si>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</si>
  <si>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</si>
  <si>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</si>
  <si>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</si>
  <si>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</si>
  <si>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</si>
  <si>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</si>
  <si>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</si>
  <si>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</si>
  <si>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</si>
  <si>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</si>
  <si>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</si>
  <si>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</si>
  <si>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</si>
  <si>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</si>
  <si>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</si>
  <si>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</si>
  <si>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</si>
  <si>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</si>
  <si>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</si>
  <si>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</si>
  <si>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</si>
  <si>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</si>
  <si>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</si>
  <si>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</si>
  <si>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</si>
  <si>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</si>
  <si>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</si>
  <si>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</si>
  <si>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</si>
  <si>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</si>
  <si>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</si>
  <si>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</si>
  <si>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</si>
  <si>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</si>
  <si>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</si>
  <si>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</si>
  <si>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</si>
  <si>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</si>
  <si>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</si>
  <si>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</si>
  <si>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</si>
  <si>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</si>
  <si>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</si>
  <si>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</si>
  <si>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</si>
  <si>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</si>
  <si>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</si>
  <si>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</si>
  <si>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</si>
  <si>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</si>
  <si>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</si>
  <si>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</si>
  <si>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</si>
  <si>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</si>
  <si>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</si>
  <si>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</si>
  <si>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</si>
  <si>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</si>
  <si>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</si>
  <si>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</si>
  <si>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</si>
  <si>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</si>
  <si>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</si>
  <si>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</si>
  <si>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</si>
  <si>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</si>
  <si>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</si>
  <si>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</si>
  <si>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</si>
  <si>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</si>
  <si>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</si>
  <si>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</si>
  <si>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</si>
  <si>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</si>
  <si>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</si>
  <si>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</si>
  <si>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</si>
  <si>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</si>
  <si>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</si>
  <si>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</si>
  <si>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</si>
  <si>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</si>
  <si>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</si>
  <si>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</si>
  <si>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</si>
  <si>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</si>
  <si>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</si>
  <si>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</si>
  <si>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</si>
  <si>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</si>
  <si>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</si>
  <si>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</si>
  <si>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</si>
  <si>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</si>
  <si>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</si>
  <si>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</si>
  <si>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</si>
  <si>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</si>
  <si>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</si>
  <si>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</si>
  <si>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</si>
  <si>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</si>
  <si>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</si>
  <si>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</si>
  <si>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</si>
  <si>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</si>
  <si>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</si>
  <si>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</si>
  <si>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</si>
  <si>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</si>
  <si>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</si>
  <si>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</si>
  <si>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</si>
  <si>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</si>
  <si>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</si>
  <si>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</si>
  <si>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</si>
  <si>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</si>
  <si>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</si>
  <si>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</si>
  <si>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</si>
  <si>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</si>
  <si>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</si>
  <si>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</si>
  <si>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</si>
  <si>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</si>
  <si>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</si>
  <si>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</si>
  <si>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</si>
  <si>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</si>
  <si>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</si>
  <si>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</si>
  <si>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</si>
  <si>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</si>
  <si>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</si>
  <si>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</si>
  <si>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</si>
  <si>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</si>
  <si>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</si>
  <si>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</si>
  <si>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</si>
  <si>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</si>
  <si>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</si>
  <si>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</si>
  <si>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</si>
  <si>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</si>
  <si>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</si>
  <si>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</si>
  <si>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</si>
  <si>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</si>
  <si>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</si>
  <si>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</si>
  <si>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</si>
  <si>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</si>
  <si>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</si>
  <si>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</si>
  <si>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</si>
  <si>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</si>
  <si>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</si>
  <si>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</si>
  <si>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</si>
  <si>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</si>
  <si>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</si>
  <si>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</si>
  <si>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</si>
  <si>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</si>
  <si>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</si>
  <si>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</si>
  <si>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</si>
  <si>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</si>
  <si>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</si>
  <si>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</si>
  <si>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</si>
  <si>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</si>
  <si>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</si>
  <si>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</si>
  <si>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</si>
  <si>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</si>
  <si>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</si>
  <si>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</si>
  <si>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</si>
  <si>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</si>
  <si>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</si>
  <si>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</si>
  <si>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</si>
  <si>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</si>
  <si>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</si>
  <si>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</si>
  <si>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</si>
  <si>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</si>
  <si>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</si>
  <si>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</si>
  <si>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</si>
  <si>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</si>
  <si>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</si>
  <si>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</si>
  <si>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</si>
  <si>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</si>
  <si>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</si>
  <si>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</si>
  <si>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</si>
  <si>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</si>
  <si>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</si>
  <si>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</si>
  <si>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</si>
  <si>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</si>
  <si>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</si>
  <si>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</si>
  <si>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</si>
  <si>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</si>
  <si>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</si>
  <si>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</si>
  <si>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</si>
  <si>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</si>
  <si>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</si>
  <si>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</si>
  <si>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</si>
  <si>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</si>
  <si>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</si>
  <si>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</si>
  <si>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</si>
  <si>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</si>
  <si>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</si>
  <si>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</si>
  <si>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</si>
  <si>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</si>
  <si>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</si>
  <si>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</si>
  <si>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</si>
  <si>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</si>
  <si>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</si>
  <si>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</si>
  <si>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</si>
  <si>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</si>
  <si>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</si>
  <si>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</si>
  <si>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</si>
  <si>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</si>
  <si>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</si>
  <si>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</si>
  <si>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</si>
  <si>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</si>
  <si>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</si>
  <si>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</si>
  <si>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</si>
  <si>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</si>
  <si>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</si>
  <si>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</si>
  <si>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</si>
  <si>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</si>
  <si>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</si>
  <si>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</si>
  <si>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</si>
  <si>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</si>
  <si>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</si>
  <si>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</si>
  <si>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</si>
  <si>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</si>
  <si>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</si>
  <si>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</si>
  <si>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</si>
  <si>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</si>
  <si>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</si>
  <si>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</si>
  <si>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</si>
  <si>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</si>
  <si>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</si>
  <si>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</si>
  <si>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</si>
  <si>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</si>
  <si>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</si>
  <si>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</si>
  <si>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</si>
  <si>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</si>
  <si>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</si>
  <si>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</si>
  <si>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</si>
  <si>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</si>
  <si>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</si>
  <si>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</si>
  <si>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</si>
  <si>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</si>
  <si>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</si>
  <si>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</si>
  <si>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</si>
  <si>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</si>
  <si>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</si>
  <si>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</si>
  <si>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</si>
  <si>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</si>
  <si>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</si>
  <si>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</si>
  <si>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</si>
  <si>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</si>
  <si>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</si>
  <si>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</si>
  <si>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</si>
  <si>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</si>
  <si>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</si>
  <si>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</si>
  <si>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</si>
  <si>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</si>
  <si>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</si>
  <si>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</si>
  <si>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</si>
  <si>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</si>
  <si>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</si>
  <si>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</si>
  <si>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</si>
  <si>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</si>
  <si>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</si>
  <si>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</si>
  <si>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</si>
  <si>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</si>
  <si>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</si>
  <si>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</si>
  <si>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</si>
  <si>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</si>
  <si>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</si>
  <si>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</si>
  <si>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</si>
  <si>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</si>
  <si>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</si>
  <si>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</si>
  <si>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</si>
  <si>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</si>
  <si>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</si>
  <si>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</si>
  <si>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</si>
  <si>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</si>
  <si>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</si>
  <si>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</si>
  <si>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</si>
  <si>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</si>
  <si>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</si>
  <si>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</si>
  <si>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</si>
  <si>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</si>
  <si>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</si>
  <si>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</si>
  <si>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</si>
  <si>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</si>
  <si>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</si>
  <si>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</si>
  <si>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</si>
  <si>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</si>
  <si>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</si>
  <si>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</si>
  <si>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</si>
  <si>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</si>
  <si>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</si>
  <si>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</si>
  <si>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</si>
  <si>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</si>
  <si>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</si>
  <si>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</si>
  <si>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</si>
  <si>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</si>
  <si>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</si>
  <si>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</si>
  <si>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</si>
  <si>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</si>
  <si>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</si>
  <si>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</si>
  <si>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</si>
  <si>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</si>
  <si>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</si>
  <si>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</si>
  <si>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</si>
  <si>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</si>
  <si>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</si>
  <si>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</si>
  <si>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</si>
  <si>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</si>
  <si>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</si>
  <si>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</si>
  <si>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</si>
  <si>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</si>
  <si>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</si>
  <si>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</si>
  <si>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</si>
  <si>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</si>
  <si>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</si>
  <si>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</si>
  <si>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</si>
  <si>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</si>
  <si>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</si>
  <si>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</si>
  <si>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</si>
  <si>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</si>
  <si>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</si>
  <si>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</si>
  <si>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</si>
  <si>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</si>
  <si>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</si>
  <si>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</si>
  <si>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</si>
  <si>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</si>
  <si>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</si>
  <si>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</si>
  <si>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</si>
  <si>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</si>
  <si>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</si>
  <si>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</si>
  <si>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</si>
  <si>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</si>
  <si>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</si>
  <si>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</si>
  <si>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</si>
  <si>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</si>
  <si>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</si>
  <si>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</si>
  <si>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</si>
  <si>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</si>
  <si>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</si>
  <si>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</si>
  <si>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</si>
  <si>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</si>
  <si>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</si>
  <si>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</si>
  <si>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</si>
  <si>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</si>
  <si>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</si>
  <si>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</si>
  <si>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</si>
  <si>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</si>
  <si>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</si>
  <si>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</si>
  <si>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</si>
  <si>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</si>
  <si>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</si>
  <si>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</si>
  <si>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</si>
  <si>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</si>
  <si>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</si>
  <si>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</si>
  <si>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</si>
  <si>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</si>
  <si>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</si>
  <si>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</si>
  <si>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</si>
  <si>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</si>
  <si>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</si>
  <si>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</si>
  <si>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</si>
  <si>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</si>
  <si>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</si>
  <si>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</si>
  <si>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</si>
  <si>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</si>
  <si>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</si>
  <si>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</si>
  <si>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</si>
  <si>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</si>
  <si>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</si>
  <si>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</si>
  <si>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</si>
  <si>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</si>
  <si>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</si>
  <si>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</si>
  <si>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</si>
  <si>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</si>
  <si>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</si>
  <si>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</si>
  <si>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</si>
  <si>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</si>
  <si>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</si>
  <si>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</si>
  <si>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</si>
  <si>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</si>
  <si>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</si>
  <si>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</si>
  <si>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</si>
  <si>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</si>
  <si>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</si>
  <si>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</si>
  <si>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</si>
  <si>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</si>
  <si>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</si>
  <si>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</si>
  <si>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</si>
  <si>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</si>
  <si>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</si>
  <si>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</si>
  <si>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</si>
  <si>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</si>
  <si>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</si>
  <si>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</si>
  <si>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</si>
  <si>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</si>
  <si>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</si>
  <si>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</si>
  <si>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</si>
  <si>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</si>
  <si>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</si>
  <si>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</si>
  <si>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</si>
  <si>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</si>
  <si>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</si>
  <si>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</si>
  <si>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</si>
  <si>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</si>
  <si>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</si>
  <si>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</si>
  <si>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</si>
  <si>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</si>
  <si>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</si>
  <si>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</si>
  <si>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</si>
  <si>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</si>
  <si>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</si>
  <si>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</si>
  <si>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</si>
  <si>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</si>
  <si>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</si>
  <si>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</si>
  <si>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</si>
  <si>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</si>
  <si>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</si>
  <si>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</si>
  <si>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</si>
  <si>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</si>
  <si>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</si>
  <si>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</si>
  <si>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</si>
  <si>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</si>
  <si>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</si>
  <si>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</si>
  <si>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</si>
  <si>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</si>
  <si>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</si>
  <si>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</si>
  <si>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</si>
  <si>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</si>
  <si>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</si>
  <si>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</si>
  <si>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</si>
  <si>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</si>
  <si>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</si>
  <si>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</si>
  <si>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</si>
  <si>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</si>
  <si>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</si>
  <si>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</si>
  <si>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</si>
  <si>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</si>
  <si>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</si>
  <si>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</si>
  <si>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</si>
  <si>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</si>
  <si>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</si>
  <si>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</si>
  <si>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</si>
  <si>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</si>
  <si>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</si>
  <si>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</si>
  <si>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</si>
  <si>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</si>
  <si>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</si>
  <si>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</si>
  <si>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</si>
  <si>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</si>
  <si>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</si>
  <si>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</si>
  <si>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</si>
  <si>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</si>
  <si>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</si>
  <si>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</si>
  <si>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</si>
  <si>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</si>
  <si>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</si>
  <si>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</si>
  <si>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</si>
  <si>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</si>
  <si>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</si>
  <si>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</si>
  <si>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</si>
  <si>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</si>
  <si>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</si>
  <si>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</si>
  <si>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</si>
  <si>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</si>
  <si>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</si>
  <si>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</si>
  <si>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</si>
  <si>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</si>
  <si>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</si>
  <si>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</si>
  <si>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</si>
  <si>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</si>
  <si>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</si>
  <si>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</si>
  <si>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</si>
  <si>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</si>
  <si>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</si>
  <si>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</si>
  <si>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</si>
  <si>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</si>
  <si>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</si>
  <si>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</si>
  <si>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</si>
  <si>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</si>
  <si>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</si>
  <si>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</si>
  <si>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</si>
  <si>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</si>
  <si>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</si>
  <si>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</si>
  <si>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</si>
  <si>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</si>
  <si>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</si>
  <si>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</si>
  <si>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</si>
  <si>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</si>
  <si>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</si>
  <si>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</si>
  <si>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</si>
  <si>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</si>
  <si>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</si>
  <si>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</si>
  <si>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</si>
  <si>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</si>
  <si>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</si>
  <si>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</si>
  <si>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</si>
  <si>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</si>
  <si>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</si>
  <si>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</si>
  <si>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</si>
  <si>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</si>
  <si>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</si>
  <si>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</si>
  <si>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</si>
  <si>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</si>
  <si>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</si>
  <si>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</si>
  <si>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</si>
  <si>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</si>
  <si>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</si>
  <si>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</si>
  <si>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</si>
  <si>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</si>
  <si>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</si>
  <si>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</si>
  <si>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</si>
  <si>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</si>
  <si>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</si>
  <si>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</si>
  <si>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</si>
  <si>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</si>
  <si>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</si>
  <si>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</si>
  <si>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</si>
  <si>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</si>
  <si>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</si>
  <si>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</si>
  <si>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</si>
  <si>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</si>
  <si>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</si>
  <si>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</si>
  <si>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</si>
  <si>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</si>
  <si>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</si>
  <si>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</si>
  <si>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</si>
  <si>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</si>
  <si>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</si>
  <si>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</si>
  <si>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</si>
  <si>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</si>
  <si>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</si>
  <si>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</si>
  <si>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</si>
  <si>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</si>
  <si>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</si>
  <si>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</si>
  <si>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</si>
  <si>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</si>
  <si>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</si>
  <si>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</si>
  <si>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</si>
  <si>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</si>
  <si>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</si>
  <si>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</si>
  <si>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</si>
  <si>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</si>
  <si>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</si>
  <si>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</si>
  <si>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</si>
  <si>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</si>
  <si>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</si>
  <si>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</si>
  <si>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</si>
  <si>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</si>
  <si>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</si>
  <si>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</si>
  <si>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</si>
  <si>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</si>
  <si>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</si>
  <si>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</si>
  <si>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</si>
  <si>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</si>
  <si>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</si>
  <si>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</si>
  <si>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</si>
  <si>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</si>
  <si>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</si>
  <si>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</si>
  <si>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</si>
  <si>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</si>
  <si>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</si>
  <si>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</si>
  <si>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</si>
  <si>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</si>
  <si>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</si>
  <si>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</si>
  <si>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</si>
  <si>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</si>
  <si>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</si>
  <si>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</si>
  <si>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</si>
  <si>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</si>
  <si>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</si>
  <si>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</si>
  <si>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</si>
  <si>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</si>
  <si>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</si>
  <si>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</si>
  <si>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</si>
  <si>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</si>
  <si>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</si>
  <si>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</si>
  <si>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</si>
  <si>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</si>
  <si>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</si>
  <si>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</si>
  <si>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</si>
  <si>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</si>
  <si>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</si>
  <si>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</si>
  <si>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</si>
  <si>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</si>
  <si>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</si>
  <si>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</si>
  <si>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</si>
  <si>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</si>
  <si>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</si>
  <si>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</si>
  <si>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</si>
  <si>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</si>
  <si>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</si>
  <si>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</si>
  <si>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</si>
  <si>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</si>
  <si>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</si>
  <si>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</si>
  <si>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</si>
  <si>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</si>
  <si>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</si>
  <si>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</si>
  <si>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</si>
  <si>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</si>
  <si>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</si>
  <si>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</si>
  <si>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</si>
  <si>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</si>
  <si>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</si>
  <si>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</si>
  <si>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</si>
  <si>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</si>
  <si>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</si>
  <si>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</si>
  <si>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</si>
  <si>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</si>
  <si>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</si>
  <si>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</si>
  <si>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</si>
  <si>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</si>
  <si>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</si>
  <si>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</si>
  <si>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</si>
  <si>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</si>
  <si>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</si>
  <si>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</si>
  <si>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</si>
  <si>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</si>
  <si>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</si>
  <si>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</si>
  <si>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</si>
  <si>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</si>
  <si>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</si>
  <si>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</si>
  <si>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</si>
  <si>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</si>
  <si>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</si>
  <si>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</si>
  <si>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</si>
  <si>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</si>
  <si>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</si>
  <si>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</si>
  <si>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</si>
  <si>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</si>
  <si>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</si>
  <si>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</si>
  <si>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</si>
  <si>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</si>
  <si>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</si>
  <si>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</si>
  <si>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</si>
  <si>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</si>
  <si>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</si>
  <si>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</si>
  <si>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</si>
  <si>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</si>
  <si>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</si>
  <si>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</si>
  <si>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</si>
  <si>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</si>
  <si>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</si>
  <si>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</si>
  <si>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</si>
  <si>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</si>
  <si>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</si>
  <si>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</si>
  <si>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</si>
  <si>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</si>
  <si>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</si>
  <si>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</si>
  <si>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</si>
  <si>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</si>
  <si>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</si>
  <si>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</si>
  <si>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</si>
  <si>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</si>
  <si>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</si>
  <si>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</si>
  <si>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</si>
  <si>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</si>
  <si>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</si>
  <si>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</si>
  <si>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</si>
  <si>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</si>
  <si>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</si>
  <si>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</si>
  <si>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</si>
  <si>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</si>
  <si>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</si>
  <si>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</si>
  <si>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</si>
  <si>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</si>
  <si>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</si>
  <si>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</si>
  <si>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</si>
  <si>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</si>
  <si>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</si>
  <si>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</si>
  <si>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</si>
  <si>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</si>
  <si>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</si>
  <si>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</si>
  <si>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</si>
  <si>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</si>
  <si>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</si>
  <si>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</si>
  <si>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</si>
  <si>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</si>
  <si>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</si>
  <si>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</si>
  <si>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</si>
  <si>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</si>
  <si>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</si>
  <si>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</si>
  <si>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</si>
  <si>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</si>
  <si>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</si>
  <si>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</si>
  <si>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</si>
  <si>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</si>
  <si>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</si>
  <si>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</si>
  <si>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</si>
  <si>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</si>
  <si>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</si>
  <si>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</si>
  <si>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</si>
  <si>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</si>
  <si>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</si>
  <si>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</si>
  <si>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</si>
  <si>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</si>
  <si>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</si>
  <si>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</si>
  <si>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</si>
  <si>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</si>
  <si>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</si>
  <si>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</si>
  <si>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</si>
  <si>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</si>
  <si>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</si>
  <si>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</si>
  <si>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</si>
  <si>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</si>
  <si>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</si>
  <si>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</si>
  <si>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</si>
  <si>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</si>
  <si>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</si>
  <si>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</si>
  <si>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</si>
  <si>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</si>
  <si>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</si>
  <si>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</si>
  <si>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</si>
  <si>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</si>
  <si>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</si>
  <si>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</si>
  <si>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</si>
  <si>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</si>
  <si>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</si>
  <si>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</si>
  <si>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</si>
  <si>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</si>
  <si>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</si>
  <si>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</si>
  <si>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</si>
  <si>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</si>
  <si>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</si>
  <si>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</si>
  <si>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</si>
  <si>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</si>
  <si>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</si>
  <si>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</si>
  <si>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</si>
  <si>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</si>
  <si>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</si>
  <si>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</si>
  <si>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</si>
  <si>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</si>
  <si>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</si>
  <si>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</si>
  <si>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</si>
  <si>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</si>
  <si>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</si>
  <si>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</si>
  <si>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</si>
  <si>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</si>
  <si>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</si>
  <si>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</si>
  <si>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</si>
  <si>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</si>
  <si>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</si>
  <si>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</si>
  <si>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</si>
  <si>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</si>
  <si>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</si>
  <si>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</si>
  <si>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</si>
  <si>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</si>
  <si>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</si>
  <si>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</si>
  <si>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</si>
  <si>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</si>
  <si>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</si>
  <si>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</si>
  <si>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</si>
  <si>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</si>
  <si>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</si>
  <si>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</si>
  <si>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</si>
  <si>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</si>
  <si>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</si>
  <si>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</si>
  <si>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</si>
  <si>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</si>
  <si>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</si>
  <si>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</si>
  <si>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</si>
  <si>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</si>
  <si>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</si>
  <si>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</si>
  <si>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</si>
  <si>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</si>
  <si>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</si>
  <si>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</si>
  <si>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</si>
  <si>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</si>
  <si>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</si>
  <si>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</si>
  <si>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</si>
  <si>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</si>
  <si>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</si>
  <si>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</si>
  <si>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</si>
  <si>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</si>
  <si>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</si>
  <si>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</si>
  <si>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</si>
  <si>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</si>
  <si>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</si>
  <si>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</si>
  <si>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</si>
  <si>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</si>
  <si>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</si>
  <si>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</si>
  <si>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</si>
  <si>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</si>
  <si>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</si>
  <si>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</si>
  <si>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</si>
  <si>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</si>
  <si>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</si>
  <si>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</si>
  <si>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</si>
  <si>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</si>
  <si>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</si>
  <si>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</si>
  <si>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</si>
  <si>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</si>
  <si>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</si>
  <si>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</si>
  <si>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</si>
  <si>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</si>
  <si>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</si>
  <si>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</si>
  <si>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</si>
  <si>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</si>
  <si>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</si>
  <si>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</si>
  <si>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</si>
  <si>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</si>
  <si>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</si>
  <si>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</si>
  <si>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</si>
  <si>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</si>
  <si>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</si>
  <si>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</si>
  <si>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</si>
  <si>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</si>
  <si>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</si>
  <si>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</si>
  <si>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</si>
  <si>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</si>
  <si>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</si>
  <si>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</si>
  <si>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</si>
  <si>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</si>
  <si>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</si>
  <si>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</si>
  <si>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</si>
  <si>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</si>
  <si>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</si>
  <si>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</si>
  <si>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</si>
  <si>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</si>
  <si>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</si>
  <si>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</si>
  <si>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</si>
  <si>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</si>
  <si>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</si>
  <si>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</si>
  <si>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</si>
  <si>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</si>
  <si>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</si>
  <si>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</si>
  <si>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</si>
  <si>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</si>
  <si>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</si>
  <si>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</si>
  <si>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</si>
  <si>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</si>
  <si>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</si>
  <si>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</si>
  <si>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</si>
  <si>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</si>
  <si>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</si>
  <si>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</si>
  <si>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</si>
  <si>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</si>
  <si>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</si>
  <si>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</si>
  <si>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</si>
  <si>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</si>
  <si>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</si>
  <si>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</si>
  <si>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</si>
  <si>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</si>
  <si>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</si>
  <si>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</si>
  <si>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</si>
  <si>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</si>
  <si>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</si>
  <si>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</si>
  <si>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</si>
  <si>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</si>
  <si>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</si>
  <si>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</si>
  <si>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</si>
  <si>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</si>
  <si>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</si>
  <si>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</si>
  <si>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Lauterbach &amp; Amen, LLP</t>
  </si>
  <si>
    <t>Matt Beran</t>
  </si>
  <si>
    <t>668 N. River Road</t>
  </si>
  <si>
    <t>Naperville</t>
  </si>
  <si>
    <t>IL</t>
  </si>
  <si>
    <t>X</t>
  </si>
  <si>
    <t>KANE</t>
  </si>
  <si>
    <t>Kaneland CUSD 302</t>
  </si>
  <si>
    <t>47W326 KESLINGER ROAD</t>
  </si>
  <si>
    <t>MAPLE PARK</t>
  </si>
  <si>
    <t>10161@kaneland.org</t>
  </si>
  <si>
    <t>DR. TODD LEDEN</t>
  </si>
  <si>
    <t>TODD.LEDEN@KANELAND.ORG</t>
  </si>
  <si>
    <t>630-365-5100</t>
  </si>
  <si>
    <t>630-365-8421</t>
  </si>
  <si>
    <t xml:space="preserve">ED - Assessments - Other
</t>
  </si>
  <si>
    <t xml:space="preserve">ALLOFE SOLUTIONS
</t>
  </si>
  <si>
    <t xml:space="preserve">ED - Instructional - Other
</t>
  </si>
  <si>
    <t xml:space="preserve">CANON FINANCIAL SERVICES INC
</t>
  </si>
  <si>
    <t xml:space="preserve">ED - Support Srvcs - Other
</t>
  </si>
  <si>
    <t xml:space="preserve">GAGGLE NET,  INC
</t>
  </si>
  <si>
    <t xml:space="preserve">ED - Other District or Governmental Units - Other
</t>
  </si>
  <si>
    <t xml:space="preserve">MID-VALLEY SPEC EDUC COOPERATIVE
</t>
  </si>
  <si>
    <t xml:space="preserve">NORTHWESTERN IL ASSOCIATION
</t>
  </si>
  <si>
    <t xml:space="preserve">OTTOSEN, BRITZ, KELLY  et al
</t>
  </si>
  <si>
    <t xml:space="preserve">PRAIRIE STATE INSUR COOP  (PSIC)
</t>
  </si>
  <si>
    <t xml:space="preserve">SENTINEL TECHNOLOGIES, INC
</t>
  </si>
  <si>
    <t xml:space="preserve">SIKICH,  LLP
</t>
  </si>
  <si>
    <t xml:space="preserve">TCI
</t>
  </si>
  <si>
    <t xml:space="preserve">TYLER TECHNOLOGIES,  INC
</t>
  </si>
  <si>
    <t xml:space="preserve">O &amp; M - Support Srvcs - Other
</t>
  </si>
  <si>
    <t xml:space="preserve">CALL ONE
</t>
  </si>
  <si>
    <t xml:space="preserve">ELEMENTAL SOLUTIONS,  LLC
</t>
  </si>
  <si>
    <t xml:space="preserve">F.E. MORAN INC FIRE PROTECTION
</t>
  </si>
  <si>
    <t xml:space="preserve">GCA SERVICES GROUP
</t>
  </si>
  <si>
    <t xml:space="preserve">KARD PROTECTION GROUP, INC
</t>
  </si>
  <si>
    <t xml:space="preserve">KONE, INC
</t>
  </si>
  <si>
    <t xml:space="preserve">MAPLE PARK TRUCKING
</t>
  </si>
  <si>
    <t xml:space="preserve">MECHANICAL,  INC
</t>
  </si>
  <si>
    <t xml:space="preserve">NORTHERN IL UNIVERSITY
</t>
  </si>
  <si>
    <t xml:space="preserve">VERIZON WIRELESS
</t>
  </si>
  <si>
    <t xml:space="preserve">VILLAGE OF ELBURN
</t>
  </si>
  <si>
    <t>O &amp; M - Support Srvcs - Other</t>
  </si>
  <si>
    <t>20-2000-300</t>
  </si>
  <si>
    <t xml:space="preserve">
WOLD RUCK PATE
</t>
  </si>
  <si>
    <t xml:space="preserve">TRANSP - Support Srvcs - Other
</t>
  </si>
  <si>
    <t xml:space="preserve">FIRST STUDENT
</t>
  </si>
  <si>
    <t xml:space="preserve">ILLINOIS CENTRAL SCHOOL BUS
</t>
  </si>
  <si>
    <t xml:space="preserve">SPARE WHEELS TRANSPORT  INC
</t>
  </si>
  <si>
    <t>10-2000-300</t>
  </si>
  <si>
    <t>10-1000-300</t>
  </si>
  <si>
    <t>10-2000-320</t>
  </si>
  <si>
    <t>10-4000-300</t>
  </si>
  <si>
    <t>40-2000-300</t>
  </si>
  <si>
    <t>ED - Instructional - Other</t>
  </si>
  <si>
    <t>CORE ACADEMY</t>
  </si>
  <si>
    <t>CHANGE ACADEMY LAKE OF THE OZARKS</t>
  </si>
  <si>
    <t>SEAL SOUTH INC</t>
  </si>
  <si>
    <t>CHG ALTERNATIVE EDUCATION INC</t>
  </si>
  <si>
    <t>TURNING POINTE AUTISM FOUNDATION</t>
  </si>
  <si>
    <t>MID VALLEY SPEC EDUC JOINT AGREEMENT</t>
  </si>
  <si>
    <t>HAMILTON ACADEMY</t>
  </si>
  <si>
    <t>CAMELOT EDUCATION</t>
  </si>
  <si>
    <t>SUMMIT SCHOOL INC</t>
  </si>
  <si>
    <t>GIANT STEPS</t>
  </si>
  <si>
    <t>GLEN OAKS THERAPEUTIC DAY SCHOOL</t>
  </si>
  <si>
    <t>PARKLAND PREPARATORY ACADEMY INC</t>
  </si>
  <si>
    <t>MARKLUND</t>
  </si>
  <si>
    <t>CLARE WOODS ACADEMY</t>
  </si>
  <si>
    <t>UHS OF PROVO CANYON SCHOOL</t>
  </si>
  <si>
    <t>x</t>
  </si>
  <si>
    <t>General Obligation Bonds, Series 2009A</t>
  </si>
  <si>
    <t>General Obligation Refunding Bonds, Series 2009D (BAB)</t>
  </si>
  <si>
    <t>General Obligation Refunding Bonds, Series 2015A</t>
  </si>
  <si>
    <t>General Obligation Refunding Bonds, Series 2015B</t>
  </si>
  <si>
    <t>General Obligation Refunding Bonds, Series 2016</t>
  </si>
  <si>
    <t>GO Capital Appreciation Bonds, Series 2004</t>
  </si>
  <si>
    <t>GO Capital Appreciation Bonds, Series 2009B</t>
  </si>
  <si>
    <t>GO Capital Appreciation Bonds, Series 2009C</t>
  </si>
  <si>
    <t>Debt Certificates, Series 2009</t>
  </si>
  <si>
    <t>Short-Term Long-Term Debt 24 - Additons for Capital Appreciation of Interest</t>
  </si>
  <si>
    <t>Debt Certificates</t>
  </si>
  <si>
    <t>Expenditures 15-22 - Fund 20, Other Support Services - Insurnace Coop Fees $10,458; Workers Comp Ins $32,030; $Special Mulit Peril Ins $23,5780; Ins Loss Fund $19,715; Umbrella Excess Liab Ins $1,496</t>
  </si>
  <si>
    <t>Revenues 9-14 - Fund 20, Other Local Revenues (20.1999) - Indirect Cafeteria reimbursements $50,603.63; Other $1,085; Parking Stickers $19,613; Land Cash Revenue $37,836</t>
  </si>
  <si>
    <t>Expenditures 15-22 - Fund 30, Other - Admin Fees $5,347</t>
  </si>
  <si>
    <t>Revenues 9-14 - Fund 20, Other Local Revenues (40.1999) - Other Misc. $74</t>
  </si>
  <si>
    <t>Revenues 9-14 - Fund 10, Other District/School Activities - Fusion/IMSA Program $5,600; Pupil Activity Register $3,375</t>
  </si>
  <si>
    <t>Revenues 9-14 - Fund 10, Account 3999 - Other State Revenues $6,189</t>
  </si>
  <si>
    <t>N/A</t>
  </si>
  <si>
    <t>Prarie State Insurance Cooperative (PSIC)</t>
  </si>
  <si>
    <t>Illinois School District Liquid Asset Fund (ISDLAF)</t>
  </si>
  <si>
    <t>Kane County Human Resources Consortium (KCHRC)</t>
  </si>
  <si>
    <t>Mid-Valley Special Education Cooperative (MVSEC)</t>
  </si>
  <si>
    <t>Educational and Institutional Cooperative Purchasing (E&amp;I)</t>
  </si>
  <si>
    <t>Fox Valley Career Center</t>
  </si>
  <si>
    <t>Valley Education for Employment System (VALEES)</t>
  </si>
  <si>
    <t>Northwestern Illinois Association Regional SPED Coop (NIA)</t>
  </si>
  <si>
    <t>36-4133681</t>
  </si>
  <si>
    <t>mberan@lauterbachamen.com</t>
  </si>
  <si>
    <t>065-033233</t>
  </si>
  <si>
    <t>US DEPARTMENT OF AGRICULTURE</t>
  </si>
  <si>
    <t>Passed Through the Illinois State Board of Education</t>
  </si>
  <si>
    <t>Child Nutrition Center</t>
  </si>
  <si>
    <t>2017-4210</t>
  </si>
  <si>
    <t>2018-4210</t>
  </si>
  <si>
    <t>2017-4215</t>
  </si>
  <si>
    <t>2018-4215</t>
  </si>
  <si>
    <t>Total Child Nutrition Cluster</t>
  </si>
  <si>
    <t>TOTAL US DEPARTMENT OF AGRICULTURE</t>
  </si>
  <si>
    <t>US DEPARTMENT OF EDUCATION</t>
  </si>
  <si>
    <t>2017-4300</t>
  </si>
  <si>
    <t>2018-4300</t>
  </si>
  <si>
    <t>Title III - Language Instruction Program - Limited English (LIPLEP)</t>
  </si>
  <si>
    <t>2017-4909</t>
  </si>
  <si>
    <t>84.365A</t>
  </si>
  <si>
    <t>84.010A</t>
  </si>
  <si>
    <t>84.367A</t>
  </si>
  <si>
    <t>2017-4932</t>
  </si>
  <si>
    <t>2018-4932</t>
  </si>
  <si>
    <t>Total Passed Through the Illinois State Board of Education</t>
  </si>
  <si>
    <t>Special Education Cluster (IDEA)</t>
  </si>
  <si>
    <t>IDEA - Room &amp; Board (M)</t>
  </si>
  <si>
    <t>84.027A</t>
  </si>
  <si>
    <t>2017-4625</t>
  </si>
  <si>
    <t>2018-4625</t>
  </si>
  <si>
    <t>US DEPARTMENT OF EDUCATION (Continued)</t>
  </si>
  <si>
    <t>Passed Through the Mid-Valley Special Education Cooperative</t>
  </si>
  <si>
    <t>Special Education Cluster (IDEA) (Continued)</t>
  </si>
  <si>
    <t>IDEA - Preschool Flow-Through (M)</t>
  </si>
  <si>
    <t>84.173A</t>
  </si>
  <si>
    <t>2018-4600</t>
  </si>
  <si>
    <t>IDEA - Flow-Through (M)</t>
  </si>
  <si>
    <t>2018-4620</t>
  </si>
  <si>
    <t>2017-4600</t>
  </si>
  <si>
    <t>2017-4620</t>
  </si>
  <si>
    <t>Total Passed Through the Mid-Valley Special Education Cooperative</t>
  </si>
  <si>
    <t>Total Special Education Cluster (IDEA)</t>
  </si>
  <si>
    <t>Passed Through the Valley Education for Employment System</t>
  </si>
  <si>
    <t>CTE - Perkins - Secondary</t>
  </si>
  <si>
    <t>84.048A</t>
  </si>
  <si>
    <t>2017-4745</t>
  </si>
  <si>
    <t>2018-4745</t>
  </si>
  <si>
    <t>TOTAL US DEPARTMENT OF EDUCATION</t>
  </si>
  <si>
    <t>US DEPARTMENT OF HEALTH AND HUMAN SERVICES</t>
  </si>
  <si>
    <t>Passed Through the Illinois Department of Healthcare and Family Services</t>
  </si>
  <si>
    <t>Medical Assistance Program</t>
  </si>
  <si>
    <t>2017-4991</t>
  </si>
  <si>
    <t>2018-4991</t>
  </si>
  <si>
    <t>TOTAL US DEPARTMENT OF HEALTH AND HUMAN SERVICES</t>
  </si>
  <si>
    <t>TOTAL FEDERAL FINANCIAL ASSISTANCE</t>
  </si>
  <si>
    <t>Build America Bond Interest Rebate</t>
  </si>
  <si>
    <t>Revenues 9-14 - Fund 10, Account 4999 - Federal Restitution $34</t>
  </si>
  <si>
    <t>Federal Restituion Payment</t>
  </si>
  <si>
    <t>Unmodified</t>
  </si>
  <si>
    <t>Special Education - IDEA Flowthrough (IDEA Cluster)</t>
  </si>
  <si>
    <t>Special Education - IDEA Preschool (IDEA Cluster)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</si>
</sst>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name val="Calibri"/>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4" fillId="0" borderId="158" xfId="17" applyBorder="1" applyAlignment="1" applyProtection="1">
      <alignment horizontal="left" vertical="top"/>
      <protection locked="0"/>
    </xf>
    <xf numFmtId="0" fontId="4" fillId="0" borderId="158" xfId="17" applyBorder="1" applyAlignment="1" applyProtection="1">
      <alignment vertical="top" wrapText="1"/>
      <protection locked="0"/>
    </xf>
    <xf numFmtId="3" fontId="59" fillId="0" borderId="22" xfId="3" applyNumberFormat="1" applyFont="1" applyBorder="1" applyAlignment="1" applyProtection="1">
      <alignment horizontal="left" vertical="center" wrapText="1" indent="1"/>
      <protection locked="0"/>
    </xf>
    <xf numFmtId="3" fontId="135"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3" fontId="59" fillId="0" borderId="22" xfId="3" applyNumberFormat="1" applyFont="1" applyBorder="1" applyAlignment="1" applyProtection="1">
      <alignment horizontal="left" vertical="center" wrapText="1" indent="3"/>
      <protection locked="0"/>
    </xf>
    <xf numFmtId="3" fontId="61" fillId="0" borderId="22" xfId="3" applyNumberFormat="1" applyFont="1" applyBorder="1" applyAlignment="1" applyProtection="1">
      <alignment horizontal="left" vertical="center" wrapText="1" indent="3"/>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Border="1" applyAlignment="1" applyProtection="1">
      <alignment horizontal="left" vertical="center" wrapText="1" indent="4"/>
      <protection locked="0"/>
    </xf>
    <xf numFmtId="3" fontId="59" fillId="0" borderId="22" xfId="3" applyNumberFormat="1" applyFont="1" applyFill="1" applyBorder="1" applyAlignment="1" applyProtection="1">
      <alignment horizont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1368136</xdr:colOff>
          <xdr:row>1</xdr:row>
          <xdr:rowOff>29440</xdr:rowOff>
        </xdr:from>
        <xdr:to>
          <xdr:col>1</xdr:col>
          <xdr:colOff>2282536</xdr:colOff>
          <xdr:row>5</xdr:row>
          <xdr:rowOff>67540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9E862F5D-AE48-4FE5-8D16-10CB2237B6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248516</xdr:colOff>
          <xdr:row>1</xdr:row>
          <xdr:rowOff>3463</xdr:rowOff>
        </xdr:from>
        <xdr:to>
          <xdr:col>1</xdr:col>
          <xdr:colOff>1162916</xdr:colOff>
          <xdr:row>5</xdr:row>
          <xdr:rowOff>41563</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47F33B52-43D9-40FC-B401-9FBEBA451BD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xdr:row>
          <xdr:rowOff>28574</xdr:rowOff>
        </xdr:from>
        <xdr:to>
          <xdr:col>1</xdr:col>
          <xdr:colOff>3400425</xdr:colOff>
          <xdr:row>5</xdr:row>
          <xdr:rowOff>66674</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F91C7FE-CE42-44DC-B2E1-134858CFB4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225137</xdr:colOff>
          <xdr:row>6</xdr:row>
          <xdr:rowOff>2</xdr:rowOff>
        </xdr:from>
        <xdr:to>
          <xdr:col>1</xdr:col>
          <xdr:colOff>1139537</xdr:colOff>
          <xdr:row>10</xdr:row>
          <xdr:rowOff>123827</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1298863</xdr:colOff>
          <xdr:row>6</xdr:row>
          <xdr:rowOff>34639</xdr:rowOff>
        </xdr:from>
        <xdr:to>
          <xdr:col>1</xdr:col>
          <xdr:colOff>2213263</xdr:colOff>
          <xdr:row>10</xdr:row>
          <xdr:rowOff>129887</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2485159</xdr:colOff>
          <xdr:row>6</xdr:row>
          <xdr:rowOff>43297</xdr:rowOff>
        </xdr:from>
        <xdr:to>
          <xdr:col>1</xdr:col>
          <xdr:colOff>3399559</xdr:colOff>
          <xdr:row>10</xdr:row>
          <xdr:rowOff>129887</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10" t="s">
        <v>424</v>
      </c>
      <c r="J1" s="2011"/>
      <c r="K1" s="2011"/>
      <c r="L1" s="2011"/>
      <c r="M1" s="2011"/>
      <c r="N1" s="2011"/>
      <c r="O1" s="2011"/>
      <c r="P1" s="2011"/>
      <c r="Q1" s="2011"/>
      <c r="R1" s="2011"/>
      <c r="S1" s="2011"/>
    </row>
    <row r="2" spans="1:28" ht="12" customHeight="1" x14ac:dyDescent="0.2">
      <c r="A2" s="47" t="s">
        <v>1683</v>
      </c>
      <c r="D2" s="48"/>
      <c r="I2" s="2012" t="s">
        <v>1035</v>
      </c>
      <c r="J2" s="2011"/>
      <c r="K2" s="2011"/>
      <c r="L2" s="2011"/>
      <c r="M2" s="2011"/>
      <c r="N2" s="2011"/>
      <c r="O2" s="2011"/>
      <c r="P2" s="2011"/>
      <c r="Q2" s="2011"/>
      <c r="R2" s="2011"/>
      <c r="S2" s="2011"/>
    </row>
    <row r="3" spans="1:28" ht="12" customHeight="1" x14ac:dyDescent="0.2">
      <c r="A3" s="155" t="s">
        <v>1684</v>
      </c>
      <c r="B3" s="156"/>
      <c r="C3" s="156"/>
      <c r="D3" s="157"/>
      <c r="I3" s="2012" t="s">
        <v>54</v>
      </c>
      <c r="J3" s="2011"/>
      <c r="K3" s="2011"/>
      <c r="L3" s="2011"/>
      <c r="M3" s="2011"/>
      <c r="N3" s="2011"/>
      <c r="O3" s="2011"/>
      <c r="P3" s="2011"/>
      <c r="Q3" s="2011"/>
      <c r="R3" s="2011"/>
      <c r="S3" s="2011"/>
    </row>
    <row r="4" spans="1:28" ht="12" customHeight="1" x14ac:dyDescent="0.2">
      <c r="A4" s="37"/>
      <c r="I4" s="2012" t="s">
        <v>544</v>
      </c>
      <c r="J4" s="2011"/>
      <c r="K4" s="2011"/>
      <c r="L4" s="2011"/>
      <c r="M4" s="2011"/>
      <c r="N4" s="2011"/>
      <c r="O4" s="2011"/>
      <c r="P4" s="2011"/>
      <c r="Q4" s="2011"/>
      <c r="R4" s="2011"/>
      <c r="S4" s="2011"/>
    </row>
    <row r="5" spans="1:28" ht="14.1" customHeight="1" x14ac:dyDescent="0.2">
      <c r="B5" s="104" t="s">
        <v>2081</v>
      </c>
      <c r="C5" s="26" t="s">
        <v>965</v>
      </c>
      <c r="D5" s="84"/>
      <c r="E5" s="84"/>
      <c r="H5" s="38"/>
      <c r="I5" s="2020" t="s">
        <v>700</v>
      </c>
      <c r="J5" s="2019"/>
      <c r="K5" s="2019"/>
      <c r="L5" s="2019"/>
      <c r="M5" s="2019"/>
      <c r="N5" s="2019"/>
      <c r="O5" s="2019"/>
      <c r="P5" s="2019"/>
      <c r="Q5" s="2019"/>
      <c r="R5" s="2019"/>
      <c r="S5" s="2019"/>
    </row>
    <row r="6" spans="1:28" ht="14.1" customHeight="1" x14ac:dyDescent="0.2">
      <c r="B6" s="104"/>
      <c r="C6" s="26" t="s">
        <v>966</v>
      </c>
      <c r="D6" s="84"/>
      <c r="E6" s="84"/>
      <c r="I6" s="2018" t="s">
        <v>937</v>
      </c>
      <c r="J6" s="2019"/>
      <c r="K6" s="2019"/>
      <c r="L6" s="2019"/>
      <c r="M6" s="2019"/>
      <c r="N6" s="2019"/>
      <c r="O6" s="2019"/>
      <c r="P6" s="2019"/>
      <c r="Q6" s="2019"/>
      <c r="R6" s="2019"/>
      <c r="S6" s="2019"/>
    </row>
    <row r="7" spans="1:28" ht="12.2" customHeight="1" x14ac:dyDescent="0.2">
      <c r="I7" s="2013">
        <v>43281</v>
      </c>
      <c r="J7" s="2014"/>
      <c r="K7" s="2014"/>
      <c r="L7" s="2014"/>
      <c r="M7" s="2014"/>
      <c r="N7" s="2014"/>
      <c r="O7" s="2014"/>
      <c r="P7" s="2014"/>
      <c r="Q7" s="2014"/>
      <c r="R7" s="2014"/>
      <c r="S7" s="20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694</v>
      </c>
      <c r="J9" s="2016"/>
      <c r="K9" s="2016"/>
      <c r="L9" s="2016"/>
      <c r="M9" s="2016"/>
      <c r="N9" s="2016"/>
      <c r="O9" s="2016"/>
      <c r="P9" s="2016"/>
      <c r="Q9" s="2016"/>
      <c r="R9" s="2016"/>
      <c r="S9" s="2017"/>
      <c r="T9" s="2031" t="s">
        <v>553</v>
      </c>
      <c r="U9" s="2032"/>
      <c r="V9" s="2032"/>
      <c r="W9" s="2032"/>
      <c r="X9" s="2032"/>
      <c r="Y9" s="2032"/>
      <c r="Z9" s="2032"/>
      <c r="AA9" s="2033"/>
    </row>
    <row r="10" spans="1:28" ht="13.5" customHeight="1" x14ac:dyDescent="0.2">
      <c r="A10" s="2038" t="s">
        <v>695</v>
      </c>
      <c r="B10" s="2039"/>
      <c r="C10" s="2039"/>
      <c r="D10" s="2039"/>
      <c r="E10" s="2039"/>
      <c r="F10" s="2039"/>
      <c r="G10" s="2039"/>
      <c r="H10" s="2040"/>
      <c r="I10" s="29"/>
      <c r="J10" s="30"/>
      <c r="K10" s="28"/>
      <c r="R10" s="30"/>
      <c r="S10" s="30"/>
      <c r="T10" s="2034"/>
      <c r="U10" s="2019"/>
      <c r="V10" s="2019"/>
      <c r="W10" s="2019"/>
      <c r="X10" s="2019"/>
      <c r="Y10" s="2019"/>
      <c r="Z10" s="2019"/>
      <c r="AA10" s="2025"/>
    </row>
    <row r="11" spans="1:28" ht="14.25" customHeight="1" x14ac:dyDescent="0.2">
      <c r="A11" s="2041" t="s">
        <v>1011</v>
      </c>
      <c r="B11" s="2042"/>
      <c r="C11" s="2042"/>
      <c r="D11" s="2042"/>
      <c r="E11" s="2042"/>
      <c r="F11" s="2042"/>
      <c r="G11" s="2042"/>
      <c r="H11" s="2043"/>
      <c r="I11" s="27"/>
      <c r="J11" s="74"/>
      <c r="K11" s="27"/>
      <c r="O11" s="148"/>
      <c r="P11" s="100" t="s">
        <v>210</v>
      </c>
      <c r="Q11" s="30"/>
      <c r="R11" s="28"/>
      <c r="S11" s="27"/>
      <c r="T11" s="2035"/>
      <c r="U11" s="2036"/>
      <c r="V11" s="2036"/>
      <c r="W11" s="2036"/>
      <c r="X11" s="2036"/>
      <c r="Y11" s="2036"/>
      <c r="Z11" s="2036"/>
      <c r="AA11" s="2037"/>
    </row>
    <row r="12" spans="1:28" ht="13.5" customHeight="1" x14ac:dyDescent="0.2">
      <c r="A12" s="85" t="s">
        <v>981</v>
      </c>
      <c r="B12" s="76"/>
      <c r="C12" s="76"/>
      <c r="D12" s="76"/>
      <c r="E12" s="76"/>
      <c r="F12" s="76"/>
      <c r="G12" s="76"/>
      <c r="H12" s="53"/>
      <c r="I12" s="29"/>
      <c r="J12" s="30"/>
      <c r="K12" s="28"/>
      <c r="O12" s="149" t="s">
        <v>2081</v>
      </c>
      <c r="P12" s="100" t="s">
        <v>211</v>
      </c>
      <c r="Q12" s="74"/>
      <c r="R12" s="30"/>
      <c r="S12" s="30"/>
      <c r="T12" s="85" t="s">
        <v>282</v>
      </c>
      <c r="U12" s="51"/>
      <c r="V12" s="51"/>
      <c r="W12" s="51"/>
      <c r="X12" s="51"/>
      <c r="Y12" s="45"/>
      <c r="Z12" s="45"/>
      <c r="AA12" s="46"/>
    </row>
    <row r="13" spans="1:28" ht="13.5" customHeight="1" x14ac:dyDescent="0.2">
      <c r="A13" s="2045">
        <v>31045302026</v>
      </c>
      <c r="B13" s="2046"/>
      <c r="C13" s="2046"/>
      <c r="D13" s="2046"/>
      <c r="E13" s="2046"/>
      <c r="F13" s="2046"/>
      <c r="G13" s="2046"/>
      <c r="H13" s="2047"/>
      <c r="I13" s="31"/>
      <c r="J13" s="30"/>
      <c r="K13" s="28"/>
      <c r="L13" s="30"/>
      <c r="M13" s="30"/>
      <c r="N13" s="30"/>
      <c r="O13" s="30"/>
      <c r="P13" s="30"/>
      <c r="Q13" s="30"/>
      <c r="R13" s="30"/>
      <c r="S13" s="30"/>
      <c r="T13" s="2050" t="s">
        <v>2076</v>
      </c>
      <c r="U13" s="2051"/>
      <c r="V13" s="2051"/>
      <c r="W13" s="2051"/>
      <c r="X13" s="2051"/>
      <c r="Y13" s="2052"/>
      <c r="Z13" s="2052"/>
      <c r="AA13" s="2053"/>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44" t="s">
        <v>2082</v>
      </c>
      <c r="B15" s="2048"/>
      <c r="C15" s="2048"/>
      <c r="D15" s="2048"/>
      <c r="E15" s="2048"/>
      <c r="F15" s="2048"/>
      <c r="G15" s="2048"/>
      <c r="H15" s="2049"/>
      <c r="T15" s="2054" t="s">
        <v>2077</v>
      </c>
      <c r="U15" s="1998"/>
      <c r="V15" s="1998"/>
      <c r="W15" s="1998"/>
      <c r="X15" s="1998"/>
      <c r="Y15" s="2055"/>
      <c r="Z15" s="2055"/>
      <c r="AA15" s="205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04" t="s">
        <v>2083</v>
      </c>
      <c r="B17" s="2005"/>
      <c r="C17" s="2005"/>
      <c r="D17" s="2005"/>
      <c r="E17" s="2005"/>
      <c r="F17" s="2005"/>
      <c r="G17" s="2005"/>
      <c r="H17" s="2030"/>
      <c r="T17" s="2061" t="s">
        <v>2078</v>
      </c>
      <c r="U17" s="2062"/>
      <c r="V17" s="2062"/>
      <c r="W17" s="2062"/>
      <c r="X17" s="2062"/>
      <c r="Y17" s="2062"/>
      <c r="Z17" s="2062"/>
      <c r="AA17" s="2063"/>
    </row>
    <row r="18" spans="1:27" ht="13.5" customHeight="1" x14ac:dyDescent="0.2">
      <c r="A18" s="85" t="s">
        <v>550</v>
      </c>
      <c r="B18" s="76"/>
      <c r="C18" s="72"/>
      <c r="D18" s="76"/>
      <c r="E18" s="76"/>
      <c r="F18" s="76"/>
      <c r="G18" s="76"/>
      <c r="H18" s="56"/>
      <c r="I18" s="2029" t="s">
        <v>696</v>
      </c>
      <c r="J18" s="1980"/>
      <c r="K18" s="1980"/>
      <c r="L18" s="1980"/>
      <c r="M18" s="1980"/>
      <c r="N18" s="1980"/>
      <c r="O18" s="1980"/>
      <c r="P18" s="1980"/>
      <c r="Q18" s="1980"/>
      <c r="R18" s="1980"/>
      <c r="S18" s="1981"/>
      <c r="T18" s="85" t="s">
        <v>734</v>
      </c>
      <c r="U18" s="51"/>
      <c r="V18" s="72"/>
      <c r="W18" s="50"/>
      <c r="X18" s="85" t="s">
        <v>283</v>
      </c>
      <c r="Y18" s="81"/>
      <c r="Z18" s="159" t="s">
        <v>697</v>
      </c>
      <c r="AA18" s="46"/>
    </row>
    <row r="19" spans="1:27" ht="13.5" customHeight="1" x14ac:dyDescent="0.2">
      <c r="A19" s="2044" t="s">
        <v>2084</v>
      </c>
      <c r="B19" s="1990"/>
      <c r="C19" s="1990"/>
      <c r="D19" s="1990"/>
      <c r="E19" s="1990"/>
      <c r="F19" s="1990"/>
      <c r="G19" s="1990"/>
      <c r="H19" s="1970"/>
      <c r="I19" s="30"/>
      <c r="J19" s="99"/>
      <c r="K19" s="40"/>
      <c r="L19" s="38"/>
      <c r="M19" s="112" t="s">
        <v>332</v>
      </c>
      <c r="P19" s="27"/>
      <c r="Q19" s="27"/>
      <c r="R19" s="27"/>
      <c r="S19" s="31"/>
      <c r="T19" s="2044" t="s">
        <v>2079</v>
      </c>
      <c r="U19" s="1969"/>
      <c r="V19" s="1969"/>
      <c r="W19" s="1970"/>
      <c r="X19" s="2059" t="s">
        <v>2080</v>
      </c>
      <c r="Y19" s="2060"/>
      <c r="Z19" s="2057">
        <v>60563</v>
      </c>
      <c r="AA19" s="205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68" t="s">
        <v>2085</v>
      </c>
      <c r="B21" s="1969"/>
      <c r="C21" s="1969"/>
      <c r="D21" s="1969"/>
      <c r="E21" s="1969"/>
      <c r="F21" s="1969"/>
      <c r="G21" s="1969"/>
      <c r="H21" s="1970"/>
      <c r="I21" s="2024" t="s">
        <v>698</v>
      </c>
      <c r="J21" s="2019"/>
      <c r="K21" s="2019"/>
      <c r="L21" s="2019"/>
      <c r="M21" s="2019"/>
      <c r="N21" s="2019"/>
      <c r="O21" s="2019"/>
      <c r="P21" s="2019"/>
      <c r="Q21" s="2019"/>
      <c r="R21" s="2019"/>
      <c r="S21" s="2025"/>
      <c r="T21" s="2068">
        <v>6303931483</v>
      </c>
      <c r="U21" s="2069"/>
      <c r="V21" s="2069"/>
      <c r="W21" s="2069"/>
      <c r="X21" s="2074">
        <v>6303932516</v>
      </c>
      <c r="Y21" s="2075"/>
      <c r="Z21" s="2075"/>
      <c r="AA21" s="2076"/>
    </row>
    <row r="22" spans="1:27" ht="13.5" customHeight="1" x14ac:dyDescent="0.2">
      <c r="A22" s="87" t="s">
        <v>551</v>
      </c>
      <c r="B22" s="59"/>
      <c r="C22" s="59"/>
      <c r="D22" s="59"/>
      <c r="E22" s="59"/>
      <c r="F22" s="59"/>
      <c r="G22" s="59"/>
      <c r="H22" s="60"/>
      <c r="I22" s="2026" t="s">
        <v>1503</v>
      </c>
      <c r="J22" s="2027"/>
      <c r="K22" s="2027"/>
      <c r="L22" s="2027"/>
      <c r="M22" s="2027"/>
      <c r="N22" s="2027"/>
      <c r="O22" s="2027"/>
      <c r="P22" s="2027"/>
      <c r="Q22" s="2027"/>
      <c r="R22" s="2027"/>
      <c r="S22" s="2028"/>
      <c r="T22" s="85" t="s">
        <v>1595</v>
      </c>
      <c r="U22" s="51"/>
      <c r="V22" s="72"/>
      <c r="W22" s="51"/>
      <c r="X22" s="160" t="s">
        <v>1384</v>
      </c>
      <c r="Z22" s="45"/>
      <c r="AA22" s="46"/>
    </row>
    <row r="23" spans="1:27" ht="13.5" customHeight="1" x14ac:dyDescent="0.2">
      <c r="A23" s="2021" t="s">
        <v>2086</v>
      </c>
      <c r="B23" s="2022"/>
      <c r="C23" s="2022"/>
      <c r="D23" s="2022"/>
      <c r="E23" s="2022"/>
      <c r="F23" s="2022"/>
      <c r="G23" s="2022"/>
      <c r="H23" s="2023"/>
      <c r="T23" s="2004" t="s">
        <v>2175</v>
      </c>
      <c r="U23" s="2067"/>
      <c r="V23" s="2067"/>
      <c r="W23" s="2067"/>
      <c r="X23" s="2071">
        <v>44469</v>
      </c>
      <c r="Y23" s="2072"/>
      <c r="Z23" s="2072"/>
      <c r="AA23" s="2073"/>
    </row>
    <row r="24" spans="1:27" ht="14.1" customHeight="1" x14ac:dyDescent="0.2">
      <c r="A24" s="88" t="s">
        <v>697</v>
      </c>
      <c r="B24" s="49"/>
      <c r="C24" s="49"/>
      <c r="D24" s="49"/>
      <c r="E24" s="49"/>
      <c r="F24" s="49"/>
      <c r="G24" s="49"/>
      <c r="H24" s="61"/>
      <c r="J24" s="1991">
        <f>IF(B5="x",IF(AUDITCHECK!D29="AFR form Incomplete.","",IF(AUDITCHECK!D29="Deficit reduction plan is required.","School District must complete a deficit reduction plan in the 2018-2019 Budget",)),"")</f>
        <v>0</v>
      </c>
      <c r="K24" s="1991"/>
      <c r="L24" s="1991"/>
      <c r="M24" s="1991"/>
      <c r="N24" s="1991"/>
      <c r="O24" s="1991"/>
      <c r="P24" s="1991"/>
      <c r="Q24" s="1991"/>
      <c r="R24" s="1991"/>
      <c r="S24" s="1992"/>
      <c r="T24" s="105" t="s">
        <v>551</v>
      </c>
      <c r="U24" s="106"/>
      <c r="V24" s="106"/>
      <c r="W24" s="106"/>
      <c r="X24" s="107"/>
      <c r="Y24" s="107"/>
      <c r="Z24" s="107"/>
      <c r="AA24" s="108"/>
    </row>
    <row r="25" spans="1:27" ht="14.1" customHeight="1" x14ac:dyDescent="0.2">
      <c r="A25" s="1968">
        <v>60151</v>
      </c>
      <c r="B25" s="1969"/>
      <c r="C25" s="1969"/>
      <c r="D25" s="1969"/>
      <c r="E25" s="1969"/>
      <c r="F25" s="1969"/>
      <c r="G25" s="1969"/>
      <c r="H25" s="1970"/>
      <c r="I25" s="113"/>
      <c r="J25" s="1993"/>
      <c r="K25" s="1993"/>
      <c r="L25" s="1993"/>
      <c r="M25" s="1993"/>
      <c r="N25" s="1993"/>
      <c r="O25" s="1993"/>
      <c r="P25" s="1993"/>
      <c r="Q25" s="1993"/>
      <c r="R25" s="1993"/>
      <c r="S25" s="1994"/>
      <c r="T25" s="2064" t="s">
        <v>2174</v>
      </c>
      <c r="U25" s="2065"/>
      <c r="V25" s="2065"/>
      <c r="W25" s="2065"/>
      <c r="X25" s="2065"/>
      <c r="Y25" s="2065"/>
      <c r="Z25" s="2065"/>
      <c r="AA25" s="20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9" t="s">
        <v>1590</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2081</v>
      </c>
      <c r="F29" s="141" t="s">
        <v>1382</v>
      </c>
      <c r="G29" s="114"/>
      <c r="I29" s="54"/>
      <c r="J29" s="148" t="s">
        <v>2081</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2081</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2081</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90"/>
      <c r="Q35" s="1969"/>
      <c r="R35" s="19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04" t="s">
        <v>2087</v>
      </c>
      <c r="B38" s="2005"/>
      <c r="C38" s="2005"/>
      <c r="D38" s="2005"/>
      <c r="E38" s="2005"/>
      <c r="F38" s="1969"/>
      <c r="G38" s="1969"/>
      <c r="H38" s="1970"/>
      <c r="I38" s="1997"/>
      <c r="J38" s="1998"/>
      <c r="K38" s="1998"/>
      <c r="L38" s="1998"/>
      <c r="M38" s="1998"/>
      <c r="N38" s="1998"/>
      <c r="O38" s="1998"/>
      <c r="P38" s="1999"/>
      <c r="Q38" s="1999"/>
      <c r="R38" s="1999"/>
      <c r="S38" s="2000"/>
      <c r="T38" s="2054"/>
      <c r="U38" s="1998"/>
      <c r="V38" s="1998"/>
      <c r="W38" s="1998"/>
      <c r="X38" s="1999"/>
      <c r="Y38" s="1999"/>
      <c r="Z38" s="1999"/>
      <c r="AA38" s="2000"/>
    </row>
    <row r="39" spans="1:27" ht="12" customHeight="1" x14ac:dyDescent="0.2">
      <c r="A39" s="1974" t="s">
        <v>551</v>
      </c>
      <c r="B39" s="1975"/>
      <c r="C39" s="72"/>
      <c r="D39" s="69"/>
      <c r="E39" s="69"/>
      <c r="F39" s="79"/>
      <c r="G39" s="69"/>
      <c r="H39" s="56"/>
      <c r="I39" s="1974" t="s">
        <v>551</v>
      </c>
      <c r="J39" s="1975"/>
      <c r="K39" s="1975"/>
      <c r="L39" s="1975"/>
      <c r="M39" s="1975"/>
      <c r="N39" s="67"/>
      <c r="O39" s="72"/>
      <c r="P39" s="72"/>
      <c r="Q39" s="78"/>
      <c r="R39" s="72"/>
      <c r="S39" s="56"/>
      <c r="T39" s="72" t="s">
        <v>551</v>
      </c>
      <c r="U39" s="51"/>
      <c r="V39" s="72"/>
      <c r="W39" s="50"/>
      <c r="X39" s="78"/>
      <c r="Y39" s="45"/>
      <c r="Z39" s="45"/>
      <c r="AA39" s="46"/>
    </row>
    <row r="40" spans="1:27" ht="13.5" customHeight="1" x14ac:dyDescent="0.2">
      <c r="A40" s="1982" t="s">
        <v>2088</v>
      </c>
      <c r="B40" s="1983"/>
      <c r="C40" s="1984"/>
      <c r="D40" s="1984"/>
      <c r="E40" s="1984"/>
      <c r="F40" s="1985"/>
      <c r="G40" s="1985"/>
      <c r="H40" s="1986"/>
      <c r="I40" s="2007"/>
      <c r="J40" s="2008"/>
      <c r="K40" s="2008"/>
      <c r="L40" s="2008"/>
      <c r="M40" s="2008"/>
      <c r="N40" s="2008"/>
      <c r="O40" s="2008"/>
      <c r="P40" s="2008"/>
      <c r="Q40" s="2008"/>
      <c r="R40" s="2008"/>
      <c r="S40" s="2009"/>
      <c r="T40" s="2007"/>
      <c r="U40" s="2070"/>
      <c r="V40" s="2008"/>
      <c r="W40" s="2008"/>
      <c r="X40" s="2008"/>
      <c r="Y40" s="2008"/>
      <c r="Z40" s="2008"/>
      <c r="AA40" s="200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96" t="s">
        <v>2089</v>
      </c>
      <c r="B42" s="1988"/>
      <c r="C42" s="1989"/>
      <c r="D42" s="1987" t="s">
        <v>2090</v>
      </c>
      <c r="E42" s="1988"/>
      <c r="F42" s="1988"/>
      <c r="G42" s="1988"/>
      <c r="H42" s="1989"/>
      <c r="I42" s="1971"/>
      <c r="J42" s="1972"/>
      <c r="K42" s="1972"/>
      <c r="L42" s="1972"/>
      <c r="M42" s="1972"/>
      <c r="N42" s="1972"/>
      <c r="O42" s="1973"/>
      <c r="P42" s="2006"/>
      <c r="Q42" s="1972"/>
      <c r="R42" s="1972"/>
      <c r="S42" s="1973"/>
      <c r="T42" s="1971"/>
      <c r="U42" s="1972"/>
      <c r="V42" s="1972"/>
      <c r="W42" s="1973"/>
      <c r="X42" s="2006"/>
      <c r="Y42" s="1972"/>
      <c r="Z42" s="1972"/>
      <c r="AA42" s="1973"/>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01"/>
      <c r="B44" s="2002"/>
      <c r="C44" s="2002"/>
      <c r="D44" s="2002"/>
      <c r="E44" s="2002"/>
      <c r="F44" s="2002"/>
      <c r="G44" s="2002"/>
      <c r="H44" s="2003"/>
      <c r="I44" s="1976"/>
      <c r="J44" s="1977"/>
      <c r="K44" s="1977"/>
      <c r="L44" s="1977"/>
      <c r="M44" s="1977"/>
      <c r="N44" s="1977"/>
      <c r="O44" s="1977"/>
      <c r="P44" s="1977"/>
      <c r="Q44" s="1977"/>
      <c r="R44" s="1977"/>
      <c r="S44" s="1978"/>
      <c r="T44" s="1976"/>
      <c r="U44" s="1995"/>
      <c r="V44" s="1995"/>
      <c r="W44" s="1995"/>
      <c r="X44" s="1995"/>
      <c r="Y44" s="1995"/>
      <c r="Z44" s="1977"/>
      <c r="AA44" s="1978"/>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0" t="s">
        <v>1904</v>
      </c>
      <c r="B2" s="1550" t="s">
        <v>2036</v>
      </c>
      <c r="C2" s="715" t="s">
        <v>1909</v>
      </c>
      <c r="D2" s="715" t="s">
        <v>1910</v>
      </c>
      <c r="E2" s="715" t="s">
        <v>1911</v>
      </c>
      <c r="F2" s="715" t="s">
        <v>1912</v>
      </c>
    </row>
    <row r="3" spans="1:6" ht="12" customHeight="1" x14ac:dyDescent="0.2">
      <c r="A3" s="2211"/>
      <c r="B3" s="1547"/>
      <c r="C3" s="1548"/>
      <c r="D3" s="1549" t="s">
        <v>274</v>
      </c>
      <c r="E3" s="1548"/>
      <c r="F3" s="1549" t="s">
        <v>275</v>
      </c>
    </row>
    <row r="4" spans="1:6" ht="13.7" customHeight="1" x14ac:dyDescent="0.2">
      <c r="A4" s="716" t="s">
        <v>1216</v>
      </c>
      <c r="B4" s="1771">
        <f>'Revenues 9-14'!C5</f>
        <v>30097046</v>
      </c>
      <c r="C4" s="1546">
        <f>15751501.37+663492.94</f>
        <v>16414994.309999999</v>
      </c>
      <c r="D4" s="1774">
        <f>B4-C4</f>
        <v>13682051.690000001</v>
      </c>
      <c r="E4" s="1546">
        <v>32562730</v>
      </c>
      <c r="F4" s="1774">
        <f>E4-C4</f>
        <v>16147735.690000001</v>
      </c>
    </row>
    <row r="5" spans="1:6" ht="13.7" customHeight="1" x14ac:dyDescent="0.2">
      <c r="A5" s="716" t="s">
        <v>924</v>
      </c>
      <c r="B5" s="1772">
        <f>'Revenues 9-14'!D5</f>
        <v>5581477</v>
      </c>
      <c r="C5" s="585">
        <f>2658134.9+111967.34</f>
        <v>2770102.2399999998</v>
      </c>
      <c r="D5" s="1775">
        <f t="shared" ref="D5:D18" si="0">B5-C5</f>
        <v>2811374.7600000002</v>
      </c>
      <c r="E5" s="585">
        <v>5495103</v>
      </c>
      <c r="F5" s="1775">
        <f>E5-C5</f>
        <v>2725000.7600000002</v>
      </c>
    </row>
    <row r="6" spans="1:6" ht="13.7" customHeight="1" x14ac:dyDescent="0.2">
      <c r="A6" s="716" t="s">
        <v>430</v>
      </c>
      <c r="B6" s="1772">
        <f>'Revenues 9-14'!E5</f>
        <v>10940193</v>
      </c>
      <c r="C6" s="585">
        <f>5559429.69+234179.78</f>
        <v>5793609.4700000007</v>
      </c>
      <c r="D6" s="1775">
        <f t="shared" si="0"/>
        <v>5146583.5299999993</v>
      </c>
      <c r="E6" s="585">
        <v>11492891</v>
      </c>
      <c r="F6" s="1775">
        <f t="shared" ref="F6:F18" si="1">E6-C6</f>
        <v>5699281.5299999993</v>
      </c>
    </row>
    <row r="7" spans="1:6" ht="13.7" customHeight="1" x14ac:dyDescent="0.2">
      <c r="A7" s="716" t="s">
        <v>157</v>
      </c>
      <c r="B7" s="1772">
        <f>'Revenues 9-14'!F5</f>
        <v>1495078</v>
      </c>
      <c r="C7" s="585">
        <f>711904.53+29987.21</f>
        <v>741891.74</v>
      </c>
      <c r="D7" s="1775">
        <f t="shared" si="0"/>
        <v>753186.26</v>
      </c>
      <c r="E7" s="585">
        <v>1471704</v>
      </c>
      <c r="F7" s="1775">
        <f t="shared" si="1"/>
        <v>729812.26</v>
      </c>
    </row>
    <row r="8" spans="1:6" ht="13.7" customHeight="1" x14ac:dyDescent="0.2">
      <c r="A8" s="716" t="s">
        <v>1240</v>
      </c>
      <c r="B8" s="1772">
        <f>'Revenues 9-14'!G5</f>
        <v>747132</v>
      </c>
      <c r="C8" s="585">
        <f>149975.58+6317.35</f>
        <v>156292.93</v>
      </c>
      <c r="D8" s="1775">
        <f t="shared" si="0"/>
        <v>590839.07000000007</v>
      </c>
      <c r="E8" s="585">
        <v>310041</v>
      </c>
      <c r="F8" s="1775">
        <f t="shared" si="1"/>
        <v>153748.07</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99343</v>
      </c>
      <c r="C10" s="585">
        <f>47562.59+2003.46</f>
        <v>49566.049999999996</v>
      </c>
      <c r="D10" s="1775">
        <f t="shared" si="0"/>
        <v>49776.950000000004</v>
      </c>
      <c r="E10" s="585">
        <v>98325</v>
      </c>
      <c r="F10" s="1775">
        <f t="shared" si="1"/>
        <v>48758.950000000004</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4299346</v>
      </c>
      <c r="C14" s="585">
        <f>2040971.98+85970.88</f>
        <v>2126942.86</v>
      </c>
      <c r="D14" s="1775">
        <f t="shared" si="0"/>
        <v>2172403.14</v>
      </c>
      <c r="E14" s="585">
        <v>4219256</v>
      </c>
      <c r="F14" s="1775">
        <f t="shared" si="1"/>
        <v>2092313.1400000001</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1552843</v>
      </c>
      <c r="C16" s="585">
        <f>283457.67+11939.95</f>
        <v>295397.62</v>
      </c>
      <c r="D16" s="1775">
        <f t="shared" si="0"/>
        <v>1257445.3799999999</v>
      </c>
      <c r="E16" s="585">
        <v>585986</v>
      </c>
      <c r="F16" s="1775">
        <f t="shared" si="1"/>
        <v>290588.38</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54812458</v>
      </c>
      <c r="C19" s="1773">
        <f>SUM(C4:C18)</f>
        <v>28348797.219999995</v>
      </c>
      <c r="D19" s="1773">
        <f>SUM(D4:D18)</f>
        <v>26463660.780000001</v>
      </c>
      <c r="E19" s="1773">
        <f>SUM(E4:E18)</f>
        <v>56236036</v>
      </c>
      <c r="F19" s="1773">
        <f>SUM(F4:F18)</f>
        <v>27887238.780000005</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H36" sqref="H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2" t="s">
        <v>649</v>
      </c>
      <c r="B1" s="2230"/>
      <c r="C1" s="722"/>
    </row>
    <row r="2" spans="1:7" ht="33.75" x14ac:dyDescent="0.2">
      <c r="A2" s="2237" t="s">
        <v>1904</v>
      </c>
      <c r="B2" s="2238"/>
      <c r="C2" s="1908" t="s">
        <v>2037</v>
      </c>
      <c r="D2" s="724" t="s">
        <v>2044</v>
      </c>
      <c r="E2" s="724" t="s">
        <v>2045</v>
      </c>
      <c r="F2" s="1908" t="s">
        <v>2038</v>
      </c>
    </row>
    <row r="3" spans="1:7" ht="15.75" customHeight="1" x14ac:dyDescent="0.2">
      <c r="A3" s="2239" t="s">
        <v>1175</v>
      </c>
      <c r="B3" s="2240"/>
      <c r="C3" s="2233"/>
      <c r="D3" s="2234"/>
      <c r="E3" s="2234"/>
      <c r="F3" s="2235"/>
    </row>
    <row r="4" spans="1:7" ht="12.75" customHeight="1" thickBot="1" x14ac:dyDescent="0.25">
      <c r="A4" s="2227" t="s">
        <v>650</v>
      </c>
      <c r="B4" s="2228"/>
      <c r="C4" s="581"/>
      <c r="D4" s="581"/>
      <c r="E4" s="581"/>
      <c r="F4" s="1777">
        <f>SUM(C4+D4)-E4</f>
        <v>0</v>
      </c>
    </row>
    <row r="5" spans="1:7" ht="15.75" customHeight="1" thickTop="1" x14ac:dyDescent="0.2">
      <c r="A5" s="2231" t="s">
        <v>1171</v>
      </c>
      <c r="B5" s="2226"/>
      <c r="C5" s="2220"/>
      <c r="D5" s="2221"/>
      <c r="E5" s="2221"/>
      <c r="F5" s="222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23" t="s">
        <v>651</v>
      </c>
      <c r="B15" s="2224"/>
      <c r="C15" s="1777">
        <f>SUM(C6:C14)</f>
        <v>0</v>
      </c>
      <c r="D15" s="1777">
        <f>SUM(D6:D14)</f>
        <v>0</v>
      </c>
      <c r="E15" s="1777">
        <f>SUM(E6:E14)</f>
        <v>0</v>
      </c>
      <c r="F15" s="1777">
        <f>SUM(F6:F14)</f>
        <v>0</v>
      </c>
      <c r="G15" s="552"/>
    </row>
    <row r="16" spans="1:7" s="202" customFormat="1" ht="15.75" customHeight="1" thickTop="1" x14ac:dyDescent="0.2">
      <c r="A16" s="2236" t="s">
        <v>1172</v>
      </c>
      <c r="B16" s="2226"/>
      <c r="C16" s="2220"/>
      <c r="D16" s="2221"/>
      <c r="E16" s="2221"/>
      <c r="F16" s="2222"/>
    </row>
    <row r="17" spans="1:11" ht="12.75" customHeight="1" thickBot="1" x14ac:dyDescent="0.25">
      <c r="A17" s="2218" t="s">
        <v>66</v>
      </c>
      <c r="B17" s="2219"/>
      <c r="C17" s="727"/>
      <c r="D17" s="585"/>
      <c r="E17" s="727"/>
      <c r="F17" s="1777">
        <f>SUM(C17+D17)-E17</f>
        <v>0</v>
      </c>
    </row>
    <row r="18" spans="1:11" ht="12.75" customHeight="1" thickTop="1" thickBot="1" x14ac:dyDescent="0.25">
      <c r="A18" s="2218" t="s">
        <v>6</v>
      </c>
      <c r="B18" s="2219"/>
      <c r="C18" s="727"/>
      <c r="D18" s="585"/>
      <c r="E18" s="727"/>
      <c r="F18" s="1777">
        <f>SUM(C18+D18)-E18</f>
        <v>0</v>
      </c>
    </row>
    <row r="19" spans="1:11" ht="12.75" customHeight="1" thickTop="1" thickBot="1" x14ac:dyDescent="0.25">
      <c r="A19" s="2218" t="s">
        <v>405</v>
      </c>
      <c r="B19" s="2219"/>
      <c r="C19" s="727"/>
      <c r="D19" s="585"/>
      <c r="E19" s="727"/>
      <c r="F19" s="1777">
        <f>SUM(C19+D19)-E19</f>
        <v>0</v>
      </c>
    </row>
    <row r="20" spans="1:11" ht="12.75" customHeight="1" thickTop="1" thickBot="1" x14ac:dyDescent="0.25">
      <c r="A20" s="2218" t="s">
        <v>467</v>
      </c>
      <c r="B20" s="2219"/>
      <c r="C20" s="727"/>
      <c r="D20" s="585"/>
      <c r="E20" s="727"/>
      <c r="F20" s="1777">
        <f>SUM(C20+D20)-E20</f>
        <v>0</v>
      </c>
    </row>
    <row r="21" spans="1:11" ht="14.25" thickTop="1" thickBot="1" x14ac:dyDescent="0.25">
      <c r="A21" s="2223" t="s">
        <v>652</v>
      </c>
      <c r="B21" s="2224"/>
      <c r="C21" s="1777">
        <f>SUM(C17:C20)</f>
        <v>0</v>
      </c>
      <c r="D21" s="1777">
        <f>SUM(D17:D20)</f>
        <v>0</v>
      </c>
      <c r="E21" s="1777">
        <f>SUM(E17:E20)</f>
        <v>0</v>
      </c>
      <c r="F21" s="1777">
        <f>SUM(F17:F20)</f>
        <v>0</v>
      </c>
      <c r="G21" s="552"/>
    </row>
    <row r="22" spans="1:11" ht="15.75" customHeight="1" thickTop="1" x14ac:dyDescent="0.2">
      <c r="A22" s="2225" t="s">
        <v>1173</v>
      </c>
      <c r="B22" s="2226"/>
      <c r="C22" s="2220"/>
      <c r="D22" s="2221"/>
      <c r="E22" s="2221"/>
      <c r="F22" s="2222"/>
    </row>
    <row r="23" spans="1:11" ht="13.5" thickBot="1" x14ac:dyDescent="0.25">
      <c r="A23" s="2227" t="s">
        <v>653</v>
      </c>
      <c r="B23" s="2228"/>
      <c r="C23" s="581"/>
      <c r="D23" s="581"/>
      <c r="E23" s="581"/>
      <c r="F23" s="1777">
        <f>SUM(C23+D23)-E23</f>
        <v>0</v>
      </c>
      <c r="G23" s="552"/>
    </row>
    <row r="24" spans="1:11" ht="15.75" customHeight="1" thickTop="1" x14ac:dyDescent="0.2">
      <c r="A24" s="2225" t="s">
        <v>1174</v>
      </c>
      <c r="B24" s="2226"/>
      <c r="C24" s="2220"/>
      <c r="D24" s="2221"/>
      <c r="E24" s="2221"/>
      <c r="F24" s="2222"/>
    </row>
    <row r="25" spans="1:11" ht="13.5" thickBot="1" x14ac:dyDescent="0.25">
      <c r="A25" s="2227" t="s">
        <v>654</v>
      </c>
      <c r="B25" s="2228"/>
      <c r="C25" s="581"/>
      <c r="D25" s="581"/>
      <c r="E25" s="581"/>
      <c r="F25" s="1777">
        <f>SUM(C25+D25)-E25</f>
        <v>0</v>
      </c>
      <c r="G25" s="552"/>
    </row>
    <row r="26" spans="1:11" ht="15.75" customHeight="1" thickTop="1" x14ac:dyDescent="0.2">
      <c r="A26" s="2231" t="s">
        <v>677</v>
      </c>
      <c r="B26" s="2226"/>
      <c r="C26" s="728"/>
      <c r="D26" s="728"/>
      <c r="E26" s="728"/>
      <c r="F26" s="729"/>
    </row>
    <row r="27" spans="1:11" ht="13.5" thickBot="1" x14ac:dyDescent="0.25">
      <c r="A27" s="2223" t="s">
        <v>1129</v>
      </c>
      <c r="B27" s="2224"/>
      <c r="C27" s="585"/>
      <c r="D27" s="585"/>
      <c r="E27" s="585"/>
      <c r="F27" s="1777">
        <f>SUM(C27+D27)-E27</f>
        <v>0</v>
      </c>
      <c r="G27" s="552"/>
    </row>
    <row r="28" spans="1:11" ht="7.5" customHeight="1" thickTop="1" x14ac:dyDescent="0.2">
      <c r="A28" s="594"/>
    </row>
    <row r="29" spans="1:11" ht="23.25" customHeight="1" x14ac:dyDescent="0.2">
      <c r="A29" s="2229" t="s">
        <v>602</v>
      </c>
      <c r="B29" s="2230"/>
      <c r="C29" s="730"/>
      <c r="D29" s="730"/>
      <c r="E29" s="730"/>
      <c r="F29" s="730"/>
      <c r="G29" s="730"/>
      <c r="H29" s="730"/>
      <c r="I29" s="730"/>
      <c r="J29" s="730"/>
    </row>
    <row r="30" spans="1:11" ht="33.75" x14ac:dyDescent="0.2">
      <c r="A30" s="1551" t="s">
        <v>1130</v>
      </c>
      <c r="B30" s="731" t="s">
        <v>1185</v>
      </c>
      <c r="C30" s="1909" t="s">
        <v>603</v>
      </c>
      <c r="D30" s="1909" t="s">
        <v>1771</v>
      </c>
      <c r="E30" s="1909" t="s">
        <v>2039</v>
      </c>
      <c r="F30" s="1909" t="s">
        <v>2040</v>
      </c>
      <c r="G30" s="1909" t="s">
        <v>2043</v>
      </c>
      <c r="H30" s="1909" t="s">
        <v>2041</v>
      </c>
      <c r="I30" s="1909" t="s">
        <v>2042</v>
      </c>
      <c r="J30" s="1910" t="s">
        <v>2</v>
      </c>
      <c r="K30" s="732"/>
    </row>
    <row r="31" spans="1:11" ht="12" customHeight="1" x14ac:dyDescent="0.2">
      <c r="A31" s="733" t="s">
        <v>2147</v>
      </c>
      <c r="B31" s="734">
        <v>39917</v>
      </c>
      <c r="C31" s="735">
        <v>15380000</v>
      </c>
      <c r="D31" s="736">
        <v>6</v>
      </c>
      <c r="E31" s="735">
        <v>14480000</v>
      </c>
      <c r="F31" s="735"/>
      <c r="G31" s="735"/>
      <c r="H31" s="735"/>
      <c r="I31" s="1778">
        <f>((E31+F31)-H31)+G31</f>
        <v>14480000</v>
      </c>
      <c r="J31" s="735">
        <f>I31</f>
        <v>14480000</v>
      </c>
      <c r="K31" s="737"/>
    </row>
    <row r="32" spans="1:11" ht="12" customHeight="1" x14ac:dyDescent="0.2">
      <c r="A32" s="733" t="s">
        <v>2148</v>
      </c>
      <c r="B32" s="734">
        <v>40140</v>
      </c>
      <c r="C32" s="735">
        <v>8075000</v>
      </c>
      <c r="D32" s="736">
        <v>6</v>
      </c>
      <c r="E32" s="735">
        <v>8075000</v>
      </c>
      <c r="F32" s="735"/>
      <c r="G32" s="735"/>
      <c r="H32" s="735"/>
      <c r="I32" s="1778">
        <f>((E32+F32)-H32)+G32</f>
        <v>8075000</v>
      </c>
      <c r="J32" s="735">
        <f>I32</f>
        <v>8075000</v>
      </c>
      <c r="K32" s="737"/>
    </row>
    <row r="33" spans="1:11" ht="12" customHeight="1" x14ac:dyDescent="0.2">
      <c r="A33" s="733" t="s">
        <v>2149</v>
      </c>
      <c r="B33" s="734">
        <v>42280</v>
      </c>
      <c r="C33" s="735">
        <v>21580000</v>
      </c>
      <c r="D33" s="736">
        <v>6</v>
      </c>
      <c r="E33" s="735">
        <v>21100000</v>
      </c>
      <c r="F33" s="735"/>
      <c r="G33" s="735"/>
      <c r="H33" s="735"/>
      <c r="I33" s="1778">
        <f t="shared" ref="I33:I48" si="1">((E33+F33)-H33)+G33</f>
        <v>21100000</v>
      </c>
      <c r="J33" s="735">
        <f>I33</f>
        <v>21100000</v>
      </c>
      <c r="K33" s="737"/>
    </row>
    <row r="34" spans="1:11" ht="12" customHeight="1" x14ac:dyDescent="0.2">
      <c r="A34" s="733" t="s">
        <v>2150</v>
      </c>
      <c r="B34" s="734">
        <v>42280</v>
      </c>
      <c r="C34" s="735">
        <v>9005000</v>
      </c>
      <c r="D34" s="736">
        <v>6</v>
      </c>
      <c r="E34" s="735">
        <v>8685000</v>
      </c>
      <c r="F34" s="735"/>
      <c r="G34" s="735"/>
      <c r="H34" s="735">
        <v>525000</v>
      </c>
      <c r="I34" s="1778">
        <f t="shared" si="1"/>
        <v>8160000</v>
      </c>
      <c r="J34" s="735">
        <f>I34</f>
        <v>8160000</v>
      </c>
      <c r="K34" s="738"/>
    </row>
    <row r="35" spans="1:11" ht="12" customHeight="1" x14ac:dyDescent="0.2">
      <c r="A35" s="733" t="s">
        <v>2151</v>
      </c>
      <c r="B35" s="734">
        <v>42677</v>
      </c>
      <c r="C35" s="739">
        <v>21510000</v>
      </c>
      <c r="D35" s="736">
        <v>6</v>
      </c>
      <c r="E35" s="739">
        <v>21140000</v>
      </c>
      <c r="F35" s="739"/>
      <c r="G35" s="739"/>
      <c r="H35" s="739">
        <v>3370000</v>
      </c>
      <c r="I35" s="1778">
        <f t="shared" si="1"/>
        <v>17770000</v>
      </c>
      <c r="J35" s="739">
        <f>I35</f>
        <v>17770000</v>
      </c>
      <c r="K35" s="738"/>
    </row>
    <row r="36" spans="1:11" ht="12" customHeight="1" x14ac:dyDescent="0.2">
      <c r="A36" s="733" t="s">
        <v>2152</v>
      </c>
      <c r="B36" s="734">
        <v>38123</v>
      </c>
      <c r="C36" s="735">
        <v>19999781</v>
      </c>
      <c r="D36" s="736">
        <v>6</v>
      </c>
      <c r="E36" s="735">
        <v>23278459</v>
      </c>
      <c r="F36" s="735"/>
      <c r="G36" s="735">
        <v>1747628</v>
      </c>
      <c r="H36" s="735">
        <v>4010000</v>
      </c>
      <c r="I36" s="1778">
        <f t="shared" si="1"/>
        <v>21016087</v>
      </c>
      <c r="J36" s="735">
        <f>I36-920118</f>
        <v>20095969</v>
      </c>
      <c r="K36" s="740"/>
    </row>
    <row r="37" spans="1:11" ht="12" customHeight="1" x14ac:dyDescent="0.2">
      <c r="A37" s="733" t="s">
        <v>2153</v>
      </c>
      <c r="B37" s="734">
        <v>39917</v>
      </c>
      <c r="C37" s="467">
        <v>4219937</v>
      </c>
      <c r="D37" s="741">
        <v>6</v>
      </c>
      <c r="E37" s="467">
        <v>7886938</v>
      </c>
      <c r="F37" s="467"/>
      <c r="G37" s="467">
        <v>530851</v>
      </c>
      <c r="H37" s="467"/>
      <c r="I37" s="1778">
        <f t="shared" si="1"/>
        <v>8417789</v>
      </c>
      <c r="J37" s="467">
        <f>I37</f>
        <v>8417789</v>
      </c>
      <c r="K37" s="738"/>
    </row>
    <row r="38" spans="1:11" ht="12" customHeight="1" x14ac:dyDescent="0.2">
      <c r="A38" s="733" t="s">
        <v>2154</v>
      </c>
      <c r="B38" s="734">
        <v>40140</v>
      </c>
      <c r="C38" s="735">
        <v>1919973</v>
      </c>
      <c r="D38" s="742">
        <v>6</v>
      </c>
      <c r="E38" s="743">
        <v>3372001</v>
      </c>
      <c r="F38" s="743"/>
      <c r="G38" s="743">
        <v>259282</v>
      </c>
      <c r="H38" s="743"/>
      <c r="I38" s="1778">
        <f t="shared" si="1"/>
        <v>3631283</v>
      </c>
      <c r="J38" s="744">
        <f>I38</f>
        <v>3631283</v>
      </c>
      <c r="K38" s="745"/>
    </row>
    <row r="39" spans="1:11" ht="12" customHeight="1" x14ac:dyDescent="0.2">
      <c r="A39" s="733" t="s">
        <v>2155</v>
      </c>
      <c r="B39" s="734">
        <v>39917</v>
      </c>
      <c r="C39" s="735">
        <v>2795000</v>
      </c>
      <c r="D39" s="742">
        <v>7</v>
      </c>
      <c r="E39" s="743">
        <v>630000</v>
      </c>
      <c r="F39" s="743"/>
      <c r="G39" s="743"/>
      <c r="H39" s="743">
        <v>310000</v>
      </c>
      <c r="I39" s="1778">
        <f t="shared" si="1"/>
        <v>320000</v>
      </c>
      <c r="J39" s="744">
        <f>I39</f>
        <v>320000</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104484691</v>
      </c>
      <c r="D49" s="746"/>
      <c r="E49" s="1778">
        <f t="shared" ref="E49:J49" si="2">SUM(E31:E48)</f>
        <v>108647398</v>
      </c>
      <c r="F49" s="1778">
        <f t="shared" si="2"/>
        <v>0</v>
      </c>
      <c r="G49" s="1778">
        <f t="shared" si="2"/>
        <v>2537761</v>
      </c>
      <c r="H49" s="1778">
        <f t="shared" si="2"/>
        <v>8215000</v>
      </c>
      <c r="I49" s="1778">
        <f t="shared" si="2"/>
        <v>102970159</v>
      </c>
      <c r="J49" s="1778">
        <f t="shared" si="2"/>
        <v>102050041</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12" t="s">
        <v>604</v>
      </c>
      <c r="C52" s="2213"/>
      <c r="D52" s="2213"/>
      <c r="E52" s="750" t="s">
        <v>899</v>
      </c>
      <c r="F52" s="2214" t="s">
        <v>2157</v>
      </c>
      <c r="G52" s="2215"/>
      <c r="H52" s="737"/>
      <c r="I52" s="737"/>
      <c r="J52" s="747"/>
    </row>
    <row r="53" spans="1:11" ht="11.25" customHeight="1" x14ac:dyDescent="0.2">
      <c r="A53" s="751" t="s">
        <v>968</v>
      </c>
      <c r="B53" s="752" t="s">
        <v>1007</v>
      </c>
      <c r="C53" s="747"/>
      <c r="D53" s="738"/>
      <c r="E53" s="750" t="s">
        <v>517</v>
      </c>
      <c r="F53" s="2216"/>
      <c r="G53" s="2217"/>
      <c r="H53" s="737"/>
      <c r="I53" s="737"/>
      <c r="J53" s="747"/>
    </row>
    <row r="54" spans="1:11" ht="11.25" customHeight="1" x14ac:dyDescent="0.2">
      <c r="A54" s="753" t="s">
        <v>969</v>
      </c>
      <c r="B54" s="748" t="s">
        <v>1008</v>
      </c>
      <c r="C54" s="747"/>
      <c r="D54" s="738"/>
      <c r="E54" s="750" t="s">
        <v>518</v>
      </c>
      <c r="F54" s="2216"/>
      <c r="G54" s="221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910</v>
      </c>
      <c r="B1" s="2242"/>
      <c r="C1" s="2242"/>
      <c r="D1" s="2242"/>
      <c r="E1" s="2242"/>
      <c r="F1" s="2242"/>
      <c r="G1" s="2243"/>
      <c r="H1" s="1552"/>
      <c r="I1" s="761"/>
      <c r="J1" s="433"/>
    </row>
    <row r="2" spans="1:11" ht="26.25" x14ac:dyDescent="0.2">
      <c r="A2" s="2260" t="s">
        <v>1775</v>
      </c>
      <c r="B2" s="2261"/>
      <c r="C2" s="2261"/>
      <c r="D2" s="2261"/>
      <c r="E2" s="2262"/>
      <c r="F2" s="762" t="s">
        <v>959</v>
      </c>
      <c r="G2" s="763" t="s">
        <v>1772</v>
      </c>
      <c r="H2" s="763" t="s">
        <v>429</v>
      </c>
      <c r="I2" s="763" t="s">
        <v>1219</v>
      </c>
      <c r="J2" s="763" t="s">
        <v>1918</v>
      </c>
      <c r="K2" s="763" t="s">
        <v>140</v>
      </c>
    </row>
    <row r="3" spans="1:11" x14ac:dyDescent="0.2">
      <c r="A3" s="2263" t="s">
        <v>1697</v>
      </c>
      <c r="B3" s="2264"/>
      <c r="C3" s="2264"/>
      <c r="D3" s="2264"/>
      <c r="E3" s="2265"/>
      <c r="F3" s="764"/>
      <c r="G3" s="765"/>
      <c r="H3" s="765"/>
      <c r="I3" s="765"/>
      <c r="J3" s="766"/>
      <c r="K3" s="766"/>
    </row>
    <row r="4" spans="1:11" x14ac:dyDescent="0.2">
      <c r="A4" s="2266" t="s">
        <v>386</v>
      </c>
      <c r="B4" s="2267"/>
      <c r="C4" s="2267"/>
      <c r="D4" s="2267"/>
      <c r="E4" s="2213"/>
      <c r="F4" s="767"/>
      <c r="G4" s="768"/>
      <c r="H4" s="769"/>
      <c r="I4" s="768"/>
      <c r="J4" s="770"/>
      <c r="K4" s="770"/>
    </row>
    <row r="5" spans="1:11" x14ac:dyDescent="0.2">
      <c r="A5" s="2244" t="s">
        <v>1128</v>
      </c>
      <c r="B5" s="2245"/>
      <c r="C5" s="2245"/>
      <c r="D5" s="2245"/>
      <c r="E5" s="2246"/>
      <c r="F5" s="771" t="s">
        <v>902</v>
      </c>
      <c r="G5" s="772"/>
      <c r="H5" s="765">
        <f>'Revenues 9-14'!C7</f>
        <v>4299346</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f>'Revenues 9-14'!C101</f>
        <v>44295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44" t="s">
        <v>1919</v>
      </c>
      <c r="B10" s="2245"/>
      <c r="C10" s="2245"/>
      <c r="D10" s="2245"/>
      <c r="E10" s="2247"/>
      <c r="F10" s="784" t="s">
        <v>916</v>
      </c>
      <c r="G10" s="783"/>
      <c r="H10" s="785"/>
      <c r="I10" s="765"/>
      <c r="J10" s="766"/>
      <c r="K10" s="766"/>
    </row>
    <row r="11" spans="1:11" x14ac:dyDescent="0.2">
      <c r="A11" s="2244" t="s">
        <v>162</v>
      </c>
      <c r="B11" s="2245"/>
      <c r="C11" s="2245"/>
      <c r="D11" s="2245"/>
      <c r="E11" s="2246"/>
      <c r="F11" s="771" t="s">
        <v>906</v>
      </c>
      <c r="G11" s="772"/>
      <c r="H11" s="765"/>
      <c r="I11" s="765"/>
      <c r="J11" s="766"/>
      <c r="K11" s="774"/>
    </row>
    <row r="12" spans="1:11" ht="13.5" thickBot="1" x14ac:dyDescent="0.25">
      <c r="A12" s="2271" t="s">
        <v>960</v>
      </c>
      <c r="B12" s="2272"/>
      <c r="C12" s="2272"/>
      <c r="D12" s="2272"/>
      <c r="E12" s="2273"/>
      <c r="F12" s="1779"/>
      <c r="G12" s="1780">
        <f>SUM(G5:G11)</f>
        <v>0</v>
      </c>
      <c r="H12" s="1780">
        <f>SUM(H5:H11)</f>
        <v>4299346</v>
      </c>
      <c r="I12" s="1780">
        <f>SUM(I5:I11)</f>
        <v>0</v>
      </c>
      <c r="J12" s="1780">
        <f>SUM(J5:J11)</f>
        <v>0</v>
      </c>
      <c r="K12" s="1780">
        <f>SUM(K5:K11)</f>
        <v>44295</v>
      </c>
    </row>
    <row r="13" spans="1:11" ht="13.5" thickTop="1" x14ac:dyDescent="0.2">
      <c r="A13" s="2268" t="s">
        <v>387</v>
      </c>
      <c r="B13" s="2269"/>
      <c r="C13" s="2269"/>
      <c r="D13" s="2269"/>
      <c r="E13" s="2270"/>
      <c r="F13" s="786"/>
      <c r="G13" s="787"/>
      <c r="H13" s="788"/>
      <c r="I13" s="789"/>
      <c r="J13" s="789"/>
      <c r="K13" s="789"/>
    </row>
    <row r="14" spans="1:11" x14ac:dyDescent="0.2">
      <c r="A14" s="2251" t="s">
        <v>475</v>
      </c>
      <c r="B14" s="2251"/>
      <c r="C14" s="2251"/>
      <c r="D14" s="2251"/>
      <c r="E14" s="2252"/>
      <c r="F14" s="790" t="s">
        <v>908</v>
      </c>
      <c r="G14" s="783"/>
      <c r="H14" s="765">
        <v>4299346</v>
      </c>
      <c r="I14" s="772"/>
      <c r="J14" s="774"/>
      <c r="K14" s="766">
        <v>44295</v>
      </c>
    </row>
    <row r="15" spans="1:11" x14ac:dyDescent="0.2">
      <c r="A15" s="2245" t="s">
        <v>4</v>
      </c>
      <c r="B15" s="2245"/>
      <c r="C15" s="2245"/>
      <c r="D15" s="2245"/>
      <c r="E15" s="2246"/>
      <c r="F15" s="790" t="s">
        <v>909</v>
      </c>
      <c r="G15" s="772"/>
      <c r="H15" s="765"/>
      <c r="I15" s="765"/>
      <c r="J15" s="766"/>
      <c r="K15" s="766"/>
    </row>
    <row r="16" spans="1:11" x14ac:dyDescent="0.2">
      <c r="A16" s="2245" t="s">
        <v>315</v>
      </c>
      <c r="B16" s="2245"/>
      <c r="C16" s="2245"/>
      <c r="D16" s="2245"/>
      <c r="E16" s="2246"/>
      <c r="F16" s="790" t="s">
        <v>979</v>
      </c>
      <c r="G16" s="773"/>
      <c r="H16" s="768"/>
      <c r="I16" s="768"/>
      <c r="J16" s="770"/>
      <c r="K16" s="770"/>
    </row>
    <row r="17" spans="1:11" x14ac:dyDescent="0.2">
      <c r="A17" s="2276" t="s">
        <v>991</v>
      </c>
      <c r="B17" s="2276"/>
      <c r="C17" s="2276"/>
      <c r="D17" s="2276"/>
      <c r="E17" s="2277"/>
      <c r="F17" s="791"/>
      <c r="G17" s="792"/>
      <c r="H17" s="793"/>
      <c r="I17" s="793"/>
      <c r="J17" s="794"/>
      <c r="K17" s="795"/>
    </row>
    <row r="18" spans="1:11" x14ac:dyDescent="0.2">
      <c r="A18" s="2255" t="s">
        <v>385</v>
      </c>
      <c r="B18" s="2256"/>
      <c r="C18" s="2256"/>
      <c r="D18" s="2256"/>
      <c r="E18" s="2257"/>
      <c r="F18" s="790" t="s">
        <v>988</v>
      </c>
      <c r="G18" s="783"/>
      <c r="H18" s="783"/>
      <c r="I18" s="783"/>
      <c r="J18" s="766"/>
      <c r="K18" s="796"/>
    </row>
    <row r="19" spans="1:11" ht="21.75" customHeight="1" x14ac:dyDescent="0.2">
      <c r="A19" s="2253" t="s">
        <v>1915</v>
      </c>
      <c r="B19" s="2253"/>
      <c r="C19" s="2253"/>
      <c r="D19" s="2253"/>
      <c r="E19" s="2254"/>
      <c r="F19" s="790" t="s">
        <v>989</v>
      </c>
      <c r="G19" s="783"/>
      <c r="H19" s="783"/>
      <c r="I19" s="783"/>
      <c r="J19" s="766"/>
      <c r="K19" s="796"/>
    </row>
    <row r="20" spans="1:11" x14ac:dyDescent="0.2">
      <c r="A20" s="2255" t="s">
        <v>1920</v>
      </c>
      <c r="B20" s="2256"/>
      <c r="C20" s="2256"/>
      <c r="D20" s="2256"/>
      <c r="E20" s="2257"/>
      <c r="F20" s="790" t="s">
        <v>990</v>
      </c>
      <c r="G20" s="783"/>
      <c r="H20" s="783"/>
      <c r="I20" s="783"/>
      <c r="J20" s="766"/>
      <c r="K20" s="796"/>
    </row>
    <row r="21" spans="1:11" ht="13.5" thickBot="1" x14ac:dyDescent="0.25">
      <c r="A21" s="2274" t="s">
        <v>658</v>
      </c>
      <c r="B21" s="2274"/>
      <c r="C21" s="2274"/>
      <c r="D21" s="2274"/>
      <c r="E21" s="2274"/>
      <c r="F21" s="1781"/>
      <c r="G21" s="793"/>
      <c r="H21" s="797"/>
      <c r="I21" s="797"/>
      <c r="J21" s="1782">
        <f>SUM(J18:J20)</f>
        <v>0</v>
      </c>
      <c r="K21" s="794"/>
    </row>
    <row r="22" spans="1:11" ht="13.5" thickTop="1" x14ac:dyDescent="0.2">
      <c r="A22" s="2245" t="s">
        <v>1921</v>
      </c>
      <c r="B22" s="2245"/>
      <c r="C22" s="2245"/>
      <c r="D22" s="2245"/>
      <c r="E22" s="2246"/>
      <c r="F22" s="790" t="s">
        <v>916</v>
      </c>
      <c r="G22" s="783"/>
      <c r="H22" s="765"/>
      <c r="I22" s="765"/>
      <c r="J22" s="798"/>
      <c r="K22" s="766"/>
    </row>
    <row r="23" spans="1:11" ht="13.5" thickBot="1" x14ac:dyDescent="0.25">
      <c r="A23" s="2275" t="s">
        <v>961</v>
      </c>
      <c r="B23" s="2274"/>
      <c r="C23" s="2274"/>
      <c r="D23" s="2274"/>
      <c r="E23" s="2274"/>
      <c r="F23" s="1783"/>
      <c r="G23" s="1780">
        <f>SUM(G14:G16,G21,G22)</f>
        <v>0</v>
      </c>
      <c r="H23" s="1780">
        <f>SUM(H14:H16,H21,H22)</f>
        <v>4299346</v>
      </c>
      <c r="I23" s="1780">
        <f>SUM(I14:I16,I21,I22)</f>
        <v>0</v>
      </c>
      <c r="J23" s="1780">
        <f>SUM(J14:J16,J21,J22)</f>
        <v>0</v>
      </c>
      <c r="K23" s="1780">
        <f>SUM(K14:K16,K21,K22)</f>
        <v>44295</v>
      </c>
    </row>
    <row r="24" spans="1:11" ht="14.25" thickTop="1" thickBot="1" x14ac:dyDescent="0.25">
      <c r="A24" s="2275" t="s">
        <v>2025</v>
      </c>
      <c r="B24" s="2274"/>
      <c r="C24" s="2274"/>
      <c r="D24" s="2274"/>
      <c r="E24" s="2274"/>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2035</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t="s">
        <v>2081</v>
      </c>
      <c r="E30" s="809" t="s">
        <v>791</v>
      </c>
      <c r="F30" s="202"/>
      <c r="G30" s="806"/>
    </row>
    <row r="31" spans="1:11" x14ac:dyDescent="0.2">
      <c r="A31" s="810"/>
      <c r="D31" s="237"/>
      <c r="E31" s="811" t="s">
        <v>792</v>
      </c>
      <c r="F31" s="812" t="s">
        <v>559</v>
      </c>
      <c r="G31" s="765"/>
      <c r="H31" s="2248"/>
      <c r="I31" s="2249"/>
      <c r="J31" s="2249"/>
      <c r="K31" s="2249"/>
    </row>
    <row r="32" spans="1:11" x14ac:dyDescent="0.2">
      <c r="A32" s="810"/>
      <c r="B32" s="237"/>
      <c r="C32" s="237"/>
      <c r="D32" s="237"/>
      <c r="E32" s="806"/>
      <c r="F32" s="812" t="s">
        <v>560</v>
      </c>
      <c r="G32" s="765"/>
      <c r="H32" s="2250"/>
      <c r="I32" s="2249"/>
      <c r="J32" s="2249"/>
      <c r="K32" s="2249"/>
    </row>
    <row r="33" spans="1:11" ht="1.5" customHeight="1" x14ac:dyDescent="0.2">
      <c r="A33" s="813" t="s">
        <v>1230</v>
      </c>
      <c r="B33" s="364"/>
      <c r="C33" s="364"/>
      <c r="D33" s="364"/>
      <c r="E33" s="364"/>
      <c r="F33" s="364"/>
      <c r="G33" s="814"/>
      <c r="H33" s="2250"/>
      <c r="I33" s="2249"/>
      <c r="J33" s="2249"/>
      <c r="K33" s="2249"/>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45" t="s">
        <v>561</v>
      </c>
      <c r="B41" s="2258"/>
      <c r="C41" s="2258"/>
      <c r="D41" s="2258"/>
      <c r="E41" s="2258"/>
      <c r="F41" s="2259"/>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12" sqref="K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2034</v>
      </c>
      <c r="B1" s="2281"/>
      <c r="C1" s="2282"/>
      <c r="D1" s="827"/>
      <c r="E1" s="828"/>
      <c r="F1" s="828"/>
      <c r="G1" s="829"/>
      <c r="H1" s="830"/>
      <c r="I1" s="831"/>
      <c r="J1" s="2278"/>
      <c r="K1" s="2279"/>
      <c r="L1" s="2279"/>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6156988</v>
      </c>
      <c r="D5" s="842"/>
      <c r="E5" s="842"/>
      <c r="F5" s="1782">
        <f>(C5+D5)-E5</f>
        <v>6156988</v>
      </c>
      <c r="G5" s="838"/>
      <c r="H5" s="843"/>
      <c r="I5" s="843"/>
      <c r="J5" s="843"/>
      <c r="K5" s="794"/>
      <c r="L5" s="1791">
        <f>F5-K5</f>
        <v>6156988</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132726739</v>
      </c>
      <c r="D8" s="845">
        <v>72639</v>
      </c>
      <c r="E8" s="845"/>
      <c r="F8" s="1782">
        <f>(C8+D8)-E8</f>
        <v>132799378</v>
      </c>
      <c r="G8" s="844">
        <v>50</v>
      </c>
      <c r="H8" s="766">
        <v>46903512</v>
      </c>
      <c r="I8" s="766">
        <v>3364220</v>
      </c>
      <c r="J8" s="766"/>
      <c r="K8" s="1791">
        <f>(H8+I8)-J8</f>
        <v>50267732</v>
      </c>
      <c r="L8" s="1791">
        <f>F8-K8</f>
        <v>82531646</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9730098</v>
      </c>
      <c r="D10" s="847">
        <v>316620</v>
      </c>
      <c r="E10" s="847"/>
      <c r="F10" s="1786">
        <f>(C10+D10)-E10</f>
        <v>10046718</v>
      </c>
      <c r="G10" s="844">
        <v>20</v>
      </c>
      <c r="H10" s="848">
        <v>7232358</v>
      </c>
      <c r="I10" s="848">
        <v>333741</v>
      </c>
      <c r="J10" s="848"/>
      <c r="K10" s="1791">
        <f>(H10+I10)-J10</f>
        <v>7566099</v>
      </c>
      <c r="L10" s="1791">
        <f>F10-K10</f>
        <v>2480619</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21522903</v>
      </c>
      <c r="D12" s="845">
        <v>1155532</v>
      </c>
      <c r="E12" s="845"/>
      <c r="F12" s="1782">
        <f>(C12+D12)-E12</f>
        <v>22678435</v>
      </c>
      <c r="G12" s="844">
        <v>10</v>
      </c>
      <c r="H12" s="766">
        <v>14373008</v>
      </c>
      <c r="I12" s="766">
        <v>2019748</v>
      </c>
      <c r="J12" s="766"/>
      <c r="K12" s="1791">
        <f>(H12+I12)-J12</f>
        <v>16392756</v>
      </c>
      <c r="L12" s="1791">
        <f>F12-K12</f>
        <v>6285679</v>
      </c>
    </row>
    <row r="13" spans="1:14" ht="14.25" thickTop="1" thickBot="1" x14ac:dyDescent="0.25">
      <c r="A13" s="849" t="s">
        <v>1183</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170136728</v>
      </c>
      <c r="D16" s="1782">
        <f>SUM(D3,D5:D6,D8:D10,D12:D15)</f>
        <v>1544791</v>
      </c>
      <c r="E16" s="1782">
        <f>SUM(E3,E5:E6,E8:E10,E12:E15)</f>
        <v>0</v>
      </c>
      <c r="F16" s="1782">
        <f>SUM(F3,F5:F6,F8:F10,F12:F15)</f>
        <v>171681519</v>
      </c>
      <c r="G16" s="844"/>
      <c r="H16" s="1782">
        <f>SUM(H3,H6,H8:H10,H12:H14,)</f>
        <v>68508878</v>
      </c>
      <c r="I16" s="1782">
        <f>SUM(I3,I6,I8:I10,I12:I14,)</f>
        <v>5717709</v>
      </c>
      <c r="J16" s="1782">
        <f>SUM(J3,J6,J8:J10,J12:J14,)</f>
        <v>0</v>
      </c>
      <c r="K16" s="1782">
        <f>(H16+I16)-J16</f>
        <v>74226587</v>
      </c>
      <c r="L16" s="1782">
        <f>F16-K16</f>
        <v>97454932</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384292</v>
      </c>
      <c r="G17" s="838">
        <v>10</v>
      </c>
      <c r="H17" s="770"/>
      <c r="I17" s="1791">
        <f>F17/G17</f>
        <v>38429.199999999997</v>
      </c>
      <c r="J17" s="770"/>
      <c r="K17" s="796"/>
      <c r="L17" s="796"/>
    </row>
    <row r="18" spans="1:12" ht="14.25" thickTop="1" thickBot="1" x14ac:dyDescent="0.25">
      <c r="A18" s="1789" t="s">
        <v>705</v>
      </c>
      <c r="B18" s="1790"/>
      <c r="C18" s="772"/>
      <c r="D18" s="772"/>
      <c r="E18" s="772"/>
      <c r="F18" s="851"/>
      <c r="G18" s="852"/>
      <c r="H18" s="774"/>
      <c r="I18" s="1782">
        <f>SUM(I16,I17)</f>
        <v>5756138.2000000002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1698</v>
      </c>
      <c r="B1" s="2287"/>
      <c r="C1" s="2287"/>
      <c r="D1" s="2287"/>
      <c r="E1" s="2287"/>
      <c r="F1" s="2288"/>
      <c r="G1" s="856"/>
    </row>
    <row r="2" spans="1:7" ht="15" customHeight="1" thickBot="1" x14ac:dyDescent="0.25">
      <c r="A2" s="2289" t="s">
        <v>497</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92"/>
      <c r="B5" s="2293"/>
      <c r="C5" s="2293"/>
      <c r="D5" s="2293"/>
      <c r="E5" s="2293"/>
      <c r="F5" s="2293"/>
    </row>
    <row r="6" spans="1:7" ht="13.5" customHeight="1" thickBot="1" x14ac:dyDescent="0.25">
      <c r="A6" s="2283" t="s">
        <v>1165</v>
      </c>
      <c r="B6" s="2284"/>
      <c r="C6" s="2284"/>
      <c r="D6" s="2284"/>
      <c r="E6" s="2284"/>
      <c r="F6" s="2285"/>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46203106</v>
      </c>
      <c r="G8" s="866"/>
    </row>
    <row r="9" spans="1:7" x14ac:dyDescent="0.2">
      <c r="A9" s="870" t="s">
        <v>479</v>
      </c>
      <c r="B9" s="871" t="s">
        <v>1988</v>
      </c>
      <c r="C9" s="872"/>
      <c r="D9" s="870" t="s">
        <v>521</v>
      </c>
      <c r="E9" s="869"/>
      <c r="F9" s="1934">
        <f>'Expenditures 15-22'!K151</f>
        <v>5025999</v>
      </c>
      <c r="G9" s="873"/>
    </row>
    <row r="10" spans="1:7" x14ac:dyDescent="0.2">
      <c r="A10" s="870" t="s">
        <v>519</v>
      </c>
      <c r="B10" s="871" t="s">
        <v>1989</v>
      </c>
      <c r="C10" s="872"/>
      <c r="D10" s="870" t="s">
        <v>521</v>
      </c>
      <c r="E10" s="869"/>
      <c r="F10" s="1934">
        <f>'Expenditures 15-22'!K174</f>
        <v>11368502</v>
      </c>
      <c r="G10" s="873"/>
    </row>
    <row r="11" spans="1:7" x14ac:dyDescent="0.2">
      <c r="A11" s="870" t="s">
        <v>480</v>
      </c>
      <c r="B11" s="871" t="s">
        <v>1990</v>
      </c>
      <c r="C11" s="872"/>
      <c r="D11" s="870" t="s">
        <v>521</v>
      </c>
      <c r="E11" s="869"/>
      <c r="F11" s="1934">
        <f>'Expenditures 15-22'!K210</f>
        <v>4893199</v>
      </c>
      <c r="G11" s="873"/>
    </row>
    <row r="12" spans="1:7" x14ac:dyDescent="0.2">
      <c r="A12" s="870" t="s">
        <v>481</v>
      </c>
      <c r="B12" s="871" t="s">
        <v>1991</v>
      </c>
      <c r="C12" s="872"/>
      <c r="D12" s="870" t="s">
        <v>521</v>
      </c>
      <c r="E12" s="869"/>
      <c r="F12" s="1934">
        <f>'Expenditures 15-22'!K295</f>
        <v>1583980</v>
      </c>
      <c r="G12" s="873"/>
    </row>
    <row r="13" spans="1:7" x14ac:dyDescent="0.2">
      <c r="A13" s="870" t="s">
        <v>108</v>
      </c>
      <c r="B13" s="871" t="s">
        <v>1992</v>
      </c>
      <c r="C13" s="872"/>
      <c r="D13" s="870" t="s">
        <v>521</v>
      </c>
      <c r="E13" s="869"/>
      <c r="F13" s="1934">
        <f>'Expenditures 15-22'!K342</f>
        <v>0</v>
      </c>
      <c r="G13" s="874"/>
    </row>
    <row r="14" spans="1:7" ht="12" customHeight="1" thickBot="1" x14ac:dyDescent="0.25">
      <c r="A14" s="1792"/>
      <c r="B14" s="1793"/>
      <c r="C14" s="1794"/>
      <c r="D14" s="1795" t="s">
        <v>521</v>
      </c>
      <c r="E14" s="1796" t="s">
        <v>1014</v>
      </c>
      <c r="F14" s="1797">
        <f>SUM(F8:F13)</f>
        <v>69074786</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267</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410670</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36149</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1620516</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19220</v>
      </c>
      <c r="G52" s="866"/>
    </row>
    <row r="53" spans="1:7" x14ac:dyDescent="0.2">
      <c r="A53" s="870" t="s">
        <v>478</v>
      </c>
      <c r="B53" s="870" t="s">
        <v>1550</v>
      </c>
      <c r="C53" s="890">
        <f>'Expenditures 15-22'!B102</f>
        <v>4000</v>
      </c>
      <c r="D53" s="889" t="str">
        <f>'Expenditures 15-22'!A102</f>
        <v>Total Payments to Other Govt Units</v>
      </c>
      <c r="E53" s="869"/>
      <c r="F53" s="1938">
        <f>'Expenditures 15-22'!K102</f>
        <v>2580526</v>
      </c>
      <c r="G53" s="866"/>
    </row>
    <row r="54" spans="1:7" x14ac:dyDescent="0.2">
      <c r="A54" s="870" t="s">
        <v>478</v>
      </c>
      <c r="B54" s="870" t="s">
        <v>1551</v>
      </c>
      <c r="C54" s="890" t="s">
        <v>1038</v>
      </c>
      <c r="D54" s="886" t="s">
        <v>1156</v>
      </c>
      <c r="E54" s="869"/>
      <c r="F54" s="1938">
        <f>'Expenditures 15-22'!G114</f>
        <v>136710</v>
      </c>
      <c r="G54" s="866"/>
    </row>
    <row r="55" spans="1:7" x14ac:dyDescent="0.2">
      <c r="A55" s="870" t="s">
        <v>478</v>
      </c>
      <c r="B55" s="870" t="s">
        <v>1552</v>
      </c>
      <c r="C55" s="890" t="s">
        <v>1038</v>
      </c>
      <c r="D55" s="886" t="s">
        <v>308</v>
      </c>
      <c r="E55" s="869"/>
      <c r="F55" s="1938">
        <f>'Expenditures 15-22'!I114</f>
        <v>323858</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8">
        <f>'Expenditures 15-22'!K139</f>
        <v>0</v>
      </c>
      <c r="G57" s="866"/>
    </row>
    <row r="58" spans="1:7" x14ac:dyDescent="0.2">
      <c r="A58" s="870" t="s">
        <v>479</v>
      </c>
      <c r="B58" s="870" t="s">
        <v>1994</v>
      </c>
      <c r="C58" s="887" t="s">
        <v>1038</v>
      </c>
      <c r="D58" s="886" t="s">
        <v>1156</v>
      </c>
      <c r="E58" s="869"/>
      <c r="F58" s="1940">
        <f>'Expenditures 15-22'!G151</f>
        <v>884371</v>
      </c>
      <c r="G58" s="866"/>
    </row>
    <row r="59" spans="1:7" x14ac:dyDescent="0.2">
      <c r="A59" s="894" t="s">
        <v>479</v>
      </c>
      <c r="B59" s="857" t="s">
        <v>1995</v>
      </c>
      <c r="C59" s="895" t="s">
        <v>1038</v>
      </c>
      <c r="D59" s="857" t="s">
        <v>308</v>
      </c>
      <c r="F59" s="1941">
        <f>'Expenditures 15-22'!I151</f>
        <v>27847</v>
      </c>
      <c r="G59" s="866"/>
    </row>
    <row r="60" spans="1:7" x14ac:dyDescent="0.2">
      <c r="A60" s="894" t="s">
        <v>519</v>
      </c>
      <c r="B60" s="857" t="s">
        <v>1996</v>
      </c>
      <c r="C60" s="895">
        <v>4000</v>
      </c>
      <c r="D60" s="857" t="s">
        <v>329</v>
      </c>
      <c r="F60" s="1939">
        <f>'Expenditures 15-22'!K160</f>
        <v>0</v>
      </c>
      <c r="G60" s="866"/>
    </row>
    <row r="61" spans="1:7" x14ac:dyDescent="0.2">
      <c r="A61" s="896" t="s">
        <v>519</v>
      </c>
      <c r="B61" s="896" t="s">
        <v>1997</v>
      </c>
      <c r="C61" s="897" t="str">
        <f>'Expenditures 15-22'!B170</f>
        <v>5300</v>
      </c>
      <c r="D61" s="898" t="s">
        <v>328</v>
      </c>
      <c r="E61" s="880"/>
      <c r="F61" s="1938">
        <f>'Expenditures 15-22'!K170</f>
        <v>8215000</v>
      </c>
      <c r="G61" s="866"/>
    </row>
    <row r="62" spans="1:7" x14ac:dyDescent="0.2">
      <c r="A62" s="870" t="s">
        <v>480</v>
      </c>
      <c r="B62" s="870" t="s">
        <v>1998</v>
      </c>
      <c r="C62" s="887">
        <f>'Expenditures 15-22'!B185</f>
        <v>3000</v>
      </c>
      <c r="D62" s="877" t="s">
        <v>468</v>
      </c>
      <c r="E62" s="869"/>
      <c r="F62" s="1938">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480</v>
      </c>
      <c r="B64" s="896" t="s">
        <v>2000</v>
      </c>
      <c r="C64" s="897" t="str">
        <f>'Expenditures 15-22'!B206</f>
        <v>5300</v>
      </c>
      <c r="D64" s="893" t="s">
        <v>328</v>
      </c>
      <c r="E64" s="869"/>
      <c r="F64" s="1938">
        <f>'Expenditures 15-22'!K206</f>
        <v>0</v>
      </c>
      <c r="G64" s="866"/>
    </row>
    <row r="65" spans="1:8" x14ac:dyDescent="0.2">
      <c r="A65" s="870" t="s">
        <v>480</v>
      </c>
      <c r="B65" s="870" t="s">
        <v>2001</v>
      </c>
      <c r="C65" s="887" t="s">
        <v>1038</v>
      </c>
      <c r="D65" s="886" t="s">
        <v>1156</v>
      </c>
      <c r="E65" s="869"/>
      <c r="F65" s="1938">
        <f>'Expenditures 15-22'!G210</f>
        <v>585396</v>
      </c>
      <c r="G65" s="866"/>
    </row>
    <row r="66" spans="1:8" x14ac:dyDescent="0.2">
      <c r="A66" s="870" t="s">
        <v>480</v>
      </c>
      <c r="B66" s="870" t="s">
        <v>2002</v>
      </c>
      <c r="C66" s="887" t="s">
        <v>1038</v>
      </c>
      <c r="D66" s="886" t="s">
        <v>308</v>
      </c>
      <c r="E66" s="869"/>
      <c r="F66" s="1938">
        <f>'Expenditures 15-22'!I210</f>
        <v>32587</v>
      </c>
      <c r="G66" s="866"/>
    </row>
    <row r="67" spans="1:8" x14ac:dyDescent="0.2">
      <c r="A67" s="870" t="s">
        <v>481</v>
      </c>
      <c r="B67" s="870" t="s">
        <v>2003</v>
      </c>
      <c r="C67" s="887" t="str">
        <f>'Expenditures 15-22'!B216</f>
        <v>1125</v>
      </c>
      <c r="D67" s="893" t="str">
        <f>'Expenditures 15-22'!A216</f>
        <v>Pre-K Programs</v>
      </c>
      <c r="E67" s="869"/>
      <c r="F67" s="1938">
        <f>'Expenditures 15-22'!K216</f>
        <v>0</v>
      </c>
      <c r="G67" s="866"/>
    </row>
    <row r="68" spans="1:8" x14ac:dyDescent="0.2">
      <c r="A68" s="870" t="s">
        <v>481</v>
      </c>
      <c r="B68" s="870" t="s">
        <v>1554</v>
      </c>
      <c r="C68" s="887" t="str">
        <f>'Expenditures 15-22'!B218</f>
        <v>1225</v>
      </c>
      <c r="D68" s="893" t="str">
        <f>'Expenditures 15-22'!A218</f>
        <v>Special Education Programs - Pre-K</v>
      </c>
      <c r="E68" s="869"/>
      <c r="F68" s="1938">
        <f>'Expenditures 15-22'!K218</f>
        <v>20237</v>
      </c>
      <c r="G68" s="866"/>
    </row>
    <row r="69" spans="1:8" x14ac:dyDescent="0.2">
      <c r="A69" s="870" t="s">
        <v>481</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2005</v>
      </c>
      <c r="C70" s="887">
        <f>'Expenditures 15-22'!B221</f>
        <v>1300</v>
      </c>
      <c r="D70" s="888" t="str">
        <f>'Expenditures 15-22'!A221</f>
        <v>Adult/Continuing Education Programs</v>
      </c>
      <c r="E70" s="869"/>
      <c r="F70" s="1938">
        <f>'Expenditures 15-22'!K221</f>
        <v>14435</v>
      </c>
      <c r="G70" s="866"/>
    </row>
    <row r="71" spans="1:8" x14ac:dyDescent="0.2">
      <c r="A71" s="870" t="s">
        <v>481</v>
      </c>
      <c r="B71" s="870" t="s">
        <v>2006</v>
      </c>
      <c r="C71" s="887">
        <f>'Expenditures 15-22'!B224</f>
        <v>1600</v>
      </c>
      <c r="D71" s="888" t="str">
        <f>'Expenditures 15-22'!A224</f>
        <v>Summer School Programs</v>
      </c>
      <c r="E71" s="869"/>
      <c r="F71" s="1938">
        <f>'Expenditures 15-22'!K224</f>
        <v>761</v>
      </c>
      <c r="G71" s="866"/>
    </row>
    <row r="72" spans="1:8" x14ac:dyDescent="0.2">
      <c r="A72" s="870" t="s">
        <v>481</v>
      </c>
      <c r="B72" s="870" t="s">
        <v>2007</v>
      </c>
      <c r="C72" s="887">
        <f>'Expenditures 15-22'!B280</f>
        <v>3000</v>
      </c>
      <c r="D72" s="877" t="s">
        <v>468</v>
      </c>
      <c r="E72" s="869"/>
      <c r="F72" s="1938">
        <f>'Expenditures 15-22'!K280</f>
        <v>820</v>
      </c>
      <c r="G72" s="866"/>
    </row>
    <row r="73" spans="1:8" x14ac:dyDescent="0.2">
      <c r="A73" s="870" t="s">
        <v>481</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2009</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1014</v>
      </c>
      <c r="F76" s="1800">
        <f>SUM(F18:F74)</f>
        <v>14909370</v>
      </c>
      <c r="G76" s="866"/>
    </row>
    <row r="77" spans="1:8" s="894" customFormat="1" ht="12" customHeight="1" thickTop="1" thickBot="1" x14ac:dyDescent="0.25">
      <c r="A77" s="1801"/>
      <c r="B77" s="1798"/>
      <c r="C77" s="1794"/>
      <c r="D77" s="1799" t="s">
        <v>2011</v>
      </c>
      <c r="E77" s="1796"/>
      <c r="F77" s="1802">
        <f>(F14-F76)</f>
        <v>54165416</v>
      </c>
      <c r="G77" s="870"/>
    </row>
    <row r="78" spans="1:8" s="894" customFormat="1" ht="12" customHeight="1" thickTop="1" x14ac:dyDescent="0.2">
      <c r="A78" s="1803"/>
      <c r="B78" s="1798"/>
      <c r="C78" s="1794"/>
      <c r="D78" s="1799" t="s">
        <v>2058</v>
      </c>
      <c r="E78" s="1796"/>
      <c r="F78" s="899">
        <v>4097.66</v>
      </c>
      <c r="G78" s="900"/>
      <c r="H78" s="870"/>
    </row>
    <row r="79" spans="1:8" s="894" customFormat="1" ht="12" customHeight="1" thickBot="1" x14ac:dyDescent="0.25">
      <c r="A79" s="1804"/>
      <c r="B79" s="1798"/>
      <c r="C79" s="1794"/>
      <c r="D79" s="1799" t="s">
        <v>2012</v>
      </c>
      <c r="E79" s="1796" t="s">
        <v>1014</v>
      </c>
      <c r="F79" s="1805">
        <f>IF(F78&gt;0,F77/F78," Complete Line 78")</f>
        <v>13218.621359507622</v>
      </c>
      <c r="G79" s="870"/>
    </row>
    <row r="80" spans="1:8" s="894" customFormat="1" ht="8.25" customHeight="1" thickTop="1" x14ac:dyDescent="0.2">
      <c r="A80" s="901"/>
      <c r="B80" s="870"/>
      <c r="C80" s="872"/>
      <c r="D80" s="902"/>
      <c r="E80" s="869"/>
      <c r="F80" s="903"/>
      <c r="G80" s="870"/>
    </row>
    <row r="81" spans="1:7" s="894" customFormat="1" ht="12" thickBot="1" x14ac:dyDescent="0.25">
      <c r="A81" s="2283" t="s">
        <v>1166</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36881</v>
      </c>
      <c r="G86" s="915"/>
    </row>
    <row r="87" spans="1:7" x14ac:dyDescent="0.2">
      <c r="A87" s="909" t="s">
        <v>480</v>
      </c>
      <c r="B87" s="909" t="s">
        <v>169</v>
      </c>
      <c r="C87" s="911">
        <v>1416</v>
      </c>
      <c r="D87" s="912" t="str">
        <f>'Revenues 9-14'!A46</f>
        <v>Regular Transp Fees from Other Sources (Out of State)</v>
      </c>
      <c r="E87" s="907"/>
      <c r="F87" s="1811">
        <f>'Revenues 9-14'!F46</f>
        <v>609</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1012516</v>
      </c>
      <c r="G94" s="913"/>
    </row>
    <row r="95" spans="1:7" x14ac:dyDescent="0.2">
      <c r="A95" s="909" t="s">
        <v>142</v>
      </c>
      <c r="B95" s="909" t="s">
        <v>177</v>
      </c>
      <c r="C95" s="911">
        <v>1700</v>
      </c>
      <c r="D95" s="919" t="str">
        <f>'Revenues 9-14'!A82</f>
        <v>Total District/School Activity Income</v>
      </c>
      <c r="E95" s="907"/>
      <c r="F95" s="1811">
        <f>SUM('Revenues 9-14'!C82,'Revenues 9-14'!D82)</f>
        <v>31776</v>
      </c>
      <c r="G95" s="913"/>
    </row>
    <row r="96" spans="1:7" x14ac:dyDescent="0.2">
      <c r="A96" s="909" t="s">
        <v>478</v>
      </c>
      <c r="B96" s="909" t="s">
        <v>178</v>
      </c>
      <c r="C96" s="911">
        <f>'Revenues 9-14'!B84</f>
        <v>1811</v>
      </c>
      <c r="D96" s="912" t="str">
        <f>'Revenues 9-14'!A84</f>
        <v>Rentals - Regular Textbooks</v>
      </c>
      <c r="E96" s="907"/>
      <c r="F96" s="1811">
        <f>'Revenues 9-14'!C84</f>
        <v>760337</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99513</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248623</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168174</v>
      </c>
      <c r="G104" s="913"/>
    </row>
    <row r="105" spans="1:7" x14ac:dyDescent="0.2">
      <c r="A105" s="909" t="s">
        <v>523</v>
      </c>
      <c r="B105" s="909" t="s">
        <v>841</v>
      </c>
      <c r="C105" s="914">
        <v>3100</v>
      </c>
      <c r="D105" s="920" t="str">
        <f>'Revenues 9-14'!A131</f>
        <v>Total Special Education</v>
      </c>
      <c r="E105" s="907"/>
      <c r="F105" s="1811">
        <f>SUM('Revenues 9-14'!C131:D131,'Revenues 9-14'!F131)</f>
        <v>1235503</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86249</v>
      </c>
      <c r="G106" s="913"/>
    </row>
    <row r="107" spans="1:7" x14ac:dyDescent="0.2">
      <c r="A107" s="922" t="s">
        <v>684</v>
      </c>
      <c r="B107" s="909" t="s">
        <v>842</v>
      </c>
      <c r="C107" s="921">
        <v>3300</v>
      </c>
      <c r="D107" s="912" t="str">
        <f>'Revenues 9-14'!A144</f>
        <v>Total Bilingual Ed</v>
      </c>
      <c r="E107" s="907"/>
      <c r="F107" s="1811">
        <f>SUM('Revenues 9-14'!C144,'Revenues 9-14'!G144)</f>
        <v>16544</v>
      </c>
      <c r="G107" s="913"/>
    </row>
    <row r="108" spans="1:7" x14ac:dyDescent="0.2">
      <c r="A108" s="909" t="s">
        <v>478</v>
      </c>
      <c r="B108" s="909" t="s">
        <v>843</v>
      </c>
      <c r="C108" s="921">
        <f>'Revenues 9-14'!B145</f>
        <v>3360</v>
      </c>
      <c r="D108" s="912" t="str">
        <f>'Revenues 9-14'!A145</f>
        <v>State Free Lunch &amp; Breakfast</v>
      </c>
      <c r="E108" s="907"/>
      <c r="F108" s="1811">
        <f>'Revenues 9-14'!C145</f>
        <v>1373</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38857</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3260084</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6189</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77622</v>
      </c>
      <c r="G129" s="931"/>
    </row>
    <row r="130" spans="1:7" x14ac:dyDescent="0.2">
      <c r="A130" s="928" t="s">
        <v>688</v>
      </c>
      <c r="B130" s="928" t="s">
        <v>803</v>
      </c>
      <c r="C130" s="933">
        <v>4300</v>
      </c>
      <c r="D130" s="934" t="str">
        <f>'Revenues 9-14'!A211</f>
        <v>Total Title I</v>
      </c>
      <c r="E130" s="907"/>
      <c r="F130" s="1811">
        <f>SUM('Revenues 9-14'!C211,'Revenues 9-14'!D211,'Revenues 9-14'!F211,'Revenues 9-14'!G211)</f>
        <v>187760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713447</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36560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17253</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160190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160190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15239</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57710</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85228</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173720</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34</v>
      </c>
      <c r="G174" s="928"/>
    </row>
    <row r="175" spans="1:7" x14ac:dyDescent="0.2">
      <c r="A175" s="1943" t="s">
        <v>5</v>
      </c>
      <c r="B175" s="1944" t="s">
        <v>2057</v>
      </c>
      <c r="C175" s="1945">
        <v>3100</v>
      </c>
      <c r="D175" s="1946" t="s">
        <v>2060</v>
      </c>
      <c r="E175" s="907"/>
      <c r="F175" s="1930"/>
      <c r="G175" s="928"/>
    </row>
    <row r="176" spans="1:7" x14ac:dyDescent="0.2">
      <c r="A176" s="1943" t="s">
        <v>684</v>
      </c>
      <c r="B176" s="1944" t="s">
        <v>2057</v>
      </c>
      <c r="C176" s="1945">
        <v>3300</v>
      </c>
      <c r="D176" s="1946" t="s">
        <v>2061</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1014</v>
      </c>
      <c r="F178" s="1810">
        <f>SUM(F84:F136,F161:F176)</f>
        <v>8527991</v>
      </c>
    </row>
    <row r="179" spans="1:7" ht="12" customHeight="1" x14ac:dyDescent="0.2">
      <c r="A179" s="1792"/>
      <c r="B179" s="1806"/>
      <c r="C179" s="1807"/>
      <c r="D179" s="1808" t="s">
        <v>2014</v>
      </c>
      <c r="E179" s="1809"/>
      <c r="F179" s="1811">
        <f>'PCTC-OEPP 27-28'!F77-F178</f>
        <v>45637425</v>
      </c>
    </row>
    <row r="180" spans="1:7" ht="12" customHeight="1" x14ac:dyDescent="0.2">
      <c r="A180" s="1792"/>
      <c r="B180" s="1806"/>
      <c r="C180" s="1807"/>
      <c r="D180" s="1808" t="s">
        <v>1923</v>
      </c>
      <c r="E180" s="1809"/>
      <c r="F180" s="1811">
        <f>'Cap Outlay Deprec 26'!I18</f>
        <v>5756138.2000000002</v>
      </c>
    </row>
    <row r="181" spans="1:7" ht="12" customHeight="1" x14ac:dyDescent="0.2">
      <c r="A181" s="1792"/>
      <c r="B181" s="1806"/>
      <c r="C181" s="1807"/>
      <c r="D181" s="1808" t="s">
        <v>2015</v>
      </c>
      <c r="E181" s="1809"/>
      <c r="F181" s="1811">
        <f>F179+F180</f>
        <v>51393563.200000003</v>
      </c>
    </row>
    <row r="182" spans="1:7" ht="12" customHeight="1" x14ac:dyDescent="0.2">
      <c r="A182" s="1792"/>
      <c r="B182" s="1812"/>
      <c r="C182" s="1807"/>
      <c r="D182" s="1808" t="str">
        <f>D78</f>
        <v>9 Month ADA from District Average Daily Attendance/Prior General State Aid Inquiry 2017-2018</v>
      </c>
      <c r="E182" s="1809"/>
      <c r="F182" s="1813">
        <f>'PCTC-OEPP 27-28'!F78</f>
        <v>4097.66</v>
      </c>
      <c r="G182" s="931"/>
    </row>
    <row r="183" spans="1:7" ht="12" customHeight="1" thickBot="1" x14ac:dyDescent="0.25">
      <c r="A183" s="1792"/>
      <c r="B183" s="1812"/>
      <c r="C183" s="1807"/>
      <c r="D183" s="1808" t="s">
        <v>2016</v>
      </c>
      <c r="E183" s="1809" t="s">
        <v>1625</v>
      </c>
      <c r="F183" s="1814">
        <f>F181/F182</f>
        <v>12542.173630803924</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7" customFormat="1" ht="12.2" customHeight="1" x14ac:dyDescent="0.2">
      <c r="A186" s="1947" t="s">
        <v>2064</v>
      </c>
      <c r="B186" s="1948"/>
      <c r="C186" s="1949"/>
      <c r="D186" s="1948"/>
      <c r="E186" s="1949"/>
      <c r="F186" s="1948"/>
      <c r="G186" s="1948"/>
    </row>
    <row r="187" spans="1:7" s="1947" customFormat="1" ht="12.2" customHeight="1" x14ac:dyDescent="0.2">
      <c r="A187" s="1950" t="s">
        <v>2065</v>
      </c>
      <c r="C187" s="1949"/>
      <c r="D187" s="1948"/>
      <c r="E187" s="1949"/>
      <c r="F187" s="1948"/>
      <c r="G187" s="1948"/>
    </row>
    <row r="188" spans="1:7" ht="12" customHeight="1" x14ac:dyDescent="0.2">
      <c r="C188" s="950"/>
      <c r="D188" s="931"/>
      <c r="E188" s="950"/>
      <c r="F188" s="931"/>
      <c r="G188" s="931"/>
    </row>
    <row r="189" spans="1:7" x14ac:dyDescent="0.2">
      <c r="A189" s="1951" t="s">
        <v>2063</v>
      </c>
      <c r="B189" s="1952"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97" t="s">
        <v>1924</v>
      </c>
      <c r="B4" s="2298"/>
      <c r="C4" s="2298"/>
      <c r="D4" s="2298"/>
      <c r="E4" s="2298"/>
      <c r="F4" s="2298"/>
      <c r="G4" s="2299"/>
    </row>
    <row r="5" spans="1:7" x14ac:dyDescent="0.25">
      <c r="A5" s="2300"/>
      <c r="B5" s="2301"/>
      <c r="C5" s="2301"/>
      <c r="D5" s="2301"/>
      <c r="E5" s="2301"/>
      <c r="F5" s="2301"/>
      <c r="G5" s="2302"/>
    </row>
    <row r="6" spans="1:7" ht="18.75" x14ac:dyDescent="0.25">
      <c r="A6" s="1556" t="s">
        <v>1925</v>
      </c>
      <c r="B6" s="1557"/>
      <c r="C6" s="1557"/>
      <c r="D6" s="1557"/>
      <c r="E6" s="1557"/>
      <c r="F6" s="1557"/>
      <c r="G6" s="1558"/>
    </row>
    <row r="7" spans="1:7" ht="30.75" customHeight="1" x14ac:dyDescent="0.25">
      <c r="A7" s="2303" t="s">
        <v>2074</v>
      </c>
      <c r="B7" s="2304"/>
      <c r="C7" s="2304"/>
      <c r="D7" s="2304"/>
      <c r="E7" s="2304"/>
      <c r="F7" s="2304"/>
      <c r="G7" s="2305"/>
    </row>
    <row r="8" spans="1:7" ht="15.75" customHeight="1" x14ac:dyDescent="0.25">
      <c r="A8" s="2306" t="s">
        <v>2023</v>
      </c>
      <c r="B8" s="2307"/>
      <c r="C8" s="2307"/>
      <c r="D8" s="2307"/>
      <c r="E8" s="2307"/>
      <c r="F8" s="2307"/>
      <c r="G8" s="2308"/>
    </row>
    <row r="9" spans="1:7" ht="35.25" customHeight="1" x14ac:dyDescent="0.25">
      <c r="A9" s="2303" t="s">
        <v>2022</v>
      </c>
      <c r="B9" s="2304"/>
      <c r="C9" s="2304"/>
      <c r="D9" s="2304"/>
      <c r="E9" s="2304"/>
      <c r="F9" s="2304"/>
      <c r="G9" s="2305"/>
    </row>
    <row r="10" spans="1:7" ht="15" customHeight="1" x14ac:dyDescent="0.25">
      <c r="A10" s="1559" t="s">
        <v>1926</v>
      </c>
      <c r="B10" s="1560"/>
      <c r="C10" s="1560"/>
      <c r="D10" s="1560"/>
      <c r="E10" s="1560"/>
      <c r="F10" s="1560"/>
      <c r="G10" s="1561"/>
    </row>
    <row r="11" spans="1:7" ht="17.25" customHeight="1" x14ac:dyDescent="0.25">
      <c r="A11" s="2303" t="s">
        <v>1940</v>
      </c>
      <c r="B11" s="2304"/>
      <c r="C11" s="2304"/>
      <c r="D11" s="2304"/>
      <c r="E11" s="2304"/>
      <c r="F11" s="2304"/>
      <c r="G11" s="2305"/>
    </row>
    <row r="12" spans="1:7" ht="15" customHeight="1" x14ac:dyDescent="0.25">
      <c r="A12" s="1559" t="s">
        <v>1931</v>
      </c>
      <c r="B12" s="1560"/>
      <c r="C12" s="1560"/>
      <c r="D12" s="1560"/>
      <c r="E12" s="1560"/>
      <c r="F12" s="1560"/>
      <c r="G12" s="1561"/>
    </row>
    <row r="13" spans="1:7" ht="32.25" customHeight="1" x14ac:dyDescent="0.25">
      <c r="A13" s="2294" t="s">
        <v>1932</v>
      </c>
      <c r="B13" s="2295"/>
      <c r="C13" s="2295"/>
      <c r="D13" s="2295"/>
      <c r="E13" s="2295"/>
      <c r="F13" s="2295"/>
      <c r="G13" s="2296"/>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955" t="s">
        <v>2091</v>
      </c>
      <c r="B18" s="1689" t="s">
        <v>2125</v>
      </c>
      <c r="C18" s="1676" t="s">
        <v>2092</v>
      </c>
      <c r="D18" s="1867">
        <v>25931</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5" t="s">
        <v>2093</v>
      </c>
      <c r="B19" s="1689" t="s">
        <v>2126</v>
      </c>
      <c r="C19" s="1676" t="s">
        <v>2094</v>
      </c>
      <c r="D19" s="1867">
        <v>202797</v>
      </c>
      <c r="E19" s="1562">
        <f t="shared" si="2"/>
        <v>25000</v>
      </c>
      <c r="F19" s="1815">
        <f t="shared" si="3"/>
        <v>25000</v>
      </c>
      <c r="G19" s="1816">
        <f t="shared" si="4"/>
        <v>177797</v>
      </c>
    </row>
    <row r="20" spans="1:8" x14ac:dyDescent="0.25">
      <c r="A20" s="1955" t="s">
        <v>2095</v>
      </c>
      <c r="B20" s="1689" t="s">
        <v>2127</v>
      </c>
      <c r="C20" s="1676" t="s">
        <v>2096</v>
      </c>
      <c r="D20" s="1867">
        <v>35000</v>
      </c>
      <c r="E20" s="1562">
        <f t="shared" si="2"/>
        <v>25000</v>
      </c>
      <c r="F20" s="1815">
        <f t="shared" si="3"/>
        <v>0</v>
      </c>
      <c r="G20" s="1816">
        <f t="shared" si="4"/>
        <v>0</v>
      </c>
    </row>
    <row r="21" spans="1:8" x14ac:dyDescent="0.25">
      <c r="A21" s="1955" t="s">
        <v>2097</v>
      </c>
      <c r="B21" s="1689" t="s">
        <v>2128</v>
      </c>
      <c r="C21" s="1676" t="s">
        <v>2098</v>
      </c>
      <c r="D21" s="1867">
        <v>503000</v>
      </c>
      <c r="E21" s="1562">
        <f t="shared" si="2"/>
        <v>25000</v>
      </c>
      <c r="F21" s="1815">
        <f t="shared" si="3"/>
        <v>0</v>
      </c>
      <c r="G21" s="1816">
        <f t="shared" si="4"/>
        <v>0</v>
      </c>
    </row>
    <row r="22" spans="1:8" x14ac:dyDescent="0.25">
      <c r="A22" s="1955" t="s">
        <v>2097</v>
      </c>
      <c r="B22" s="1689" t="s">
        <v>2128</v>
      </c>
      <c r="C22" s="1676" t="s">
        <v>2099</v>
      </c>
      <c r="D22" s="1867">
        <v>22408</v>
      </c>
      <c r="E22" s="1562">
        <f t="shared" si="2"/>
        <v>22408</v>
      </c>
      <c r="F22" s="1815">
        <f t="shared" si="3"/>
        <v>0</v>
      </c>
      <c r="G22" s="1816">
        <f t="shared" si="4"/>
        <v>0</v>
      </c>
    </row>
    <row r="23" spans="1:8" x14ac:dyDescent="0.25">
      <c r="A23" s="1955" t="s">
        <v>2095</v>
      </c>
      <c r="B23" s="1689" t="s">
        <v>2125</v>
      </c>
      <c r="C23" s="1676" t="s">
        <v>2100</v>
      </c>
      <c r="D23" s="1867">
        <v>57439</v>
      </c>
      <c r="E23" s="1562">
        <f t="shared" si="2"/>
        <v>25000</v>
      </c>
      <c r="F23" s="1815">
        <f t="shared" si="3"/>
        <v>0</v>
      </c>
      <c r="G23" s="1816">
        <f t="shared" si="4"/>
        <v>0</v>
      </c>
    </row>
    <row r="24" spans="1:8" x14ac:dyDescent="0.25">
      <c r="A24" s="1955" t="s">
        <v>2100</v>
      </c>
      <c r="B24" s="1689" t="s">
        <v>2125</v>
      </c>
      <c r="C24" s="1676" t="s">
        <v>2101</v>
      </c>
      <c r="D24" s="1867">
        <v>325524</v>
      </c>
      <c r="E24" s="1562">
        <f t="shared" si="2"/>
        <v>25000</v>
      </c>
      <c r="F24" s="1815">
        <f t="shared" si="3"/>
        <v>0</v>
      </c>
      <c r="G24" s="1816">
        <f t="shared" si="4"/>
        <v>0</v>
      </c>
    </row>
    <row r="25" spans="1:8" x14ac:dyDescent="0.25">
      <c r="A25" s="1955" t="s">
        <v>2095</v>
      </c>
      <c r="B25" s="1689" t="s">
        <v>2125</v>
      </c>
      <c r="C25" s="1676" t="s">
        <v>2102</v>
      </c>
      <c r="D25" s="1867">
        <v>25691</v>
      </c>
      <c r="E25" s="1562">
        <f t="shared" si="2"/>
        <v>25000</v>
      </c>
      <c r="F25" s="1815">
        <f t="shared" si="3"/>
        <v>0</v>
      </c>
      <c r="G25" s="1816">
        <f t="shared" si="4"/>
        <v>0</v>
      </c>
    </row>
    <row r="26" spans="1:8" x14ac:dyDescent="0.25">
      <c r="A26" s="1955" t="s">
        <v>2095</v>
      </c>
      <c r="B26" s="1689" t="s">
        <v>2125</v>
      </c>
      <c r="C26" s="1676" t="s">
        <v>2103</v>
      </c>
      <c r="D26" s="1867">
        <v>28300</v>
      </c>
      <c r="E26" s="1562">
        <f t="shared" si="2"/>
        <v>25000</v>
      </c>
      <c r="F26" s="1815">
        <f t="shared" si="3"/>
        <v>0</v>
      </c>
      <c r="G26" s="1816">
        <f t="shared" si="4"/>
        <v>0</v>
      </c>
    </row>
    <row r="27" spans="1:8" x14ac:dyDescent="0.25">
      <c r="A27" s="1955" t="s">
        <v>2093</v>
      </c>
      <c r="B27" s="1689" t="s">
        <v>2126</v>
      </c>
      <c r="C27" s="1676" t="s">
        <v>2104</v>
      </c>
      <c r="D27" s="1867">
        <v>27377</v>
      </c>
      <c r="E27" s="1562">
        <f t="shared" si="2"/>
        <v>25000</v>
      </c>
      <c r="F27" s="1815">
        <f t="shared" si="3"/>
        <v>25000</v>
      </c>
      <c r="G27" s="1816">
        <f t="shared" si="4"/>
        <v>2377</v>
      </c>
    </row>
    <row r="28" spans="1:8" x14ac:dyDescent="0.25">
      <c r="A28" s="1955" t="s">
        <v>2095</v>
      </c>
      <c r="B28" s="1689" t="s">
        <v>2125</v>
      </c>
      <c r="C28" s="1676" t="s">
        <v>2105</v>
      </c>
      <c r="D28" s="1867">
        <v>38047</v>
      </c>
      <c r="E28" s="1562">
        <f t="shared" si="2"/>
        <v>25000</v>
      </c>
      <c r="F28" s="1815">
        <f t="shared" si="3"/>
        <v>0</v>
      </c>
      <c r="G28" s="1816">
        <f t="shared" si="4"/>
        <v>0</v>
      </c>
    </row>
    <row r="29" spans="1:8" x14ac:dyDescent="0.25">
      <c r="A29" s="1955" t="s">
        <v>2106</v>
      </c>
      <c r="B29" s="1689" t="s">
        <v>2119</v>
      </c>
      <c r="C29" s="1676" t="s">
        <v>2107</v>
      </c>
      <c r="D29" s="1867">
        <v>48740</v>
      </c>
      <c r="E29" s="1562">
        <f t="shared" si="2"/>
        <v>25000</v>
      </c>
      <c r="F29" s="1815">
        <f t="shared" si="3"/>
        <v>0</v>
      </c>
      <c r="G29" s="1816">
        <f t="shared" si="4"/>
        <v>0</v>
      </c>
    </row>
    <row r="30" spans="1:8" x14ac:dyDescent="0.25">
      <c r="A30" s="1955" t="s">
        <v>2106</v>
      </c>
      <c r="B30" s="1689" t="s">
        <v>2119</v>
      </c>
      <c r="C30" s="1676" t="s">
        <v>2108</v>
      </c>
      <c r="D30" s="1867">
        <v>29050</v>
      </c>
      <c r="E30" s="1562">
        <f t="shared" si="2"/>
        <v>25000</v>
      </c>
      <c r="F30" s="1815">
        <f t="shared" si="3"/>
        <v>0</v>
      </c>
      <c r="G30" s="1816">
        <f t="shared" si="4"/>
        <v>0</v>
      </c>
    </row>
    <row r="31" spans="1:8" x14ac:dyDescent="0.25">
      <c r="A31" s="1955" t="s">
        <v>2106</v>
      </c>
      <c r="B31" s="1689" t="s">
        <v>2119</v>
      </c>
      <c r="C31" s="1676" t="s">
        <v>2109</v>
      </c>
      <c r="D31" s="1867">
        <v>38271</v>
      </c>
      <c r="E31" s="1562">
        <f t="shared" si="2"/>
        <v>25000</v>
      </c>
      <c r="F31" s="1815">
        <f t="shared" si="3"/>
        <v>0</v>
      </c>
      <c r="G31" s="1816">
        <f t="shared" si="4"/>
        <v>0</v>
      </c>
    </row>
    <row r="32" spans="1:8" x14ac:dyDescent="0.25">
      <c r="A32" s="1955" t="s">
        <v>2106</v>
      </c>
      <c r="B32" s="1689" t="s">
        <v>2119</v>
      </c>
      <c r="C32" s="1676" t="s">
        <v>2110</v>
      </c>
      <c r="D32" s="1867">
        <v>1458099</v>
      </c>
      <c r="E32" s="1562">
        <f t="shared" si="2"/>
        <v>25000</v>
      </c>
      <c r="F32" s="1815">
        <f t="shared" si="3"/>
        <v>0</v>
      </c>
      <c r="G32" s="1816">
        <f t="shared" si="4"/>
        <v>0</v>
      </c>
    </row>
    <row r="33" spans="1:7" x14ac:dyDescent="0.25">
      <c r="A33" s="1955" t="s">
        <v>2106</v>
      </c>
      <c r="B33" s="1689" t="s">
        <v>2119</v>
      </c>
      <c r="C33" s="1676" t="s">
        <v>2111</v>
      </c>
      <c r="D33" s="1867">
        <v>31104</v>
      </c>
      <c r="E33" s="1562">
        <f t="shared" si="2"/>
        <v>25000</v>
      </c>
      <c r="F33" s="1815">
        <f t="shared" si="3"/>
        <v>0</v>
      </c>
      <c r="G33" s="1816">
        <f t="shared" si="4"/>
        <v>0</v>
      </c>
    </row>
    <row r="34" spans="1:7" x14ac:dyDescent="0.25">
      <c r="A34" s="1955" t="s">
        <v>2106</v>
      </c>
      <c r="B34" s="1689" t="s">
        <v>2119</v>
      </c>
      <c r="C34" s="1676" t="s">
        <v>2112</v>
      </c>
      <c r="D34" s="1867">
        <v>26652</v>
      </c>
      <c r="E34" s="1562">
        <f t="shared" si="2"/>
        <v>25000</v>
      </c>
      <c r="F34" s="1815">
        <f t="shared" si="3"/>
        <v>0</v>
      </c>
      <c r="G34" s="1816">
        <f t="shared" si="4"/>
        <v>0</v>
      </c>
    </row>
    <row r="35" spans="1:7" x14ac:dyDescent="0.25">
      <c r="A35" s="1955" t="s">
        <v>2106</v>
      </c>
      <c r="B35" s="1689" t="s">
        <v>2119</v>
      </c>
      <c r="C35" s="1676" t="s">
        <v>2113</v>
      </c>
      <c r="D35" s="1867">
        <v>82104</v>
      </c>
      <c r="E35" s="1562">
        <f t="shared" si="2"/>
        <v>25000</v>
      </c>
      <c r="F35" s="1815">
        <f t="shared" si="3"/>
        <v>0</v>
      </c>
      <c r="G35" s="1816">
        <f t="shared" si="4"/>
        <v>0</v>
      </c>
    </row>
    <row r="36" spans="1:7" x14ac:dyDescent="0.25">
      <c r="A36" s="1955" t="s">
        <v>2106</v>
      </c>
      <c r="B36" s="1689" t="s">
        <v>2119</v>
      </c>
      <c r="C36" s="1676" t="s">
        <v>2114</v>
      </c>
      <c r="D36" s="1867">
        <v>25369</v>
      </c>
      <c r="E36" s="1562">
        <f t="shared" si="2"/>
        <v>25000</v>
      </c>
      <c r="F36" s="1815">
        <f t="shared" si="3"/>
        <v>0</v>
      </c>
      <c r="G36" s="1816">
        <f t="shared" si="4"/>
        <v>0</v>
      </c>
    </row>
    <row r="37" spans="1:7" x14ac:dyDescent="0.25">
      <c r="A37" s="1955" t="s">
        <v>2106</v>
      </c>
      <c r="B37" s="1689" t="s">
        <v>2119</v>
      </c>
      <c r="C37" s="1676" t="s">
        <v>2115</v>
      </c>
      <c r="D37" s="1867">
        <v>40000</v>
      </c>
      <c r="E37" s="1562">
        <f t="shared" si="2"/>
        <v>25000</v>
      </c>
      <c r="F37" s="1815">
        <f t="shared" si="3"/>
        <v>0</v>
      </c>
      <c r="G37" s="1816">
        <f t="shared" si="4"/>
        <v>0</v>
      </c>
    </row>
    <row r="38" spans="1:7" x14ac:dyDescent="0.25">
      <c r="A38" s="1955" t="s">
        <v>2106</v>
      </c>
      <c r="B38" s="1689" t="s">
        <v>2119</v>
      </c>
      <c r="C38" s="1676" t="s">
        <v>2101</v>
      </c>
      <c r="D38" s="1867">
        <v>87278</v>
      </c>
      <c r="E38" s="1562">
        <f t="shared" si="2"/>
        <v>25000</v>
      </c>
      <c r="F38" s="1815">
        <f t="shared" si="3"/>
        <v>0</v>
      </c>
      <c r="G38" s="1816">
        <f t="shared" si="4"/>
        <v>0</v>
      </c>
    </row>
    <row r="39" spans="1:7" x14ac:dyDescent="0.25">
      <c r="A39" s="1955" t="s">
        <v>2106</v>
      </c>
      <c r="B39" s="1689" t="s">
        <v>2119</v>
      </c>
      <c r="C39" s="1676" t="s">
        <v>2116</v>
      </c>
      <c r="D39" s="1867">
        <v>25884</v>
      </c>
      <c r="E39" s="1562">
        <f t="shared" si="2"/>
        <v>25000</v>
      </c>
      <c r="F39" s="1815">
        <f t="shared" si="3"/>
        <v>0</v>
      </c>
      <c r="G39" s="1816">
        <f t="shared" si="4"/>
        <v>0</v>
      </c>
    </row>
    <row r="40" spans="1:7" x14ac:dyDescent="0.25">
      <c r="A40" s="1955" t="s">
        <v>2106</v>
      </c>
      <c r="B40" s="1689" t="s">
        <v>2119</v>
      </c>
      <c r="C40" s="1676" t="s">
        <v>2117</v>
      </c>
      <c r="D40" s="1867">
        <v>48623</v>
      </c>
      <c r="E40" s="1562">
        <f t="shared" si="2"/>
        <v>25000</v>
      </c>
      <c r="F40" s="1815">
        <f t="shared" si="3"/>
        <v>0</v>
      </c>
      <c r="G40" s="1816">
        <f t="shared" si="4"/>
        <v>0</v>
      </c>
    </row>
    <row r="41" spans="1:7" x14ac:dyDescent="0.25">
      <c r="A41" s="1955" t="s">
        <v>2118</v>
      </c>
      <c r="B41" s="1689" t="s">
        <v>2119</v>
      </c>
      <c r="C41" s="1676" t="s">
        <v>2120</v>
      </c>
      <c r="D41" s="1867">
        <v>26234</v>
      </c>
      <c r="E41" s="1562">
        <f t="shared" si="2"/>
        <v>25000</v>
      </c>
      <c r="F41" s="1815">
        <f t="shared" si="3"/>
        <v>0</v>
      </c>
      <c r="G41" s="1816">
        <f t="shared" si="4"/>
        <v>0</v>
      </c>
    </row>
    <row r="42" spans="1:7" x14ac:dyDescent="0.25">
      <c r="A42" s="1955" t="s">
        <v>2121</v>
      </c>
      <c r="B42" s="1689" t="s">
        <v>2129</v>
      </c>
      <c r="C42" s="1676" t="s">
        <v>2122</v>
      </c>
      <c r="D42" s="1867">
        <v>144463</v>
      </c>
      <c r="E42" s="1562">
        <f t="shared" si="2"/>
        <v>25000</v>
      </c>
      <c r="F42" s="1815">
        <f t="shared" si="3"/>
        <v>0</v>
      </c>
      <c r="G42" s="1816">
        <f t="shared" si="4"/>
        <v>0</v>
      </c>
    </row>
    <row r="43" spans="1:7" x14ac:dyDescent="0.25">
      <c r="A43" s="1955" t="s">
        <v>2121</v>
      </c>
      <c r="B43" s="1689" t="s">
        <v>2129</v>
      </c>
      <c r="C43" s="1676" t="s">
        <v>2123</v>
      </c>
      <c r="D43" s="1867">
        <v>1571722</v>
      </c>
      <c r="E43" s="1562">
        <f t="shared" si="2"/>
        <v>25000</v>
      </c>
      <c r="F43" s="1815">
        <f t="shared" si="3"/>
        <v>0</v>
      </c>
      <c r="G43" s="1816">
        <f t="shared" si="4"/>
        <v>0</v>
      </c>
    </row>
    <row r="44" spans="1:7" x14ac:dyDescent="0.25">
      <c r="A44" s="1955" t="s">
        <v>2123</v>
      </c>
      <c r="B44" s="1689" t="s">
        <v>2129</v>
      </c>
      <c r="C44" s="1676" t="s">
        <v>2098</v>
      </c>
      <c r="D44" s="1867">
        <v>26921</v>
      </c>
      <c r="E44" s="1562">
        <f t="shared" si="2"/>
        <v>25000</v>
      </c>
      <c r="F44" s="1815">
        <f t="shared" si="3"/>
        <v>0</v>
      </c>
      <c r="G44" s="1816">
        <f t="shared" si="4"/>
        <v>0</v>
      </c>
    </row>
    <row r="45" spans="1:7" x14ac:dyDescent="0.25">
      <c r="A45" s="1955" t="s">
        <v>2121</v>
      </c>
      <c r="B45" s="1689" t="s">
        <v>2129</v>
      </c>
      <c r="C45" s="1676" t="s">
        <v>2101</v>
      </c>
      <c r="D45" s="1867">
        <v>199618</v>
      </c>
      <c r="E45" s="1562">
        <f t="shared" si="2"/>
        <v>25000</v>
      </c>
      <c r="F45" s="1815">
        <f t="shared" si="3"/>
        <v>0</v>
      </c>
      <c r="G45" s="1816">
        <f t="shared" si="4"/>
        <v>0</v>
      </c>
    </row>
    <row r="46" spans="1:7" x14ac:dyDescent="0.25">
      <c r="A46" s="1955" t="s">
        <v>2121</v>
      </c>
      <c r="B46" s="1689" t="s">
        <v>2129</v>
      </c>
      <c r="C46" s="1676" t="s">
        <v>2124</v>
      </c>
      <c r="D46" s="1867">
        <v>269275</v>
      </c>
      <c r="E46" s="1562">
        <f t="shared" si="2"/>
        <v>25000</v>
      </c>
      <c r="F46" s="1815">
        <f t="shared" si="3"/>
        <v>0</v>
      </c>
      <c r="G46" s="1816">
        <f t="shared" si="4"/>
        <v>0</v>
      </c>
    </row>
    <row r="47" spans="1:7" x14ac:dyDescent="0.25">
      <c r="A47" s="1955" t="s">
        <v>2121</v>
      </c>
      <c r="B47" s="1689" t="s">
        <v>2129</v>
      </c>
      <c r="C47" s="1676" t="s">
        <v>2105</v>
      </c>
      <c r="D47" s="1867">
        <v>12748</v>
      </c>
      <c r="E47" s="1562">
        <f t="shared" si="2"/>
        <v>12748</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955" t="s">
        <v>2130</v>
      </c>
      <c r="B49" s="1689" t="s">
        <v>1930</v>
      </c>
      <c r="C49" s="1956" t="s">
        <v>2137</v>
      </c>
      <c r="D49" s="1867">
        <v>97538.48</v>
      </c>
      <c r="E49" s="1562">
        <f t="shared" si="2"/>
        <v>25000</v>
      </c>
      <c r="F49" s="1815">
        <f t="shared" si="3"/>
        <v>25000</v>
      </c>
      <c r="G49" s="1816">
        <f t="shared" si="4"/>
        <v>72538.48</v>
      </c>
    </row>
    <row r="50" spans="1:7" x14ac:dyDescent="0.25">
      <c r="A50" s="1675" t="s">
        <v>2130</v>
      </c>
      <c r="B50" s="1689" t="s">
        <v>1930</v>
      </c>
      <c r="C50" s="1956" t="s">
        <v>2138</v>
      </c>
      <c r="D50" s="1867">
        <v>92848.41</v>
      </c>
      <c r="E50" s="1562">
        <f t="shared" si="2"/>
        <v>25000</v>
      </c>
      <c r="F50" s="1815">
        <f t="shared" si="3"/>
        <v>25000</v>
      </c>
      <c r="G50" s="1816">
        <f t="shared" si="4"/>
        <v>67848.41</v>
      </c>
    </row>
    <row r="51" spans="1:7" x14ac:dyDescent="0.25">
      <c r="A51" s="1675" t="s">
        <v>2130</v>
      </c>
      <c r="B51" s="1689" t="s">
        <v>1930</v>
      </c>
      <c r="C51" s="1956" t="s">
        <v>2139</v>
      </c>
      <c r="D51" s="1867">
        <v>115163.76</v>
      </c>
      <c r="E51" s="1562">
        <f t="shared" si="2"/>
        <v>25000</v>
      </c>
      <c r="F51" s="1815">
        <f t="shared" si="3"/>
        <v>25000</v>
      </c>
      <c r="G51" s="1816">
        <f t="shared" si="4"/>
        <v>90163.76</v>
      </c>
    </row>
    <row r="52" spans="1:7" x14ac:dyDescent="0.25">
      <c r="A52" s="1675" t="s">
        <v>2130</v>
      </c>
      <c r="B52" s="1689" t="s">
        <v>1930</v>
      </c>
      <c r="C52" s="1956" t="s">
        <v>2140</v>
      </c>
      <c r="D52" s="1867">
        <v>249486.12</v>
      </c>
      <c r="E52" s="1562">
        <f t="shared" si="2"/>
        <v>25000</v>
      </c>
      <c r="F52" s="1815">
        <f t="shared" si="3"/>
        <v>25000</v>
      </c>
      <c r="G52" s="1816">
        <f t="shared" si="4"/>
        <v>224486.12</v>
      </c>
    </row>
    <row r="53" spans="1:7" ht="30" x14ac:dyDescent="0.25">
      <c r="A53" s="1675" t="s">
        <v>2130</v>
      </c>
      <c r="B53" s="1689" t="s">
        <v>1930</v>
      </c>
      <c r="C53" s="1956" t="s">
        <v>2141</v>
      </c>
      <c r="D53" s="1867">
        <v>101689.96</v>
      </c>
      <c r="E53" s="1562">
        <f t="shared" si="2"/>
        <v>25000</v>
      </c>
      <c r="F53" s="1815">
        <f t="shared" si="3"/>
        <v>25000</v>
      </c>
      <c r="G53" s="1816">
        <f t="shared" si="4"/>
        <v>76689.960000000006</v>
      </c>
    </row>
    <row r="54" spans="1:7" ht="30" x14ac:dyDescent="0.25">
      <c r="A54" s="1675" t="s">
        <v>2130</v>
      </c>
      <c r="B54" s="1689" t="s">
        <v>1930</v>
      </c>
      <c r="C54" s="1956" t="s">
        <v>2142</v>
      </c>
      <c r="D54" s="1867">
        <v>89561.14</v>
      </c>
      <c r="E54" s="1562">
        <f t="shared" si="2"/>
        <v>25000</v>
      </c>
      <c r="F54" s="1815">
        <f t="shared" si="3"/>
        <v>25000</v>
      </c>
      <c r="G54" s="1816">
        <f t="shared" si="4"/>
        <v>64561.14</v>
      </c>
    </row>
    <row r="55" spans="1:7" x14ac:dyDescent="0.25">
      <c r="A55" s="1675" t="s">
        <v>2130</v>
      </c>
      <c r="B55" s="1689" t="s">
        <v>1930</v>
      </c>
      <c r="C55" s="1956" t="s">
        <v>2143</v>
      </c>
      <c r="D55" s="1867">
        <v>290633.3</v>
      </c>
      <c r="E55" s="1562">
        <f t="shared" si="2"/>
        <v>25000</v>
      </c>
      <c r="F55" s="1815">
        <f t="shared" si="3"/>
        <v>25000</v>
      </c>
      <c r="G55" s="1816">
        <f t="shared" si="4"/>
        <v>265633.3</v>
      </c>
    </row>
    <row r="56" spans="1:7" x14ac:dyDescent="0.25">
      <c r="A56" s="1675" t="s">
        <v>2130</v>
      </c>
      <c r="B56" s="1689" t="s">
        <v>1930</v>
      </c>
      <c r="C56" s="1676" t="s">
        <v>2144</v>
      </c>
      <c r="D56" s="1867">
        <v>131004</v>
      </c>
      <c r="E56" s="1562">
        <f t="shared" si="2"/>
        <v>25000</v>
      </c>
      <c r="F56" s="1815">
        <f t="shared" si="3"/>
        <v>25000</v>
      </c>
      <c r="G56" s="1816">
        <f t="shared" si="4"/>
        <v>106004</v>
      </c>
    </row>
    <row r="57" spans="1:7" x14ac:dyDescent="0.25">
      <c r="A57" s="1675" t="s">
        <v>2130</v>
      </c>
      <c r="B57" s="1689" t="s">
        <v>1930</v>
      </c>
      <c r="C57" s="1676" t="s">
        <v>2131</v>
      </c>
      <c r="D57" s="1867">
        <v>48956.38</v>
      </c>
      <c r="E57" s="1562">
        <f t="shared" si="2"/>
        <v>25000</v>
      </c>
      <c r="F57" s="1815">
        <f t="shared" si="3"/>
        <v>25000</v>
      </c>
      <c r="G57" s="1816">
        <f t="shared" si="4"/>
        <v>23956.379999999997</v>
      </c>
    </row>
    <row r="58" spans="1:7" ht="30" x14ac:dyDescent="0.25">
      <c r="A58" s="1675" t="s">
        <v>2130</v>
      </c>
      <c r="B58" s="1689" t="s">
        <v>1930</v>
      </c>
      <c r="C58" s="1956" t="s">
        <v>2132</v>
      </c>
      <c r="D58" s="1867">
        <v>33527.339999999997</v>
      </c>
      <c r="E58" s="1562">
        <f t="shared" si="2"/>
        <v>25000</v>
      </c>
      <c r="F58" s="1815">
        <f t="shared" si="3"/>
        <v>25000</v>
      </c>
      <c r="G58" s="1816">
        <f t="shared" si="4"/>
        <v>8527.3399999999965</v>
      </c>
    </row>
    <row r="59" spans="1:7" x14ac:dyDescent="0.25">
      <c r="A59" s="1675" t="s">
        <v>2130</v>
      </c>
      <c r="B59" s="1689" t="s">
        <v>1930</v>
      </c>
      <c r="C59" s="1676" t="s">
        <v>2145</v>
      </c>
      <c r="D59" s="1867">
        <v>28816</v>
      </c>
      <c r="E59" s="1562">
        <f t="shared" si="2"/>
        <v>25000</v>
      </c>
      <c r="F59" s="1815">
        <f t="shared" si="3"/>
        <v>25000</v>
      </c>
      <c r="G59" s="1816">
        <f t="shared" si="4"/>
        <v>3816</v>
      </c>
    </row>
    <row r="60" spans="1:7" x14ac:dyDescent="0.25">
      <c r="A60" s="1675" t="s">
        <v>2130</v>
      </c>
      <c r="B60" s="1689" t="s">
        <v>1930</v>
      </c>
      <c r="C60" s="1676" t="s">
        <v>2133</v>
      </c>
      <c r="D60" s="1867">
        <v>38123.019999999997</v>
      </c>
      <c r="E60" s="1562">
        <f t="shared" si="2"/>
        <v>25000</v>
      </c>
      <c r="F60" s="1815">
        <f t="shared" si="3"/>
        <v>25000</v>
      </c>
      <c r="G60" s="1816">
        <f t="shared" si="4"/>
        <v>13123.019999999997</v>
      </c>
    </row>
    <row r="61" spans="1:7" x14ac:dyDescent="0.25">
      <c r="A61" s="1675" t="s">
        <v>2130</v>
      </c>
      <c r="B61" s="1689" t="s">
        <v>1930</v>
      </c>
      <c r="C61" s="1676" t="s">
        <v>2134</v>
      </c>
      <c r="D61" s="1867">
        <v>265431.86</v>
      </c>
      <c r="E61" s="1562">
        <f t="shared" si="2"/>
        <v>25000</v>
      </c>
      <c r="F61" s="1815">
        <f t="shared" si="3"/>
        <v>25000</v>
      </c>
      <c r="G61" s="1816">
        <f t="shared" si="4"/>
        <v>240431.86</v>
      </c>
    </row>
    <row r="62" spans="1:7" ht="30" x14ac:dyDescent="0.25">
      <c r="A62" s="1675" t="s">
        <v>2130</v>
      </c>
      <c r="B62" s="1689" t="s">
        <v>1930</v>
      </c>
      <c r="C62" s="1956" t="s">
        <v>2135</v>
      </c>
      <c r="D62" s="1867">
        <v>76491.240000000005</v>
      </c>
      <c r="E62" s="1562">
        <f t="shared" si="2"/>
        <v>25000</v>
      </c>
      <c r="F62" s="1815">
        <f t="shared" si="3"/>
        <v>25000</v>
      </c>
      <c r="G62" s="1816">
        <f t="shared" si="4"/>
        <v>51491.240000000005</v>
      </c>
    </row>
    <row r="63" spans="1:7" ht="30" x14ac:dyDescent="0.25">
      <c r="A63" s="1675" t="s">
        <v>2130</v>
      </c>
      <c r="B63" s="1689" t="s">
        <v>1930</v>
      </c>
      <c r="C63" s="1956" t="s">
        <v>2136</v>
      </c>
      <c r="D63" s="1867">
        <v>1416136</v>
      </c>
      <c r="E63" s="1562">
        <f t="shared" si="2"/>
        <v>25000</v>
      </c>
      <c r="F63" s="1815">
        <f t="shared" si="3"/>
        <v>25000</v>
      </c>
      <c r="G63" s="1816">
        <f t="shared" si="4"/>
        <v>1391136</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8559076.0099999998</v>
      </c>
      <c r="E141" s="1563">
        <f t="shared" si="1"/>
        <v>25000</v>
      </c>
      <c r="F141" s="1817">
        <f>SUM(F17:F140)</f>
        <v>425000</v>
      </c>
      <c r="G141" s="1818">
        <f>SUM(G17:G140)</f>
        <v>2880581.01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9" t="s">
        <v>1777</v>
      </c>
      <c r="B5" s="2310"/>
      <c r="C5" s="2310"/>
      <c r="D5" s="2310"/>
      <c r="E5" s="2310"/>
      <c r="F5" s="2310"/>
      <c r="G5" s="231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14" t="s">
        <v>1944</v>
      </c>
      <c r="B11" s="2315"/>
      <c r="C11" s="2315"/>
      <c r="D11" s="231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30162307</v>
      </c>
      <c r="F19" s="1822"/>
      <c r="G19" s="1824">
        <f>'Expenditures 15-22'!K33-SUM('Expenditures 15-22'!G33,'Expenditures 15-22'!I33)+'Expenditures 15-22'!D229</f>
        <v>30162307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4363000</v>
      </c>
      <c r="F21" s="1825"/>
      <c r="G21" s="1828">
        <f>'Expenditures 15-22'!K42-SUM('Expenditures 15-22'!G42,'Expenditures 15-22'!I42)+'Expenditures 15-22'!K120-SUM('Expenditures 15-22'!G120,'Expenditures 15-22'!I120)+'Expenditures 15-22'!K180-SUM('Expenditures 15-22'!G180,'Expenditures 15-22'!I180)+'Expenditures 15-22'!D238</f>
        <v>4363000</v>
      </c>
      <c r="H21" s="988"/>
      <c r="I21" s="162"/>
    </row>
    <row r="22" spans="1:9" s="669" customFormat="1" ht="12" customHeight="1" x14ac:dyDescent="0.2">
      <c r="A22" s="995" t="s">
        <v>584</v>
      </c>
      <c r="B22" s="996"/>
      <c r="C22" s="994">
        <v>2200</v>
      </c>
      <c r="D22" s="1825"/>
      <c r="E22" s="1827">
        <f>'Expenditures 15-22'!K47-SUM('Expenditures 15-22'!G47,'Expenditures 15-22'!I47)+'Expenditures 15-22'!D243</f>
        <v>3760922</v>
      </c>
      <c r="F22" s="1825"/>
      <c r="G22" s="1828">
        <f>'Expenditures 15-22'!K47-SUM('Expenditures 15-22'!G47,'Expenditures 15-22'!I47)+'Expenditures 15-22'!D243</f>
        <v>3760922</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834884</v>
      </c>
      <c r="F23" s="1825"/>
      <c r="G23" s="1827">
        <f>'Expenditures 15-22'!K53-SUM('Expenditures 15-22'!G53,'Expenditures 15-22'!I53)+'Expenditures 15-22'!D257+'Expenditures 15-22'!K330-SUM('Expenditures 15-22'!G330,'Expenditures 15-22'!I330)</f>
        <v>834884</v>
      </c>
      <c r="H23" s="988"/>
      <c r="I23" s="162"/>
    </row>
    <row r="24" spans="1:9" s="669" customFormat="1" ht="12" customHeight="1" x14ac:dyDescent="0.2">
      <c r="A24" s="995" t="s">
        <v>586</v>
      </c>
      <c r="B24" s="996"/>
      <c r="C24" s="994">
        <v>2400</v>
      </c>
      <c r="D24" s="1825"/>
      <c r="E24" s="1827">
        <f>'Expenditures 15-22'!K57-SUM('Expenditures 15-22'!G57,'Expenditures 15-22'!I57)+'Expenditures 15-22'!D261</f>
        <v>2215133</v>
      </c>
      <c r="F24" s="1825"/>
      <c r="G24" s="1828">
        <f>'Expenditures 15-22'!K57-SUM('Expenditures 15-22'!G57,'Expenditures 15-22'!I57)+'Expenditures 15-22'!D261</f>
        <v>2215133</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185308</v>
      </c>
      <c r="E26" s="1827">
        <f>'Expenditures 15-22'!K122-SUM('Expenditures 15-22'!G122,'Expenditures 15-22'!I122)+E7</f>
        <v>0</v>
      </c>
      <c r="F26" s="1827">
        <f>'Expenditures 15-22'!K59-SUM('Expenditures 15-22'!G59,'Expenditures 15-22'!I59)+'Expenditures 15-22'!D263-E7</f>
        <v>185308</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575483</v>
      </c>
      <c r="E27" s="1827">
        <f>E8</f>
        <v>0</v>
      </c>
      <c r="F27" s="1827">
        <f>'Expenditures 15-22'!K60-SUM('Expenditures 15-22'!G60,'Expenditures 15-22'!I60)+'Expenditures 15-22'!D264-E8</f>
        <v>575483</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4390703</v>
      </c>
      <c r="F28" s="1829">
        <f>'Expenditures 15-22'!K61-SUM('Expenditures 15-22'!G61,'Expenditures 15-22'!I61)+'Expenditures 15-22'!K124-SUM('Expenditures 15-22'!G124,'Expenditures 15-22'!I124)+'Expenditures 15-22'!D266-E9</f>
        <v>4390703</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4585197</v>
      </c>
      <c r="F29" s="1825"/>
      <c r="G29" s="1828">
        <f>'Expenditures 15-22'!K62-SUM('Expenditures 15-22'!G62,'Expenditures 15-22'!I62)+'Expenditures 15-22'!K125-SUM('Expenditures 15-22'!G125,'Expenditures 15-22'!I125)+'Expenditures 15-22'!K182-SUM('Expenditures 15-22'!G182,'Expenditures 15-22'!I182)+'Expenditures 15-22'!D267</f>
        <v>4585197</v>
      </c>
      <c r="H29" s="986"/>
    </row>
    <row r="30" spans="1:9" ht="12" customHeight="1" x14ac:dyDescent="0.2">
      <c r="A30" s="995" t="s">
        <v>102</v>
      </c>
      <c r="B30" s="998"/>
      <c r="C30" s="994">
        <v>2560</v>
      </c>
      <c r="D30" s="1825"/>
      <c r="E30" s="1827">
        <f>'Expenditures 15-22'!K63-SUM('Expenditures 15-22'!G63,'Expenditures 15-22'!I63)+'Expenditures 15-22'!D268-E10</f>
        <v>1142952</v>
      </c>
      <c r="F30" s="1825"/>
      <c r="G30" s="1827">
        <f>'Expenditures 15-22'!K63-SUM('Expenditures 15-22'!G63,'Expenditures 15-22'!I63)+'Expenditures 15-22'!D268-E10</f>
        <v>1142952</v>
      </c>
    </row>
    <row r="31" spans="1:9" ht="12" customHeight="1" x14ac:dyDescent="0.2">
      <c r="A31" s="995" t="s">
        <v>103</v>
      </c>
      <c r="B31" s="998"/>
      <c r="C31" s="994">
        <v>2570</v>
      </c>
      <c r="D31" s="1827">
        <f>'Expenditures 15-22'!K64-SUM('Expenditures 15-22'!G64,'Expenditures 15-22'!I64)+'Expenditures 15-22'!D269-E12</f>
        <v>40670</v>
      </c>
      <c r="E31" s="1827">
        <f>E12</f>
        <v>0</v>
      </c>
      <c r="F31" s="1827">
        <f>'Expenditures 15-22'!K64-SUM('Expenditures 15-22'!G64,'Expenditures 15-22'!I64)+'Expenditures 15-22'!D269-E12</f>
        <v>40670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15552</v>
      </c>
      <c r="F34" s="1825"/>
      <c r="G34" s="1827">
        <f>'Expenditures 15-22'!K68-SUM('Expenditures 15-22'!G68,'Expenditures 15-22'!I68)+'Expenditures 15-22'!D273</f>
        <v>15552</v>
      </c>
    </row>
    <row r="35" spans="1:7" ht="12" customHeight="1" x14ac:dyDescent="0.2">
      <c r="A35" s="995" t="s">
        <v>1120</v>
      </c>
      <c r="B35" s="998"/>
      <c r="C35" s="994">
        <v>2630</v>
      </c>
      <c r="D35" s="1825"/>
      <c r="E35" s="1827">
        <f>'Expenditures 15-22'!K69-SUM('Expenditures 15-22'!G69,'Expenditures 15-22'!I69)+'Expenditures 15-22'!D274</f>
        <v>15360</v>
      </c>
      <c r="F35" s="1825"/>
      <c r="G35" s="1827">
        <f>'Expenditures 15-22'!K69-SUM('Expenditures 15-22'!G69,'Expenditures 15-22'!I69)+'Expenditures 15-22'!D274</f>
        <v>15360</v>
      </c>
    </row>
    <row r="36" spans="1:7" ht="12" customHeight="1" x14ac:dyDescent="0.2">
      <c r="A36" s="995" t="s">
        <v>422</v>
      </c>
      <c r="B36" s="998"/>
      <c r="C36" s="994">
        <v>2640</v>
      </c>
      <c r="D36" s="1827">
        <f>'Expenditures 15-22'!K70-SUM('Expenditures 15-22'!G70,'Expenditures 15-22'!I70)+'Expenditures 15-22'!D275-E13</f>
        <v>243692</v>
      </c>
      <c r="E36" s="1827">
        <f>E13</f>
        <v>0</v>
      </c>
      <c r="F36" s="1827">
        <f>'Expenditures 15-22'!K70-SUM('Expenditures 15-22'!G70,'Expenditures 15-22'!I70)+'Expenditures 15-22'!D275-E13</f>
        <v>243692</v>
      </c>
      <c r="G36" s="1827">
        <f>E13</f>
        <v>0</v>
      </c>
    </row>
    <row r="37" spans="1:7" ht="12" customHeight="1" x14ac:dyDescent="0.2">
      <c r="A37" s="995" t="s">
        <v>423</v>
      </c>
      <c r="B37" s="998"/>
      <c r="C37" s="994">
        <v>2660</v>
      </c>
      <c r="D37" s="1827">
        <f>'Expenditures 15-22'!K71-SUM('Expenditures 15-22'!G71,'Expenditures 15-22'!I71)+'Expenditures 15-22'!D276-E14</f>
        <v>28412</v>
      </c>
      <c r="E37" s="1827">
        <f>E14</f>
        <v>0</v>
      </c>
      <c r="F37" s="1827">
        <f>'Expenditures 15-22'!K71-SUM('Expenditures 15-22'!G71,'Expenditures 15-22'!I71)+'Expenditures 15-22'!D276-E14</f>
        <v>28412</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529140</v>
      </c>
      <c r="F38" s="1825"/>
      <c r="G38" s="1827">
        <f>'Expenditures 15-22'!K73-SUM('Expenditures 15-22'!G73,'Expenditures 15-22'!I73)+'Expenditures 15-22'!K128-SUM('Expenditures 15-22'!G128,'Expenditures 15-22'!I128)+'Expenditures 15-22'!K183-SUM('Expenditures 15-22'!G183,'Expenditures 15-22'!I183)+'Expenditures 15-22'!D278</f>
        <v>529140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20040</v>
      </c>
      <c r="F39" s="1825"/>
      <c r="G39" s="1827">
        <f>'Expenditures 15-22'!K75-SUM('Expenditures 15-22'!G75,'Expenditures 15-22'!I75)+'Expenditures 15-22'!K130-SUM('Expenditures 15-22'!G130,'Expenditures 15-22'!I130)+'Expenditures 15-22'!K185-SUM('Expenditures 15-22'!G185,'Expenditures 15-22'!I185)+'Expenditures 15-22'!D280</f>
        <v>20040</v>
      </c>
    </row>
    <row r="40" spans="1:7" ht="12" customHeight="1" x14ac:dyDescent="0.2">
      <c r="A40" s="991" t="s">
        <v>1929</v>
      </c>
      <c r="B40" s="992"/>
      <c r="C40" s="994"/>
      <c r="D40" s="1825"/>
      <c r="E40" s="1829">
        <f>-'Contracts Paid in CY 29'!G141</f>
        <v>-2880581.01</v>
      </c>
      <c r="F40" s="1825"/>
      <c r="G40" s="1829">
        <f>-'Contracts Paid in CY 29'!G141</f>
        <v>-2880581.01</v>
      </c>
    </row>
    <row r="41" spans="1:7" ht="12" customHeight="1" x14ac:dyDescent="0.2">
      <c r="A41" s="999" t="s">
        <v>158</v>
      </c>
      <c r="B41" s="1000"/>
      <c r="C41" s="1001"/>
      <c r="D41" s="1829">
        <f>SUM(D19:D39)</f>
        <v>1073565</v>
      </c>
      <c r="E41" s="1829">
        <f>SUM(E19:E40)</f>
        <v>49154608.990000002</v>
      </c>
      <c r="F41" s="1829">
        <f>SUM(F19:F39)</f>
        <v>5464268</v>
      </c>
      <c r="G41" s="1829">
        <f>SUM(G19:G40)</f>
        <v>44763905.990000002</v>
      </c>
    </row>
    <row r="42" spans="1:7" x14ac:dyDescent="0.2">
      <c r="A42" s="988"/>
      <c r="B42" s="162"/>
      <c r="C42" s="1002"/>
      <c r="D42" s="2312" t="s">
        <v>542</v>
      </c>
      <c r="E42" s="2313"/>
      <c r="F42" s="1003" t="s">
        <v>543</v>
      </c>
      <c r="G42" s="1004"/>
    </row>
    <row r="43" spans="1:7" ht="12" customHeight="1" x14ac:dyDescent="0.2">
      <c r="A43" s="988"/>
      <c r="B43" s="162"/>
      <c r="C43" s="1002"/>
      <c r="D43" s="1830" t="s">
        <v>492</v>
      </c>
      <c r="E43" s="1831">
        <f>D41</f>
        <v>1073565</v>
      </c>
      <c r="F43" s="1830" t="s">
        <v>494</v>
      </c>
      <c r="G43" s="1831">
        <f>F41</f>
        <v>5464268</v>
      </c>
    </row>
    <row r="44" spans="1:7" ht="12" customHeight="1" x14ac:dyDescent="0.2">
      <c r="A44" s="988"/>
      <c r="B44" s="162"/>
      <c r="C44" s="1002"/>
      <c r="D44" s="1830" t="s">
        <v>493</v>
      </c>
      <c r="E44" s="1831">
        <f>E41</f>
        <v>49154608.990000002</v>
      </c>
      <c r="F44" s="1830" t="s">
        <v>493</v>
      </c>
      <c r="G44" s="1831">
        <f>G41</f>
        <v>44763905.990000002</v>
      </c>
    </row>
    <row r="45" spans="1:7" ht="12" customHeight="1" x14ac:dyDescent="0.2">
      <c r="A45" s="988"/>
      <c r="B45" s="162"/>
      <c r="C45" s="162"/>
      <c r="D45" s="1832" t="s">
        <v>1062</v>
      </c>
      <c r="E45" s="1833">
        <f>(E43/E44)</f>
        <v>2.1840576541223341E-2</v>
      </c>
      <c r="F45" s="1832" t="s">
        <v>1062</v>
      </c>
      <c r="G45" s="1833">
        <f>(G43/G44)</f>
        <v>0.12206861486173003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1" t="s">
        <v>1445</v>
      </c>
      <c r="B1" s="2331"/>
      <c r="C1" s="2331"/>
      <c r="D1" s="2331"/>
      <c r="E1" s="2331"/>
      <c r="F1" s="2331"/>
    </row>
    <row r="2" spans="1:10" x14ac:dyDescent="0.2">
      <c r="A2" s="1911" t="s">
        <v>2047</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32" t="s">
        <v>1626</v>
      </c>
      <c r="B5" s="2333"/>
      <c r="C5" s="2334"/>
      <c r="D5" s="2334"/>
      <c r="E5" s="2334"/>
      <c r="F5" s="2334"/>
    </row>
    <row r="6" spans="1:10" ht="12" customHeight="1" x14ac:dyDescent="0.25">
      <c r="A6" s="1874"/>
      <c r="B6" s="1875"/>
      <c r="C6" s="2335" t="str">
        <f>COVER!A17</f>
        <v>Kaneland CUSD 302</v>
      </c>
      <c r="D6" s="2335"/>
      <c r="E6" s="2335"/>
      <c r="F6" s="1876"/>
    </row>
    <row r="7" spans="1:10" ht="11.25" customHeight="1" thickBot="1" x14ac:dyDescent="0.3">
      <c r="A7" s="1874"/>
      <c r="B7" s="1875"/>
      <c r="C7" s="2336">
        <f>COVER!A13</f>
        <v>31045302026</v>
      </c>
      <c r="D7" s="2336"/>
      <c r="E7" s="2336"/>
      <c r="F7" s="1876"/>
    </row>
    <row r="8" spans="1:10" ht="25.5" customHeight="1" thickBot="1" x14ac:dyDescent="0.25">
      <c r="A8" s="1917" t="s">
        <v>2024</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c r="E15" s="1892"/>
      <c r="F15" s="1891"/>
      <c r="H15" s="1902">
        <f t="shared" si="0"/>
        <v>0</v>
      </c>
      <c r="I15" s="1902">
        <f t="shared" si="1"/>
        <v>0</v>
      </c>
      <c r="J15" s="1902">
        <f t="shared" si="2"/>
        <v>0</v>
      </c>
    </row>
    <row r="16" spans="1:10" ht="12" customHeight="1" x14ac:dyDescent="0.2">
      <c r="A16" s="1887" t="s">
        <v>1454</v>
      </c>
      <c r="B16" s="1888"/>
      <c r="C16" s="1889"/>
      <c r="D16" s="1889"/>
      <c r="E16" s="1892"/>
      <c r="F16" s="1891"/>
      <c r="H16" s="1902">
        <f t="shared" si="0"/>
        <v>0</v>
      </c>
      <c r="I16" s="1902">
        <f t="shared" si="1"/>
        <v>0</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t="s">
        <v>2081</v>
      </c>
      <c r="D19" s="1889" t="s">
        <v>2081</v>
      </c>
      <c r="E19" s="1892" t="s">
        <v>2164</v>
      </c>
      <c r="F19" s="1891" t="s">
        <v>2165</v>
      </c>
      <c r="H19" s="1902">
        <f t="shared" si="0"/>
        <v>5</v>
      </c>
      <c r="I19" s="1902">
        <f t="shared" si="1"/>
        <v>5</v>
      </c>
      <c r="J19" s="1902">
        <f t="shared" si="2"/>
        <v>0</v>
      </c>
    </row>
    <row r="20" spans="1:12" ht="12" customHeight="1" x14ac:dyDescent="0.2">
      <c r="A20" s="1887" t="s">
        <v>1608</v>
      </c>
      <c r="B20" s="1888"/>
      <c r="C20" s="1889" t="s">
        <v>2081</v>
      </c>
      <c r="D20" s="1889" t="s">
        <v>2081</v>
      </c>
      <c r="E20" s="1892" t="s">
        <v>2164</v>
      </c>
      <c r="F20" s="1891" t="s">
        <v>2166</v>
      </c>
      <c r="H20" s="1902">
        <f t="shared" si="0"/>
        <v>5</v>
      </c>
      <c r="I20" s="1902">
        <f t="shared" si="1"/>
        <v>5</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t="s">
        <v>2081</v>
      </c>
      <c r="D23" s="1889" t="s">
        <v>2081</v>
      </c>
      <c r="E23" s="1892" t="s">
        <v>2164</v>
      </c>
      <c r="F23" s="1891" t="s">
        <v>2167</v>
      </c>
      <c r="H23" s="1902">
        <f t="shared" si="0"/>
        <v>5</v>
      </c>
      <c r="I23" s="1902">
        <f t="shared" si="1"/>
        <v>5</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t="s">
        <v>2081</v>
      </c>
      <c r="D26" s="1889" t="s">
        <v>2081</v>
      </c>
      <c r="E26" s="1892" t="s">
        <v>2164</v>
      </c>
      <c r="F26" s="1891" t="s">
        <v>2168</v>
      </c>
      <c r="H26" s="1902">
        <f t="shared" si="0"/>
        <v>5</v>
      </c>
      <c r="I26" s="1902">
        <f t="shared" si="1"/>
        <v>5</v>
      </c>
      <c r="J26" s="1902">
        <f t="shared" si="2"/>
        <v>0</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t="s">
        <v>2081</v>
      </c>
      <c r="D28" s="1889" t="s">
        <v>2081</v>
      </c>
      <c r="E28" s="1892" t="s">
        <v>2164</v>
      </c>
      <c r="F28" s="1891" t="s">
        <v>2169</v>
      </c>
      <c r="H28" s="1902">
        <f t="shared" si="0"/>
        <v>5</v>
      </c>
      <c r="I28" s="1902">
        <f t="shared" si="1"/>
        <v>5</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c r="D30" s="1889"/>
      <c r="E30" s="1892"/>
      <c r="F30" s="1891"/>
      <c r="H30" s="1902">
        <f t="shared" si="0"/>
        <v>0</v>
      </c>
      <c r="I30" s="1902">
        <f t="shared" si="1"/>
        <v>0</v>
      </c>
      <c r="J30" s="1902">
        <f t="shared" si="2"/>
        <v>0</v>
      </c>
    </row>
    <row r="31" spans="1:12" ht="12" customHeight="1" x14ac:dyDescent="0.2">
      <c r="A31" s="1887" t="s">
        <v>1619</v>
      </c>
      <c r="B31" s="1888"/>
      <c r="C31" s="1889" t="s">
        <v>2081</v>
      </c>
      <c r="D31" s="1889" t="s">
        <v>2081</v>
      </c>
      <c r="E31" s="1892" t="s">
        <v>2164</v>
      </c>
      <c r="F31" s="1891" t="s">
        <v>2170</v>
      </c>
      <c r="H31" s="1902">
        <f t="shared" si="0"/>
        <v>5</v>
      </c>
      <c r="I31" s="1902">
        <f t="shared" si="1"/>
        <v>5</v>
      </c>
      <c r="J31" s="1902">
        <f t="shared" si="2"/>
        <v>0</v>
      </c>
      <c r="L31" s="1893"/>
    </row>
    <row r="32" spans="1:12" ht="12" customHeight="1" x14ac:dyDescent="0.2">
      <c r="A32" s="1887" t="s">
        <v>1620</v>
      </c>
      <c r="B32" s="1888"/>
      <c r="C32" s="1889" t="s">
        <v>2081</v>
      </c>
      <c r="D32" s="1889" t="s">
        <v>2081</v>
      </c>
      <c r="E32" s="1892" t="s">
        <v>2164</v>
      </c>
      <c r="F32" s="1891" t="s">
        <v>2171</v>
      </c>
      <c r="H32" s="1902">
        <f t="shared" si="0"/>
        <v>5</v>
      </c>
      <c r="I32" s="1902">
        <f t="shared" si="1"/>
        <v>5</v>
      </c>
      <c r="J32" s="1902">
        <f t="shared" si="2"/>
        <v>0</v>
      </c>
    </row>
    <row r="33" spans="1:11" ht="12" customHeight="1" x14ac:dyDescent="0.2">
      <c r="A33" s="1887" t="s">
        <v>1621</v>
      </c>
      <c r="B33" s="1888"/>
      <c r="C33" s="1889" t="s">
        <v>2081</v>
      </c>
      <c r="D33" s="1889" t="s">
        <v>2081</v>
      </c>
      <c r="E33" s="1892" t="s">
        <v>2164</v>
      </c>
      <c r="F33" s="1891" t="s">
        <v>2172</v>
      </c>
      <c r="H33" s="1902">
        <f t="shared" si="0"/>
        <v>5</v>
      </c>
      <c r="I33" s="1902">
        <f t="shared" si="1"/>
        <v>5</v>
      </c>
      <c r="J33" s="1902">
        <f t="shared" si="2"/>
        <v>0</v>
      </c>
    </row>
    <row r="34" spans="1:11" ht="12" customHeight="1" x14ac:dyDescent="0.25">
      <c r="A34" s="1894"/>
      <c r="B34" s="1894"/>
      <c r="C34" s="1894"/>
      <c r="D34" s="1894"/>
      <c r="E34" s="1894"/>
      <c r="F34" s="1894"/>
      <c r="H34" s="1902">
        <f>SUM(H11:H32)</f>
        <v>35</v>
      </c>
      <c r="I34" s="1902">
        <f>SUM(I11:I32)</f>
        <v>35</v>
      </c>
      <c r="J34" s="1902">
        <f>SUM(J11:J32)</f>
        <v>0</v>
      </c>
      <c r="K34" s="1902">
        <f>SUM(H34:J34)</f>
        <v>70</v>
      </c>
    </row>
    <row r="35" spans="1:11" ht="12" customHeight="1" x14ac:dyDescent="0.2">
      <c r="A35" s="1895" t="s">
        <v>1458</v>
      </c>
      <c r="B35" s="1896"/>
      <c r="C35" s="2337"/>
      <c r="D35" s="2337"/>
      <c r="E35" s="2337"/>
      <c r="F35" s="2338"/>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23"/>
      <c r="B38" s="2324"/>
      <c r="C38" s="2324"/>
      <c r="D38" s="2324"/>
      <c r="E38" s="2324"/>
      <c r="F38" s="2325"/>
    </row>
    <row r="39" spans="1:11" ht="4.5" hidden="1" customHeight="1" x14ac:dyDescent="0.2">
      <c r="A39" s="1897"/>
      <c r="B39" s="1897"/>
      <c r="C39" s="1897"/>
      <c r="D39" s="1897"/>
      <c r="E39" s="1897"/>
      <c r="F39" s="1897"/>
    </row>
    <row r="40" spans="1:11" s="1894" customFormat="1" ht="12" customHeight="1" x14ac:dyDescent="0.25">
      <c r="A40" s="1898" t="s">
        <v>1457</v>
      </c>
      <c r="B40" s="1899"/>
      <c r="C40" s="2326"/>
      <c r="D40" s="2326"/>
      <c r="E40" s="2326"/>
      <c r="F40" s="2327"/>
      <c r="H40" s="1903"/>
      <c r="I40" s="1903"/>
      <c r="J40" s="1903"/>
      <c r="K40" s="1903"/>
    </row>
    <row r="41" spans="1:11" s="1894" customFormat="1" ht="12" customHeight="1" x14ac:dyDescent="0.25">
      <c r="A41" s="2328"/>
      <c r="B41" s="2329"/>
      <c r="C41" s="2329"/>
      <c r="D41" s="2329"/>
      <c r="E41" s="2329"/>
      <c r="F41" s="2330"/>
      <c r="H41" s="1903"/>
      <c r="I41" s="1903"/>
      <c r="J41" s="1903"/>
      <c r="K41" s="1903"/>
    </row>
    <row r="42" spans="1:11" s="1894" customFormat="1" ht="12" customHeight="1" x14ac:dyDescent="0.25">
      <c r="A42" s="2328"/>
      <c r="B42" s="2329"/>
      <c r="C42" s="2329"/>
      <c r="D42" s="2329"/>
      <c r="E42" s="2329"/>
      <c r="F42" s="2330"/>
      <c r="H42" s="1903"/>
      <c r="I42" s="1903"/>
      <c r="J42" s="1903"/>
      <c r="K42" s="1903"/>
    </row>
    <row r="43" spans="1:11" s="1894" customFormat="1" ht="15" x14ac:dyDescent="0.25">
      <c r="A43" s="2317"/>
      <c r="B43" s="2318"/>
      <c r="C43" s="2318"/>
      <c r="D43" s="2318"/>
      <c r="E43" s="2318"/>
      <c r="F43" s="2319"/>
      <c r="H43" s="1903"/>
      <c r="I43" s="1903"/>
      <c r="J43" s="1903"/>
      <c r="K43" s="1903"/>
    </row>
    <row r="44" spans="1:11" s="1894" customFormat="1" ht="12" hidden="1" customHeight="1" x14ac:dyDescent="0.25">
      <c r="A44" s="2317"/>
      <c r="B44" s="2318"/>
      <c r="C44" s="2318"/>
      <c r="D44" s="2318"/>
      <c r="E44" s="2318"/>
      <c r="F44" s="231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22" sqref="I2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44" t="str">
        <f>COVER!A17</f>
        <v>Kaneland CUSD 302</v>
      </c>
      <c r="J6" s="2345"/>
      <c r="Q6" s="1686"/>
    </row>
    <row r="7" spans="1:17" x14ac:dyDescent="0.2">
      <c r="A7" s="2346" t="s">
        <v>923</v>
      </c>
      <c r="B7" s="2347"/>
      <c r="C7" s="2347"/>
      <c r="D7" s="2347"/>
      <c r="E7" s="2348"/>
      <c r="F7" s="1018"/>
      <c r="G7" s="1010"/>
      <c r="H7" s="1017" t="s">
        <v>389</v>
      </c>
      <c r="I7" s="2349">
        <f>COVER!A13</f>
        <v>31045302026</v>
      </c>
      <c r="J7" s="234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50" t="s">
        <v>501</v>
      </c>
      <c r="B11" s="2351"/>
      <c r="C11" s="2352"/>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323149</v>
      </c>
      <c r="F12" s="1040"/>
      <c r="G12" s="1834">
        <f t="shared" ref="G12:G18" si="0">SUM(E12:F12)</f>
        <v>323149</v>
      </c>
      <c r="H12" s="1041">
        <v>346583</v>
      </c>
      <c r="I12" s="1040"/>
      <c r="J12" s="1834">
        <f t="shared" ref="J12:J18" si="1">SUM(H12:I12)</f>
        <v>346583</v>
      </c>
    </row>
    <row r="13" spans="1:17" ht="15" customHeight="1" x14ac:dyDescent="0.2">
      <c r="A13" s="1036">
        <v>2</v>
      </c>
      <c r="B13" s="1037" t="s">
        <v>44</v>
      </c>
      <c r="C13" s="1038"/>
      <c r="D13" s="1039">
        <v>2330</v>
      </c>
      <c r="E13" s="1834">
        <f>'Expenditures 15-22'!K51</f>
        <v>329751</v>
      </c>
      <c r="F13" s="1040"/>
      <c r="G13" s="1834">
        <f t="shared" si="0"/>
        <v>329751</v>
      </c>
      <c r="H13" s="1041">
        <v>348639</v>
      </c>
      <c r="I13" s="1040"/>
      <c r="J13" s="1834">
        <f t="shared" si="1"/>
        <v>348639</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183072</v>
      </c>
      <c r="F15" s="1834">
        <f>'Expenditures 15-22'!K122</f>
        <v>0</v>
      </c>
      <c r="G15" s="1834">
        <f t="shared" si="0"/>
        <v>183072</v>
      </c>
      <c r="H15" s="1041">
        <v>189538</v>
      </c>
      <c r="I15" s="1041">
        <v>0</v>
      </c>
      <c r="J15" s="1834">
        <f t="shared" si="1"/>
        <v>189538</v>
      </c>
    </row>
    <row r="16" spans="1:17" ht="15" customHeight="1" x14ac:dyDescent="0.2">
      <c r="A16" s="1036">
        <v>5</v>
      </c>
      <c r="B16" s="1037" t="s">
        <v>103</v>
      </c>
      <c r="C16" s="1038"/>
      <c r="D16" s="1039">
        <v>2570</v>
      </c>
      <c r="E16" s="1834">
        <f>'Expenditures 15-22'!K64</f>
        <v>40670</v>
      </c>
      <c r="F16" s="1040"/>
      <c r="G16" s="1834">
        <f t="shared" si="0"/>
        <v>40670</v>
      </c>
      <c r="H16" s="1041">
        <v>2354</v>
      </c>
      <c r="I16" s="1040"/>
      <c r="J16" s="1834">
        <f t="shared" si="1"/>
        <v>2354</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53" t="s">
        <v>7</v>
      </c>
      <c r="C18" s="2354"/>
      <c r="D18" s="2355"/>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876642</v>
      </c>
      <c r="F19" s="1836">
        <f t="shared" si="2"/>
        <v>0</v>
      </c>
      <c r="G19" s="1836">
        <f t="shared" si="2"/>
        <v>876642</v>
      </c>
      <c r="H19" s="1836">
        <f t="shared" si="2"/>
        <v>887114</v>
      </c>
      <c r="I19" s="1836">
        <f t="shared" si="2"/>
        <v>0</v>
      </c>
      <c r="J19" s="1836">
        <f t="shared" si="2"/>
        <v>887114</v>
      </c>
    </row>
    <row r="20" spans="1:10" ht="13.5" thickTop="1" x14ac:dyDescent="0.2">
      <c r="A20" s="1036">
        <v>9</v>
      </c>
      <c r="B20" s="2356" t="s">
        <v>1702</v>
      </c>
      <c r="C20" s="2356"/>
      <c r="D20" s="2357"/>
      <c r="E20" s="1047"/>
      <c r="F20" s="1047"/>
      <c r="G20" s="1047"/>
      <c r="H20" s="1047"/>
      <c r="I20" s="1047"/>
      <c r="J20" s="1837">
        <f>IF(AND(G19&gt;0,J19&gt;0),(((J19-G19)/G19)),"Enter Budget Data")</f>
        <v>1.1945583259757118E-2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1092</v>
      </c>
      <c r="D27" s="1053"/>
      <c r="E27" s="1054"/>
      <c r="F27" s="2358" t="s">
        <v>1588</v>
      </c>
      <c r="G27" s="2358"/>
    </row>
    <row r="28" spans="1:10" ht="28.5" customHeight="1" x14ac:dyDescent="0.2">
      <c r="B28" s="1048"/>
      <c r="C28" s="2360"/>
      <c r="D28" s="2360"/>
      <c r="E28" s="1055"/>
      <c r="F28" s="2360"/>
      <c r="G28" s="2360"/>
    </row>
    <row r="29" spans="1:10" x14ac:dyDescent="0.2">
      <c r="B29" s="1048"/>
      <c r="C29" s="1056" t="s">
        <v>1641</v>
      </c>
      <c r="E29" s="1057"/>
      <c r="F29" s="2359" t="s">
        <v>1589</v>
      </c>
      <c r="G29" s="2359"/>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1943</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936</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3" sqref="B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2156</v>
      </c>
    </row>
    <row r="6" spans="1:2" x14ac:dyDescent="0.2">
      <c r="A6" s="1069">
        <v>2</v>
      </c>
      <c r="B6" s="329" t="s">
        <v>2159</v>
      </c>
    </row>
    <row r="7" spans="1:2" x14ac:dyDescent="0.2">
      <c r="A7" s="1069">
        <v>3</v>
      </c>
      <c r="B7" s="329" t="s">
        <v>2158</v>
      </c>
    </row>
    <row r="8" spans="1:2" x14ac:dyDescent="0.2">
      <c r="A8" s="1069">
        <v>4</v>
      </c>
      <c r="B8" s="329" t="s">
        <v>2160</v>
      </c>
    </row>
    <row r="9" spans="1:2" x14ac:dyDescent="0.2">
      <c r="A9" s="1069">
        <v>5</v>
      </c>
      <c r="B9" s="329" t="s">
        <v>2161</v>
      </c>
    </row>
    <row r="10" spans="1:2" x14ac:dyDescent="0.2">
      <c r="A10" s="1069">
        <v>6</v>
      </c>
      <c r="B10" s="329" t="s">
        <v>2162</v>
      </c>
    </row>
    <row r="11" spans="1:2" x14ac:dyDescent="0.2">
      <c r="A11" s="1069">
        <v>7</v>
      </c>
      <c r="B11" s="329" t="s">
        <v>2163</v>
      </c>
    </row>
    <row r="12" spans="1:2" x14ac:dyDescent="0.2">
      <c r="A12" s="1069">
        <v>8</v>
      </c>
      <c r="B12" s="329" t="s">
        <v>2227</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Kaneland CUSD 302</v>
      </c>
    </row>
    <row r="65" spans="2:2" x14ac:dyDescent="0.2">
      <c r="B65" s="1071">
        <f>COVER!A13</f>
        <v>31045302026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9" t="s">
        <v>1708</v>
      </c>
    </row>
    <row r="23" spans="1:5" x14ac:dyDescent="0.2">
      <c r="A23" s="168"/>
      <c r="B23" s="162" t="s">
        <v>1968</v>
      </c>
      <c r="D23" s="167" t="s">
        <v>657</v>
      </c>
      <c r="E23" s="1859"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80" t="s">
        <v>1124</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714</v>
      </c>
      <c r="B40" s="2077"/>
      <c r="C40" s="2077"/>
      <c r="D40" s="2077"/>
      <c r="E40" s="2077"/>
    </row>
    <row r="41" spans="1:5" x14ac:dyDescent="0.2">
      <c r="A41" s="2078" t="s">
        <v>1705</v>
      </c>
      <c r="B41" s="2078"/>
      <c r="C41" s="2078"/>
      <c r="D41" s="2078"/>
      <c r="E41" s="2078"/>
    </row>
    <row r="42" spans="1:5" ht="12.75" customHeight="1" x14ac:dyDescent="0.2">
      <c r="A42" s="2079" t="s">
        <v>1079</v>
      </c>
      <c r="B42" s="2079"/>
      <c r="C42" s="2079"/>
      <c r="D42" s="2079"/>
      <c r="E42" s="2079"/>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5" sqref="B2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63" t="s">
        <v>1783</v>
      </c>
      <c r="B18" s="236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1371600</xdr:colOff>
                <xdr:row>1</xdr:row>
                <xdr:rowOff>28575</xdr:rowOff>
              </from>
              <to>
                <xdr:col>1</xdr:col>
                <xdr:colOff>2286000</xdr:colOff>
                <xdr:row>5</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247650</xdr:colOff>
                <xdr:row>1</xdr:row>
                <xdr:rowOff>0</xdr:rowOff>
              </from>
              <to>
                <xdr:col>1</xdr:col>
                <xdr:colOff>1162050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2486025</xdr:colOff>
                <xdr:row>1</xdr:row>
                <xdr:rowOff>28575</xdr:rowOff>
              </from>
              <to>
                <xdr:col>1</xdr:col>
                <xdr:colOff>3400425</xdr:colOff>
                <xdr:row>5</xdr:row>
                <xdr:rowOff>66675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228600</xdr:colOff>
                <xdr:row>6</xdr:row>
                <xdr:rowOff>0</xdr:rowOff>
              </from>
              <to>
                <xdr:col>1</xdr:col>
                <xdr:colOff>1143000</xdr:colOff>
                <xdr:row>10</xdr:row>
                <xdr:rowOff>123825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autoPict="0" r:id="rId13">
            <anchor moveWithCells="1">
              <from>
                <xdr:col>1</xdr:col>
                <xdr:colOff>1295400</xdr:colOff>
                <xdr:row>6</xdr:row>
                <xdr:rowOff>38100</xdr:rowOff>
              </from>
              <to>
                <xdr:col>1</xdr:col>
                <xdr:colOff>2209800</xdr:colOff>
                <xdr:row>10</xdr:row>
                <xdr:rowOff>133350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autoPict="0" r:id="rId15">
            <anchor moveWithCells="1">
              <from>
                <xdr:col>1</xdr:col>
                <xdr:colOff>2486025</xdr:colOff>
                <xdr:row>6</xdr:row>
                <xdr:rowOff>47625</xdr:rowOff>
              </from>
              <to>
                <xdr:col>1</xdr:col>
                <xdr:colOff>3400425</xdr:colOff>
                <xdr:row>10</xdr:row>
                <xdr:rowOff>133350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J9" sqref="J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1789</v>
      </c>
      <c r="B1" s="2365"/>
      <c r="C1" s="2365"/>
      <c r="D1" s="2365"/>
      <c r="E1" s="2365"/>
      <c r="F1" s="2366"/>
    </row>
    <row r="2" spans="1:8" ht="45" customHeight="1" x14ac:dyDescent="0.2">
      <c r="A2" s="2374" t="s">
        <v>1790</v>
      </c>
      <c r="B2" s="2375"/>
      <c r="C2" s="2375"/>
      <c r="D2" s="2375"/>
      <c r="E2" s="2375"/>
      <c r="F2" s="2376"/>
      <c r="G2" s="1075"/>
      <c r="H2" s="1075"/>
    </row>
    <row r="3" spans="1:8" ht="57" customHeight="1" x14ac:dyDescent="0.2">
      <c r="A3" s="2377" t="s">
        <v>1785</v>
      </c>
      <c r="B3" s="2378"/>
      <c r="C3" s="2378"/>
      <c r="D3" s="2378"/>
      <c r="E3" s="2378"/>
      <c r="F3" s="2379"/>
      <c r="G3" s="1075"/>
      <c r="H3" s="1075"/>
    </row>
    <row r="4" spans="1:8" ht="14.25" customHeight="1" x14ac:dyDescent="0.2">
      <c r="A4" s="2383" t="s">
        <v>2055</v>
      </c>
      <c r="B4" s="2384"/>
      <c r="C4" s="2384"/>
      <c r="D4" s="2384"/>
      <c r="E4" s="2384"/>
      <c r="F4" s="2385"/>
      <c r="G4" s="1075"/>
      <c r="H4" s="1075"/>
    </row>
    <row r="5" spans="1:8" ht="14.25" customHeight="1" x14ac:dyDescent="0.2">
      <c r="A5" s="2386" t="s">
        <v>2056</v>
      </c>
      <c r="B5" s="2387"/>
      <c r="C5" s="2387"/>
      <c r="D5" s="2387"/>
      <c r="E5" s="2387"/>
      <c r="F5" s="2388"/>
      <c r="G5" s="1075"/>
      <c r="H5" s="1075"/>
    </row>
    <row r="6" spans="1:8" s="1076" customFormat="1" ht="41.25" customHeight="1" x14ac:dyDescent="0.2">
      <c r="A6" s="2380" t="s">
        <v>1791</v>
      </c>
      <c r="B6" s="2381"/>
      <c r="C6" s="2381"/>
      <c r="D6" s="2381"/>
      <c r="E6" s="2381"/>
      <c r="F6" s="2382"/>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46985250</v>
      </c>
      <c r="C8" s="1838">
        <f>'Acct Summary 7-8'!D8</f>
        <v>5988628</v>
      </c>
      <c r="D8" s="1838">
        <f>'Acct Summary 7-8'!F8</f>
        <v>4834007</v>
      </c>
      <c r="E8" s="1838">
        <f>'Acct Summary 7-8'!I8</f>
        <v>114594</v>
      </c>
      <c r="F8" s="1838">
        <f>SUM(B8:E8)</f>
        <v>57922479</v>
      </c>
    </row>
    <row r="9" spans="1:8" s="1080" customFormat="1" ht="14.25" customHeight="1" thickBot="1" x14ac:dyDescent="0.25">
      <c r="A9" s="1079" t="s">
        <v>1435</v>
      </c>
      <c r="B9" s="1839">
        <f>'Acct Summary 7-8'!C17</f>
        <v>46203106</v>
      </c>
      <c r="C9" s="1839">
        <f>'Acct Summary 7-8'!D17</f>
        <v>5025999</v>
      </c>
      <c r="D9" s="1839">
        <f>'Acct Summary 7-8'!F17</f>
        <v>4893199</v>
      </c>
      <c r="E9" s="1838"/>
      <c r="F9" s="1838">
        <f>SUM(B9:E9)</f>
        <v>56122304</v>
      </c>
    </row>
    <row r="10" spans="1:8" s="1080" customFormat="1" ht="14.25" thickTop="1" thickBot="1" x14ac:dyDescent="0.25">
      <c r="A10" s="1081" t="s">
        <v>1436</v>
      </c>
      <c r="B10" s="1840">
        <f>(B8-B9)</f>
        <v>782144</v>
      </c>
      <c r="C10" s="1840">
        <f>(C8-C9)</f>
        <v>962629</v>
      </c>
      <c r="D10" s="1840">
        <f>(D8-D9)</f>
        <v>-59192</v>
      </c>
      <c r="E10" s="1839">
        <f>(E8-E9)</f>
        <v>114594</v>
      </c>
      <c r="F10" s="1841">
        <f>SUM(F8-F9)</f>
        <v>1800175</v>
      </c>
    </row>
    <row r="11" spans="1:8" s="1080" customFormat="1" ht="14.25" thickTop="1" thickBot="1" x14ac:dyDescent="0.25">
      <c r="A11" s="1082" t="s">
        <v>1784</v>
      </c>
      <c r="B11" s="1842">
        <f>'Acct Summary 7-8'!C81</f>
        <v>1752776</v>
      </c>
      <c r="C11" s="1842">
        <f>'Acct Summary 7-8'!D81</f>
        <v>2883021</v>
      </c>
      <c r="D11" s="1842">
        <f>'Acct Summary 7-8'!F81</f>
        <v>2383881</v>
      </c>
      <c r="E11" s="1842">
        <f>'Acct Summary 7-8'!I81</f>
        <v>1214054</v>
      </c>
      <c r="F11" s="1843">
        <f>SUM(B11:E11)</f>
        <v>8233732</v>
      </c>
    </row>
    <row r="12" spans="1:8" ht="16.5" customHeight="1" thickTop="1" x14ac:dyDescent="0.2">
      <c r="A12" s="1083"/>
      <c r="B12" s="1084"/>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5"/>
      <c r="B13" s="1086"/>
      <c r="C13" s="2368"/>
      <c r="D13" s="2369"/>
      <c r="E13" s="2369"/>
      <c r="F13" s="2370"/>
      <c r="H13" s="1075"/>
    </row>
    <row r="14" spans="1:8" ht="19.5" customHeight="1" x14ac:dyDescent="0.2">
      <c r="A14" s="1085"/>
      <c r="B14" s="1086"/>
      <c r="C14" s="2368"/>
      <c r="D14" s="2369"/>
      <c r="E14" s="2369"/>
      <c r="F14" s="2370"/>
      <c r="H14" s="1075"/>
    </row>
    <row r="15" spans="1:8" ht="17.25" customHeight="1" x14ac:dyDescent="0.2">
      <c r="A15" s="1085"/>
      <c r="B15" s="1086"/>
      <c r="C15" s="2371"/>
      <c r="D15" s="2372"/>
      <c r="E15" s="2372"/>
      <c r="F15" s="2373"/>
      <c r="H15" s="1075"/>
    </row>
    <row r="16" spans="1:8" s="310" customFormat="1" ht="51.75" hidden="1" customHeight="1" x14ac:dyDescent="0.2">
      <c r="A16" s="2367" t="s">
        <v>1786</v>
      </c>
      <c r="B16" s="2367"/>
      <c r="C16" s="2367"/>
      <c r="D16" s="2367"/>
      <c r="E16" s="2367"/>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9" t="s">
        <v>685</v>
      </c>
      <c r="B3" s="2390"/>
      <c r="C3" s="2390"/>
      <c r="D3" s="2391"/>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00" t="s">
        <v>1583</v>
      </c>
      <c r="D7" s="2401"/>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92" t="s">
        <v>1064</v>
      </c>
      <c r="B15" s="2393"/>
      <c r="C15" s="2393"/>
      <c r="D15" s="2394"/>
    </row>
    <row r="16" spans="1:4" s="669" customFormat="1" ht="24" customHeight="1" x14ac:dyDescent="0.2">
      <c r="A16" s="2395" t="s">
        <v>683</v>
      </c>
      <c r="B16" s="2396"/>
      <c r="C16" s="2396"/>
      <c r="D16" s="239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4" t="s">
        <v>331</v>
      </c>
      <c r="D21" s="2405"/>
    </row>
    <row r="22" spans="1:10" ht="12.75" x14ac:dyDescent="0.2">
      <c r="A22" s="1140"/>
      <c r="B22" s="1141">
        <v>2</v>
      </c>
      <c r="C22" s="2402" t="s">
        <v>1604</v>
      </c>
      <c r="D22" s="2403"/>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6" t="s">
        <v>556</v>
      </c>
      <c r="D43" s="2407"/>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8" t="s">
        <v>816</v>
      </c>
      <c r="D56" s="2399"/>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98" t="s">
        <v>1796</v>
      </c>
      <c r="D70" s="2399"/>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31045302026</v>
      </c>
    </row>
    <row r="3" spans="1:2" x14ac:dyDescent="0.2">
      <c r="A3" t="s">
        <v>1012</v>
      </c>
      <c r="B3" s="138" t="str">
        <f>COVER!A15</f>
        <v>KANE</v>
      </c>
    </row>
    <row r="4" spans="1:2" x14ac:dyDescent="0.2">
      <c r="A4" t="s">
        <v>1063</v>
      </c>
      <c r="B4" s="138" t="str">
        <f>COVER!A17</f>
        <v>Kaneland CUSD 302</v>
      </c>
    </row>
    <row r="5" spans="1:2" x14ac:dyDescent="0.2">
      <c r="A5" t="s">
        <v>727</v>
      </c>
      <c r="B5" s="138" t="str">
        <f>COVER!A38</f>
        <v>DR. TODD LEDEN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065-033233</v>
      </c>
    </row>
    <row r="16" spans="1:2" x14ac:dyDescent="0.2">
      <c r="A16" t="s">
        <v>441</v>
      </c>
      <c r="B16" s="138" t="str">
        <f>COVER!T13</f>
        <v>Lauterbach &amp; Amen, LLP</v>
      </c>
    </row>
    <row r="17" spans="1:2" x14ac:dyDescent="0.2">
      <c r="A17" t="s">
        <v>938</v>
      </c>
      <c r="B17" s="138" t="str">
        <f>COVER!T15</f>
        <v>Matt Beran</v>
      </c>
    </row>
    <row r="18" spans="1:2" x14ac:dyDescent="0.2">
      <c r="A18" t="s">
        <v>1211</v>
      </c>
      <c r="B18" s="138" t="str">
        <f>COVER!T17</f>
        <v>668 N. River Road</v>
      </c>
    </row>
    <row r="19" spans="1:2" x14ac:dyDescent="0.2">
      <c r="A19" t="s">
        <v>940</v>
      </c>
      <c r="B19" s="138" t="str">
        <f>COVER!T25</f>
        <v>mberan@lauterbachamen.com</v>
      </c>
    </row>
    <row r="20" spans="1:2" x14ac:dyDescent="0.2">
      <c r="A20" t="s">
        <v>941</v>
      </c>
      <c r="B20" s="138" t="str">
        <f>COVER!T19</f>
        <v>Naperville</v>
      </c>
    </row>
    <row r="21" spans="1:2" x14ac:dyDescent="0.2">
      <c r="A21" t="s">
        <v>499</v>
      </c>
      <c r="B21" s="138" t="str">
        <f>COVER!X19</f>
        <v>IL</v>
      </c>
    </row>
    <row r="22" spans="1:2" x14ac:dyDescent="0.2">
      <c r="A22" t="s">
        <v>942</v>
      </c>
      <c r="B22" s="138">
        <f>COVER!Z19</f>
        <v>60563</v>
      </c>
    </row>
    <row r="23" spans="1:2" x14ac:dyDescent="0.2">
      <c r="A23" t="s">
        <v>1213</v>
      </c>
      <c r="B23" s="138">
        <f>COVER!T21</f>
        <v>6303931483</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33482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18240033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20153882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42957651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3869396</v>
      </c>
      <c r="D86" s="2" t="str">
        <f t="shared" si="0"/>
        <v>Error?</v>
      </c>
    </row>
    <row r="87" spans="1:4" x14ac:dyDescent="0.2">
      <c r="A87" s="10">
        <v>26</v>
      </c>
      <c r="D87" s="2" t="str">
        <f t="shared" si="0"/>
        <v>OK</v>
      </c>
    </row>
    <row r="88" spans="1:4" x14ac:dyDescent="0.2">
      <c r="A88" s="5">
        <v>27</v>
      </c>
      <c r="B88" s="138">
        <f>'Assets-Liab 5-6'!C32</f>
        <v>37089159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41204875</v>
      </c>
      <c r="C91" s="2" t="s">
        <v>593</v>
      </c>
      <c r="D91" s="2" t="str">
        <f t="shared" si="0"/>
        <v>Error?</v>
      </c>
    </row>
    <row r="92" spans="1:4" x14ac:dyDescent="0.2">
      <c r="A92" s="5">
        <v>31</v>
      </c>
      <c r="B92" s="138">
        <f>'Assets-Liab 5-6'!C39</f>
        <v>1752776</v>
      </c>
      <c r="D92" s="2" t="str">
        <f t="shared" si="0"/>
        <v>Error?</v>
      </c>
    </row>
    <row r="93" spans="1:4" x14ac:dyDescent="0.2">
      <c r="A93" s="5">
        <v>32</v>
      </c>
      <c r="B93" s="138">
        <f>'Assets-Liab 5-6'!C41</f>
        <v>42957651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2725001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5339806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8421765</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5495104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5538744</v>
      </c>
      <c r="C122" s="2" t="s">
        <v>593</v>
      </c>
      <c r="D122" s="2" t="str">
        <f t="shared" si="0"/>
        <v>Error?</v>
      </c>
    </row>
    <row r="123" spans="1:4" x14ac:dyDescent="0.2">
      <c r="A123" s="5">
        <v>62</v>
      </c>
      <c r="B123" s="138">
        <f>'Assets-Liab 5-6'!D39</f>
        <v>322218</v>
      </c>
      <c r="D123" s="2" t="str">
        <f t="shared" si="0"/>
        <v>Error?</v>
      </c>
    </row>
    <row r="124" spans="1:4" x14ac:dyDescent="0.2">
      <c r="A124" s="5">
        <v>63</v>
      </c>
      <c r="B124" s="138">
        <f>'Assets-Liab 5-6'!D41</f>
        <v>8421765</v>
      </c>
      <c r="C124" s="2" t="s">
        <v>593</v>
      </c>
      <c r="D124" s="2" t="str">
        <f t="shared" si="0"/>
        <v>Error?</v>
      </c>
    </row>
    <row r="125" spans="1:4" x14ac:dyDescent="0.2">
      <c r="A125" s="10">
        <v>64</v>
      </c>
      <c r="D125" s="2" t="str">
        <f t="shared" si="0"/>
        <v>OK</v>
      </c>
    </row>
    <row r="126" spans="1:4" x14ac:dyDescent="0.2">
      <c r="A126" s="5">
        <v>65</v>
      </c>
      <c r="B126" s="138">
        <f>'Assets-Liab 5-6'!E6</f>
        <v>5699274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6707032</v>
      </c>
      <c r="D129" s="2" t="str">
        <f t="shared" si="1"/>
        <v>Error?</v>
      </c>
    </row>
    <row r="130" spans="1:4" x14ac:dyDescent="0.2">
      <c r="A130" s="5">
        <v>69</v>
      </c>
      <c r="B130" s="138">
        <f>'Assets-Liab 5-6'!E12</f>
        <v>0</v>
      </c>
      <c r="D130" s="2" t="str">
        <f t="shared" si="1"/>
        <v>Error?</v>
      </c>
    </row>
    <row r="131" spans="1:4" x14ac:dyDescent="0.2">
      <c r="A131" s="5">
        <v>70</v>
      </c>
      <c r="B131" s="138">
        <f>'Assets-Liab 5-6'!E13</f>
        <v>12413010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11492892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11492892</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12413010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729816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3151226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4734546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2325208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2350665</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4734546</v>
      </c>
      <c r="C171" s="2" t="s">
        <v>593</v>
      </c>
      <c r="D171" s="2" t="str">
        <f t="shared" si="1"/>
        <v>Error?</v>
      </c>
    </row>
    <row r="172" spans="1:4" x14ac:dyDescent="0.2">
      <c r="A172" s="10">
        <v>111</v>
      </c>
      <c r="D172" s="2" t="str">
        <f t="shared" si="1"/>
        <v>OK</v>
      </c>
    </row>
    <row r="173" spans="1:4" x14ac:dyDescent="0.2">
      <c r="A173" s="5">
        <v>112</v>
      </c>
      <c r="B173" s="138">
        <f>'Assets-Liab 5-6'!G6</f>
        <v>444345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2021576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2465921</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310041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310041</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2465921</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6156988</v>
      </c>
      <c r="D273" s="2" t="str">
        <f t="shared" si="3"/>
        <v>Error?</v>
      </c>
    </row>
    <row r="274" spans="1:4" x14ac:dyDescent="0.2">
      <c r="A274" s="5">
        <v>213</v>
      </c>
      <c r="B274" s="138">
        <f>'Assets-Liab 5-6'!M17</f>
        <v>132799378</v>
      </c>
      <c r="D274" s="2" t="str">
        <f t="shared" si="3"/>
        <v>Error?</v>
      </c>
    </row>
    <row r="275" spans="1:4" x14ac:dyDescent="0.2">
      <c r="A275" s="5">
        <v>214</v>
      </c>
      <c r="B275" s="138">
        <f>'Assets-Liab 5-6'!M18</f>
        <v>10046718</v>
      </c>
      <c r="D275" s="2" t="str">
        <f t="shared" si="3"/>
        <v>Error?</v>
      </c>
    </row>
    <row r="276" spans="1:4" x14ac:dyDescent="0.2">
      <c r="A276" s="5">
        <v>215</v>
      </c>
      <c r="B276" s="138">
        <f>'Assets-Liab 5-6'!M19</f>
        <v>22708435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171711519</v>
      </c>
      <c r="C279" s="2" t="s">
        <v>593</v>
      </c>
      <c r="D279" s="2" t="str">
        <f t="shared" si="3"/>
        <v>Error?</v>
      </c>
    </row>
    <row r="280" spans="1:4" x14ac:dyDescent="0.2">
      <c r="A280" s="5">
        <v>219</v>
      </c>
      <c r="B280" s="138">
        <f>'Assets-Liab 5-6'!M40</f>
        <v>171711519</v>
      </c>
      <c r="D280" s="2" t="str">
        <f t="shared" si="3"/>
        <v>Error?</v>
      </c>
    </row>
    <row r="281" spans="1:4" x14ac:dyDescent="0.2">
      <c r="A281" s="5">
        <v>220</v>
      </c>
      <c r="B281" s="138">
        <f>'Assets-Liab 5-6'!M41</f>
        <v>171711519</v>
      </c>
      <c r="C281" s="2" t="s">
        <v>593</v>
      </c>
      <c r="D281" s="2" t="str">
        <f t="shared" si="3"/>
        <v>Error?</v>
      </c>
    </row>
    <row r="282" spans="1:4" x14ac:dyDescent="0.2">
      <c r="A282" s="5">
        <v>221</v>
      </c>
      <c r="B282" s="138">
        <f>'Assets-Liab 5-6'!N21</f>
        <v>920118</v>
      </c>
      <c r="D282" s="2" t="str">
        <f t="shared" si="3"/>
        <v>Error?</v>
      </c>
    </row>
    <row r="283" spans="1:4" x14ac:dyDescent="0.2">
      <c r="A283" s="5">
        <v>222</v>
      </c>
      <c r="B283" s="138">
        <f>'Assets-Liab 5-6'!N22</f>
        <v>102050041</v>
      </c>
      <c r="D283" s="2" t="str">
        <f t="shared" si="3"/>
        <v>Error?</v>
      </c>
    </row>
    <row r="284" spans="1:4" x14ac:dyDescent="0.2">
      <c r="A284" s="5">
        <v>223</v>
      </c>
      <c r="B284" s="138">
        <f>'Assets-Liab 5-6'!N23</f>
        <v>102970159</v>
      </c>
      <c r="C284" s="2" t="s">
        <v>593</v>
      </c>
      <c r="D284" s="2" t="str">
        <f t="shared" si="3"/>
        <v>Error?</v>
      </c>
    </row>
    <row r="285" spans="1:4" x14ac:dyDescent="0.2">
      <c r="A285" s="5">
        <v>224</v>
      </c>
      <c r="B285" s="138">
        <f>'Assets-Liab 5-6'!N36</f>
        <v>102970159</v>
      </c>
      <c r="D285" s="2" t="str">
        <f t="shared" si="3"/>
        <v>Error?</v>
      </c>
    </row>
    <row r="286" spans="1:4" x14ac:dyDescent="0.2">
      <c r="A286" s="10">
        <v>225</v>
      </c>
      <c r="D286" s="2" t="str">
        <f t="shared" si="3"/>
        <v>OK</v>
      </c>
    </row>
    <row r="287" spans="1:4" x14ac:dyDescent="0.2">
      <c r="A287" s="5">
        <v>226</v>
      </c>
      <c r="B287" s="138">
        <f>'Assets-Liab 5-6'!N37</f>
        <v>102970159</v>
      </c>
      <c r="C287" s="2" t="s">
        <v>593</v>
      </c>
      <c r="D287" s="2" t="str">
        <f t="shared" si="3"/>
        <v>Error?</v>
      </c>
    </row>
    <row r="288" spans="1:4" x14ac:dyDescent="0.2">
      <c r="A288" s="5">
        <v>227</v>
      </c>
      <c r="B288" s="138">
        <f>'Assets-Liab 5-6'!N41</f>
        <v>102970159</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17333473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216816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157519</v>
      </c>
      <c r="D717" s="2" t="str">
        <f t="shared" si="10"/>
        <v>Error?</v>
      </c>
    </row>
    <row r="718" spans="1:4" x14ac:dyDescent="0.2">
      <c r="A718" s="5">
        <v>657</v>
      </c>
      <c r="B718" s="138">
        <f>'Expenditures 15-22'!C14</f>
        <v>903800</v>
      </c>
      <c r="D718" s="2" t="str">
        <f t="shared" si="10"/>
        <v>Error?</v>
      </c>
    </row>
    <row r="719" spans="1:4" x14ac:dyDescent="0.2">
      <c r="A719" s="5">
        <v>658</v>
      </c>
      <c r="B719" s="138">
        <f>'Expenditures 15-22'!C15</f>
        <v>34610</v>
      </c>
      <c r="D719" s="2" t="str">
        <f t="shared" si="10"/>
        <v>Error?</v>
      </c>
    </row>
    <row r="720" spans="1:4" x14ac:dyDescent="0.2">
      <c r="A720" s="5">
        <v>659</v>
      </c>
      <c r="B720" s="138">
        <f>'Expenditures 15-22'!C33</f>
        <v>22079900</v>
      </c>
      <c r="C720" s="2" t="s">
        <v>593</v>
      </c>
      <c r="D720" s="2" t="str">
        <f t="shared" si="10"/>
        <v>Error?</v>
      </c>
    </row>
    <row r="721" spans="1:4" x14ac:dyDescent="0.2">
      <c r="A721" s="5">
        <v>660</v>
      </c>
      <c r="B721" s="138">
        <f>'Expenditures 15-22'!C36</f>
        <v>636401</v>
      </c>
      <c r="D721" s="2" t="str">
        <f t="shared" si="10"/>
        <v>Error?</v>
      </c>
    </row>
    <row r="722" spans="1:4" x14ac:dyDescent="0.2">
      <c r="A722" s="5">
        <v>661</v>
      </c>
      <c r="B722" s="138">
        <f>'Expenditures 15-22'!C37</f>
        <v>969477</v>
      </c>
      <c r="D722" s="2" t="str">
        <f t="shared" si="10"/>
        <v>Error?</v>
      </c>
    </row>
    <row r="723" spans="1:4" x14ac:dyDescent="0.2">
      <c r="A723" s="5">
        <v>662</v>
      </c>
      <c r="B723" s="138">
        <f>'Expenditures 15-22'!C38</f>
        <v>709512</v>
      </c>
      <c r="D723" s="2" t="str">
        <f t="shared" si="10"/>
        <v>Error?</v>
      </c>
    </row>
    <row r="724" spans="1:4" x14ac:dyDescent="0.2">
      <c r="A724" s="5">
        <v>663</v>
      </c>
      <c r="B724" s="138">
        <f>'Expenditures 15-22'!C39</f>
        <v>435834</v>
      </c>
      <c r="D724" s="2" t="str">
        <f t="shared" si="10"/>
        <v>Error?</v>
      </c>
    </row>
    <row r="725" spans="1:4" x14ac:dyDescent="0.2">
      <c r="A725" s="5">
        <v>664</v>
      </c>
      <c r="B725" s="138">
        <f>'Expenditures 15-22'!C40</f>
        <v>675665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3426889</v>
      </c>
      <c r="C727" s="2" t="s">
        <v>593</v>
      </c>
      <c r="D727" s="2" t="str">
        <f t="shared" si="10"/>
        <v>Error?</v>
      </c>
    </row>
    <row r="728" spans="1:4" x14ac:dyDescent="0.2">
      <c r="A728" s="5">
        <v>667</v>
      </c>
      <c r="B728" s="138">
        <f>'Expenditures 15-22'!C44</f>
        <v>1606419</v>
      </c>
      <c r="D728" s="2" t="str">
        <f t="shared" si="10"/>
        <v>Error?</v>
      </c>
    </row>
    <row r="729" spans="1:4" x14ac:dyDescent="0.2">
      <c r="A729" s="5">
        <v>668</v>
      </c>
      <c r="B729" s="138">
        <f>'Expenditures 15-22'!C45</f>
        <v>811486</v>
      </c>
      <c r="D729" s="2" t="str">
        <f t="shared" si="10"/>
        <v>Error?</v>
      </c>
    </row>
    <row r="730" spans="1:4" x14ac:dyDescent="0.2">
      <c r="A730" s="5">
        <v>669</v>
      </c>
      <c r="B730" s="138">
        <f>'Expenditures 15-22'!C46</f>
        <v>31483</v>
      </c>
      <c r="D730" s="2" t="str">
        <f t="shared" si="10"/>
        <v>Error?</v>
      </c>
    </row>
    <row r="731" spans="1:4" x14ac:dyDescent="0.2">
      <c r="A731" s="5">
        <v>670</v>
      </c>
      <c r="B731" s="138">
        <f>'Expenditures 15-22'!C47</f>
        <v>2449388</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275581</v>
      </c>
      <c r="D733" s="2" t="str">
        <f t="shared" si="10"/>
        <v>Error?</v>
      </c>
    </row>
    <row r="734" spans="1:4" x14ac:dyDescent="0.2">
      <c r="A734" s="5">
        <v>673</v>
      </c>
      <c r="B734" s="138">
        <f>'Expenditures 15-22'!C53</f>
        <v>546506</v>
      </c>
      <c r="C734" s="2" t="s">
        <v>593</v>
      </c>
      <c r="D734" s="2" t="str">
        <f t="shared" si="10"/>
        <v>Error?</v>
      </c>
    </row>
    <row r="735" spans="1:4" x14ac:dyDescent="0.2">
      <c r="A735" s="5">
        <v>674</v>
      </c>
      <c r="B735" s="138">
        <f>'Expenditures 15-22'!C55</f>
        <v>1602114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1602114</v>
      </c>
      <c r="C737" s="2" t="s">
        <v>593</v>
      </c>
      <c r="D737" s="2" t="str">
        <f t="shared" si="10"/>
        <v>Error?</v>
      </c>
    </row>
    <row r="738" spans="1:4" x14ac:dyDescent="0.2">
      <c r="A738" s="5">
        <v>677</v>
      </c>
      <c r="B738" s="138">
        <f>'Expenditures 15-22'!C59</f>
        <v>155389</v>
      </c>
      <c r="D738" s="2" t="str">
        <f t="shared" si="10"/>
        <v>Error?</v>
      </c>
    </row>
    <row r="739" spans="1:4" x14ac:dyDescent="0.2">
      <c r="A739" s="5">
        <v>678</v>
      </c>
      <c r="B739" s="138">
        <f>'Expenditures 15-22'!C60</f>
        <v>318005</v>
      </c>
      <c r="D739" s="2" t="str">
        <f t="shared" si="10"/>
        <v>Error?</v>
      </c>
    </row>
    <row r="740" spans="1:4" x14ac:dyDescent="0.2">
      <c r="A740" s="5">
        <v>679</v>
      </c>
      <c r="B740" s="138">
        <f>'Expenditures 15-22'!C61</f>
        <v>152518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291327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917239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15014</v>
      </c>
      <c r="D747" s="2" t="str">
        <f t="shared" si="10"/>
        <v>Error?</v>
      </c>
    </row>
    <row r="748" spans="1:4" x14ac:dyDescent="0.2">
      <c r="A748" s="5">
        <v>687</v>
      </c>
      <c r="B748" s="138">
        <f>'Expenditures 15-22'!C69</f>
        <v>5000</v>
      </c>
      <c r="D748" s="2" t="str">
        <f t="shared" si="10"/>
        <v>Error?</v>
      </c>
    </row>
    <row r="749" spans="1:4" x14ac:dyDescent="0.2">
      <c r="A749" s="5">
        <v>688</v>
      </c>
      <c r="B749" s="138">
        <f>'Expenditures 15-22'!C70</f>
        <v>167932</v>
      </c>
      <c r="D749" s="2" t="str">
        <f t="shared" si="10"/>
        <v>Error?</v>
      </c>
    </row>
    <row r="750" spans="1:4" x14ac:dyDescent="0.2">
      <c r="A750" s="10">
        <v>689</v>
      </c>
      <c r="D750" s="2" t="str">
        <f t="shared" si="10"/>
        <v>OK</v>
      </c>
    </row>
    <row r="751" spans="1:4" x14ac:dyDescent="0.2">
      <c r="A751" s="5">
        <v>690</v>
      </c>
      <c r="B751" s="138">
        <f>'Expenditures 15-22'!C71</f>
        <v>24115</v>
      </c>
      <c r="D751" s="2" t="str">
        <f t="shared" si="10"/>
        <v>Error?</v>
      </c>
    </row>
    <row r="752" spans="1:4" x14ac:dyDescent="0.2">
      <c r="A752" s="10">
        <v>691</v>
      </c>
      <c r="D752" s="2" t="str">
        <f t="shared" si="10"/>
        <v>OK</v>
      </c>
    </row>
    <row r="753" spans="1:4" x14ac:dyDescent="0.2">
      <c r="A753" s="5">
        <v>692</v>
      </c>
      <c r="B753" s="138">
        <f>'Expenditures 15-22'!C72</f>
        <v>212061</v>
      </c>
      <c r="C753" s="2" t="s">
        <v>593</v>
      </c>
      <c r="D753" s="2" t="str">
        <f t="shared" si="10"/>
        <v>Error?</v>
      </c>
    </row>
    <row r="754" spans="1:4" x14ac:dyDescent="0.2">
      <c r="A754" s="5">
        <v>693</v>
      </c>
      <c r="B754" s="138">
        <f>'Expenditures 15-22'!C73</f>
        <v>113563</v>
      </c>
      <c r="D754" s="2" t="str">
        <f t="shared" si="10"/>
        <v>Error?</v>
      </c>
    </row>
    <row r="755" spans="1:4" x14ac:dyDescent="0.2">
      <c r="A755" s="5">
        <v>694</v>
      </c>
      <c r="B755" s="138">
        <f>'Expenditures 15-22'!C74</f>
        <v>9267760</v>
      </c>
      <c r="C755" s="2" t="s">
        <v>593</v>
      </c>
      <c r="D755" s="2" t="str">
        <f t="shared" si="10"/>
        <v>Error?</v>
      </c>
    </row>
    <row r="756" spans="1:4" x14ac:dyDescent="0.2">
      <c r="A756" s="5">
        <v>695</v>
      </c>
      <c r="B756" s="138">
        <f>'Expenditures 15-22'!C75</f>
        <v>10319</v>
      </c>
      <c r="D756" s="2" t="str">
        <f t="shared" si="10"/>
        <v>Error?</v>
      </c>
    </row>
    <row r="757" spans="1:4" x14ac:dyDescent="0.2">
      <c r="A757" s="5">
        <v>696</v>
      </c>
      <c r="B757" s="138">
        <f>'Expenditures 15-22'!C114</f>
        <v>31357979</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3599643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54940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18149</v>
      </c>
      <c r="D775" s="2" t="str">
        <f t="shared" si="11"/>
        <v>Error?</v>
      </c>
    </row>
    <row r="776" spans="1:4" x14ac:dyDescent="0.2">
      <c r="A776" s="5">
        <v>715</v>
      </c>
      <c r="B776" s="138">
        <f>'Expenditures 15-22'!D14</f>
        <v>46885</v>
      </c>
      <c r="D776" s="2" t="str">
        <f t="shared" si="11"/>
        <v>Error?</v>
      </c>
    </row>
    <row r="777" spans="1:4" x14ac:dyDescent="0.2">
      <c r="A777" s="5">
        <v>716</v>
      </c>
      <c r="B777" s="138">
        <f>'Expenditures 15-22'!D15</f>
        <v>596</v>
      </c>
      <c r="D777" s="2" t="str">
        <f t="shared" si="11"/>
        <v>Error?</v>
      </c>
    </row>
    <row r="778" spans="1:4" x14ac:dyDescent="0.2">
      <c r="A778" s="5">
        <v>717</v>
      </c>
      <c r="B778" s="138">
        <f>'Expenditures 15-22'!D33</f>
        <v>4593559</v>
      </c>
      <c r="C778" s="2" t="s">
        <v>593</v>
      </c>
      <c r="D778" s="2" t="str">
        <f t="shared" si="11"/>
        <v>Error?</v>
      </c>
    </row>
    <row r="779" spans="1:4" x14ac:dyDescent="0.2">
      <c r="A779" s="5">
        <v>718</v>
      </c>
      <c r="B779" s="138">
        <f>'Expenditures 15-22'!D36</f>
        <v>113251</v>
      </c>
      <c r="D779" s="2" t="str">
        <f t="shared" si="11"/>
        <v>Error?</v>
      </c>
    </row>
    <row r="780" spans="1:4" x14ac:dyDescent="0.2">
      <c r="A780" s="5">
        <v>719</v>
      </c>
      <c r="B780" s="138">
        <f>'Expenditures 15-22'!D37</f>
        <v>212194</v>
      </c>
      <c r="D780" s="2" t="str">
        <f t="shared" si="11"/>
        <v>Error?</v>
      </c>
    </row>
    <row r="781" spans="1:4" x14ac:dyDescent="0.2">
      <c r="A781" s="5">
        <v>720</v>
      </c>
      <c r="B781" s="138">
        <f>'Expenditures 15-22'!D38</f>
        <v>110139</v>
      </c>
      <c r="D781" s="2" t="str">
        <f t="shared" si="11"/>
        <v>Error?</v>
      </c>
    </row>
    <row r="782" spans="1:4" x14ac:dyDescent="0.2">
      <c r="A782" s="5">
        <v>721</v>
      </c>
      <c r="B782" s="138">
        <f>'Expenditures 15-22'!D39</f>
        <v>98286</v>
      </c>
      <c r="D782" s="2" t="str">
        <f t="shared" si="11"/>
        <v>Error?</v>
      </c>
    </row>
    <row r="783" spans="1:4" x14ac:dyDescent="0.2">
      <c r="A783" s="5">
        <v>722</v>
      </c>
      <c r="B783" s="138">
        <f>'Expenditures 15-22'!D40</f>
        <v>158231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692101</v>
      </c>
      <c r="C785" s="2" t="s">
        <v>593</v>
      </c>
      <c r="D785" s="2" t="str">
        <f t="shared" si="11"/>
        <v>Error?</v>
      </c>
    </row>
    <row r="786" spans="1:4" x14ac:dyDescent="0.2">
      <c r="A786" s="5">
        <v>725</v>
      </c>
      <c r="B786" s="138">
        <f>'Expenditures 15-22'!D44</f>
        <v>294142</v>
      </c>
      <c r="D786" s="2" t="str">
        <f t="shared" si="11"/>
        <v>Error?</v>
      </c>
    </row>
    <row r="787" spans="1:4" x14ac:dyDescent="0.2">
      <c r="A787" s="5">
        <v>726</v>
      </c>
      <c r="B787" s="138">
        <f>'Expenditures 15-22'!D45</f>
        <v>171116</v>
      </c>
      <c r="D787" s="2" t="str">
        <f t="shared" si="11"/>
        <v>Error?</v>
      </c>
    </row>
    <row r="788" spans="1:4" x14ac:dyDescent="0.2">
      <c r="A788" s="5">
        <v>727</v>
      </c>
      <c r="B788" s="138">
        <f>'Expenditures 15-22'!D46</f>
        <v>3582</v>
      </c>
      <c r="D788" s="2" t="str">
        <f t="shared" si="11"/>
        <v>Error?</v>
      </c>
    </row>
    <row r="789" spans="1:4" x14ac:dyDescent="0.2">
      <c r="A789" s="5">
        <v>728</v>
      </c>
      <c r="B789" s="138">
        <f>'Expenditures 15-22'!D47</f>
        <v>468840</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37175</v>
      </c>
      <c r="D791" s="2" t="str">
        <f t="shared" si="11"/>
        <v>Error?</v>
      </c>
    </row>
    <row r="792" spans="1:4" x14ac:dyDescent="0.2">
      <c r="A792" s="5">
        <v>731</v>
      </c>
      <c r="B792" s="138">
        <f>'Expenditures 15-22'!D53</f>
        <v>92012</v>
      </c>
      <c r="C792" s="2" t="s">
        <v>593</v>
      </c>
      <c r="D792" s="2" t="str">
        <f t="shared" si="11"/>
        <v>Error?</v>
      </c>
    </row>
    <row r="793" spans="1:4" x14ac:dyDescent="0.2">
      <c r="A793" s="5">
        <v>732</v>
      </c>
      <c r="B793" s="138">
        <f>'Expenditures 15-22'!D55</f>
        <v>433219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433219</v>
      </c>
      <c r="C795" s="2" t="s">
        <v>593</v>
      </c>
      <c r="D795" s="2" t="str">
        <f t="shared" si="11"/>
        <v>Error?</v>
      </c>
    </row>
    <row r="796" spans="1:4" x14ac:dyDescent="0.2">
      <c r="A796" s="5">
        <v>735</v>
      </c>
      <c r="B796" s="138">
        <f>'Expenditures 15-22'!D59</f>
        <v>27683</v>
      </c>
      <c r="D796" s="2" t="str">
        <f t="shared" si="11"/>
        <v>Error?</v>
      </c>
    </row>
    <row r="797" spans="1:4" x14ac:dyDescent="0.2">
      <c r="A797" s="5">
        <v>736</v>
      </c>
      <c r="B797" s="138">
        <f>'Expenditures 15-22'!D60</f>
        <v>102298</v>
      </c>
      <c r="D797" s="2" t="str">
        <f t="shared" si="11"/>
        <v>Error?</v>
      </c>
    </row>
    <row r="798" spans="1:4" x14ac:dyDescent="0.2">
      <c r="A798" s="5">
        <v>737</v>
      </c>
      <c r="B798" s="138">
        <f>'Expenditures 15-22'!D61</f>
        <v>35846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118204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284031</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328</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41167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41495</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2011698</v>
      </c>
      <c r="C813" s="2" t="s">
        <v>593</v>
      </c>
      <c r="D813" s="2" t="str">
        <f t="shared" si="11"/>
        <v>Error?</v>
      </c>
    </row>
    <row r="814" spans="1:4" x14ac:dyDescent="0.2">
      <c r="A814" s="5">
        <v>753</v>
      </c>
      <c r="B814" s="138">
        <f>'Expenditures 15-22'!D75</f>
        <v>132</v>
      </c>
      <c r="D814" s="2" t="str">
        <f t="shared" si="11"/>
        <v>Error?</v>
      </c>
    </row>
    <row r="815" spans="1:4" x14ac:dyDescent="0.2">
      <c r="A815" s="5">
        <v>754</v>
      </c>
      <c r="B815" s="138">
        <f>'Expenditures 15-22'!D114</f>
        <v>6605389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311965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10545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600</v>
      </c>
      <c r="D833" s="2" t="str">
        <f t="shared" si="12"/>
        <v>Error?</v>
      </c>
    </row>
    <row r="834" spans="1:4" x14ac:dyDescent="0.2">
      <c r="A834" s="5">
        <v>773</v>
      </c>
      <c r="B834" s="138">
        <f>'Expenditures 15-22'!E14</f>
        <v>160413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548534</v>
      </c>
      <c r="C836" s="2" t="s">
        <v>593</v>
      </c>
      <c r="D836" s="2" t="str">
        <f t="shared" si="12"/>
        <v>Error?</v>
      </c>
    </row>
    <row r="837" spans="1:4" x14ac:dyDescent="0.2">
      <c r="A837" s="5">
        <v>776</v>
      </c>
      <c r="B837" s="138">
        <f>'Expenditures 15-22'!E36</f>
        <v>19997</v>
      </c>
      <c r="D837" s="2" t="str">
        <f t="shared" si="12"/>
        <v>Error?</v>
      </c>
    </row>
    <row r="838" spans="1:4" x14ac:dyDescent="0.2">
      <c r="A838" s="5">
        <v>777</v>
      </c>
      <c r="B838" s="138">
        <f>'Expenditures 15-22'!E37</f>
        <v>7276</v>
      </c>
      <c r="D838" s="2" t="str">
        <f t="shared" si="12"/>
        <v>Error?</v>
      </c>
    </row>
    <row r="839" spans="1:4" x14ac:dyDescent="0.2">
      <c r="A839" s="5">
        <v>778</v>
      </c>
      <c r="B839" s="138">
        <f>'Expenditures 15-22'!E38</f>
        <v>2679</v>
      </c>
      <c r="D839" s="2" t="str">
        <f t="shared" si="12"/>
        <v>Error?</v>
      </c>
    </row>
    <row r="840" spans="1:4" x14ac:dyDescent="0.2">
      <c r="A840" s="5">
        <v>779</v>
      </c>
      <c r="B840" s="138">
        <f>'Expenditures 15-22'!E39</f>
        <v>1417</v>
      </c>
      <c r="D840" s="2" t="str">
        <f t="shared" si="12"/>
        <v>Error?</v>
      </c>
    </row>
    <row r="841" spans="1:4" x14ac:dyDescent="0.2">
      <c r="A841" s="5">
        <v>780</v>
      </c>
      <c r="B841" s="138">
        <f>'Expenditures 15-22'!E40</f>
        <v>3520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34889</v>
      </c>
      <c r="C843" s="2" t="s">
        <v>593</v>
      </c>
      <c r="D843" s="2" t="str">
        <f t="shared" si="12"/>
        <v>Error?</v>
      </c>
    </row>
    <row r="844" spans="1:4" x14ac:dyDescent="0.2">
      <c r="A844" s="5">
        <v>783</v>
      </c>
      <c r="B844" s="138">
        <f>'Expenditures 15-22'!E44</f>
        <v>126440</v>
      </c>
      <c r="D844" s="2" t="str">
        <f t="shared" si="12"/>
        <v>Error?</v>
      </c>
    </row>
    <row r="845" spans="1:4" x14ac:dyDescent="0.2">
      <c r="A845" s="5">
        <v>784</v>
      </c>
      <c r="B845" s="138">
        <f>'Expenditures 15-22'!E45</f>
        <v>259000</v>
      </c>
      <c r="D845" s="2" t="str">
        <f t="shared" si="12"/>
        <v>Error?</v>
      </c>
    </row>
    <row r="846" spans="1:4" x14ac:dyDescent="0.2">
      <c r="A846" s="5">
        <v>785</v>
      </c>
      <c r="B846" s="138">
        <f>'Expenditures 15-22'!E46</f>
        <v>119192</v>
      </c>
      <c r="D846" s="2" t="str">
        <f t="shared" si="12"/>
        <v>Error?</v>
      </c>
    </row>
    <row r="847" spans="1:4" x14ac:dyDescent="0.2">
      <c r="A847" s="5">
        <v>786</v>
      </c>
      <c r="B847" s="138">
        <f>'Expenditures 15-22'!E47</f>
        <v>504632</v>
      </c>
      <c r="C847" s="2" t="s">
        <v>593</v>
      </c>
      <c r="D847" s="2" t="str">
        <f t="shared" si="12"/>
        <v>Error?</v>
      </c>
    </row>
    <row r="848" spans="1:4" x14ac:dyDescent="0.2">
      <c r="A848" s="5">
        <v>787</v>
      </c>
      <c r="B848" s="138">
        <f>'Expenditures 15-22'!E49</f>
        <v>135110</v>
      </c>
      <c r="D848" s="2" t="str">
        <f t="shared" si="12"/>
        <v>Error?</v>
      </c>
    </row>
    <row r="849" spans="1:4" x14ac:dyDescent="0.2">
      <c r="A849" s="5">
        <v>788</v>
      </c>
      <c r="B849" s="138">
        <f>'Expenditures 15-22'!E50</f>
        <v>6308</v>
      </c>
      <c r="D849" s="2" t="str">
        <f t="shared" si="12"/>
        <v>Error?</v>
      </c>
    </row>
    <row r="850" spans="1:4" x14ac:dyDescent="0.2">
      <c r="A850" s="5">
        <v>789</v>
      </c>
      <c r="B850" s="138">
        <f>'Expenditures 15-22'!E53</f>
        <v>144393</v>
      </c>
      <c r="C850" s="2" t="s">
        <v>593</v>
      </c>
      <c r="D850" s="2" t="str">
        <f t="shared" si="12"/>
        <v>Error?</v>
      </c>
    </row>
    <row r="851" spans="1:4" x14ac:dyDescent="0.2">
      <c r="A851" s="5">
        <v>790</v>
      </c>
      <c r="B851" s="138">
        <f>'Expenditures 15-22'!E55</f>
        <v>36010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36010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20456</v>
      </c>
      <c r="D855" s="2" t="str">
        <f t="shared" si="12"/>
        <v>Error?</v>
      </c>
    </row>
    <row r="856" spans="1:4" x14ac:dyDescent="0.2">
      <c r="A856" s="5">
        <v>795</v>
      </c>
      <c r="B856" s="138">
        <f>'Expenditures 15-22'!E61</f>
        <v>73210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72596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166262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9513</v>
      </c>
      <c r="D864" s="2" t="str">
        <f t="shared" si="12"/>
        <v>Error?</v>
      </c>
    </row>
    <row r="865" spans="1:4" x14ac:dyDescent="0.2">
      <c r="A865" s="5">
        <v>804</v>
      </c>
      <c r="B865" s="138">
        <f>'Expenditures 15-22'!E70</f>
        <v>22689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32202</v>
      </c>
      <c r="C869" s="2" t="s">
        <v>593</v>
      </c>
      <c r="D869" s="2" t="str">
        <f t="shared" si="12"/>
        <v>Error?</v>
      </c>
    </row>
    <row r="870" spans="1:4" x14ac:dyDescent="0.2">
      <c r="A870" s="5">
        <v>809</v>
      </c>
      <c r="B870" s="138">
        <f>'Expenditures 15-22'!E73</f>
        <v>328299</v>
      </c>
      <c r="D870" s="2" t="str">
        <f t="shared" si="12"/>
        <v>Error?</v>
      </c>
    </row>
    <row r="871" spans="1:4" x14ac:dyDescent="0.2">
      <c r="A871" s="5">
        <v>810</v>
      </c>
      <c r="B871" s="138">
        <f>'Expenditures 15-22'!E74</f>
        <v>1246687</v>
      </c>
      <c r="C871" s="2" t="s">
        <v>593</v>
      </c>
      <c r="D871" s="2" t="str">
        <f t="shared" si="12"/>
        <v>Error?</v>
      </c>
    </row>
    <row r="872" spans="1:4" x14ac:dyDescent="0.2">
      <c r="A872" s="5">
        <v>811</v>
      </c>
      <c r="B872" s="138">
        <f>'Expenditures 15-22'!E75</f>
        <v>3538</v>
      </c>
      <c r="D872" s="2" t="str">
        <f t="shared" si="12"/>
        <v>Error?</v>
      </c>
    </row>
    <row r="873" spans="1:4" x14ac:dyDescent="0.2">
      <c r="A873" s="5">
        <v>812</v>
      </c>
      <c r="B873" s="138">
        <f>'Expenditures 15-22'!E114</f>
        <v>2339171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481580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2014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151</v>
      </c>
      <c r="D891" s="2" t="str">
        <f t="shared" si="12"/>
        <v>Error?</v>
      </c>
    </row>
    <row r="892" spans="1:4" x14ac:dyDescent="0.2">
      <c r="A892" s="5">
        <v>831</v>
      </c>
      <c r="B892" s="138">
        <f>'Expenditures 15-22'!F14</f>
        <v>89709</v>
      </c>
      <c r="D892" s="2" t="str">
        <f t="shared" si="12"/>
        <v>Error?</v>
      </c>
    </row>
    <row r="893" spans="1:4" x14ac:dyDescent="0.2">
      <c r="A893" s="5">
        <v>832</v>
      </c>
      <c r="B893" s="138">
        <f>'Expenditures 15-22'!F15</f>
        <v>943</v>
      </c>
      <c r="D893" s="2" t="str">
        <f t="shared" si="12"/>
        <v>Error?</v>
      </c>
    </row>
    <row r="894" spans="1:4" x14ac:dyDescent="0.2">
      <c r="A894" s="5">
        <v>833</v>
      </c>
      <c r="B894" s="138">
        <f>'Expenditures 15-22'!F33</f>
        <v>674306</v>
      </c>
      <c r="C894" s="2" t="s">
        <v>593</v>
      </c>
      <c r="D894" s="2" t="str">
        <f t="shared" si="12"/>
        <v>Error?</v>
      </c>
    </row>
    <row r="895" spans="1:4" x14ac:dyDescent="0.2">
      <c r="A895" s="5">
        <v>834</v>
      </c>
      <c r="B895" s="138">
        <f>'Expenditures 15-22'!F36</f>
        <v>3505</v>
      </c>
      <c r="D895" s="2" t="str">
        <f t="shared" ref="D895:D958" si="13">IF(ISBLANK(B895),"OK",IF(A895-B895=0,"OK","Error?"))</f>
        <v>Error?</v>
      </c>
    </row>
    <row r="896" spans="1:4" x14ac:dyDescent="0.2">
      <c r="A896" s="5">
        <v>835</v>
      </c>
      <c r="B896" s="138">
        <f>'Expenditures 15-22'!F37</f>
        <v>5721</v>
      </c>
      <c r="D896" s="2" t="str">
        <f t="shared" si="13"/>
        <v>Error?</v>
      </c>
    </row>
    <row r="897" spans="1:4" x14ac:dyDescent="0.2">
      <c r="A897" s="5">
        <v>836</v>
      </c>
      <c r="B897" s="138">
        <f>'Expenditures 15-22'!F38</f>
        <v>16720</v>
      </c>
      <c r="D897" s="2" t="str">
        <f t="shared" si="13"/>
        <v>Error?</v>
      </c>
    </row>
    <row r="898" spans="1:4" x14ac:dyDescent="0.2">
      <c r="A898" s="5">
        <v>837</v>
      </c>
      <c r="B898" s="138">
        <f>'Expenditures 15-22'!F39</f>
        <v>4811</v>
      </c>
      <c r="D898" s="2" t="str">
        <f t="shared" si="13"/>
        <v>Error?</v>
      </c>
    </row>
    <row r="899" spans="1:4" x14ac:dyDescent="0.2">
      <c r="A899" s="5">
        <v>838</v>
      </c>
      <c r="B899" s="138">
        <f>'Expenditures 15-22'!F40</f>
        <v>6659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37416</v>
      </c>
      <c r="C901" s="2" t="s">
        <v>593</v>
      </c>
      <c r="D901" s="2" t="str">
        <f t="shared" si="13"/>
        <v>Error?</v>
      </c>
    </row>
    <row r="902" spans="1:4" x14ac:dyDescent="0.2">
      <c r="A902" s="5">
        <v>841</v>
      </c>
      <c r="B902" s="138">
        <f>'Expenditures 15-22'!F44</f>
        <v>32431</v>
      </c>
      <c r="D902" s="2" t="str">
        <f t="shared" si="13"/>
        <v>Error?</v>
      </c>
    </row>
    <row r="903" spans="1:4" x14ac:dyDescent="0.2">
      <c r="A903" s="5">
        <v>842</v>
      </c>
      <c r="B903" s="138">
        <f>'Expenditures 15-22'!F45</f>
        <v>164894</v>
      </c>
      <c r="D903" s="2" t="str">
        <f t="shared" si="13"/>
        <v>Error?</v>
      </c>
    </row>
    <row r="904" spans="1:4" x14ac:dyDescent="0.2">
      <c r="A904" s="5">
        <v>843</v>
      </c>
      <c r="B904" s="138">
        <f>'Expenditures 15-22'!F46</f>
        <v>422</v>
      </c>
      <c r="D904" s="2" t="str">
        <f t="shared" si="13"/>
        <v>Error?</v>
      </c>
    </row>
    <row r="905" spans="1:4" x14ac:dyDescent="0.2">
      <c r="A905" s="5">
        <v>844</v>
      </c>
      <c r="B905" s="138">
        <f>'Expenditures 15-22'!F47</f>
        <v>197747</v>
      </c>
      <c r="C905" s="2" t="s">
        <v>593</v>
      </c>
      <c r="D905" s="2" t="str">
        <f t="shared" si="13"/>
        <v>Error?</v>
      </c>
    </row>
    <row r="906" spans="1:4" x14ac:dyDescent="0.2">
      <c r="A906" s="5">
        <v>845</v>
      </c>
      <c r="B906" s="138">
        <f>'Expenditures 15-22'!F49</f>
        <v>9689</v>
      </c>
      <c r="D906" s="2" t="str">
        <f t="shared" si="13"/>
        <v>Error?</v>
      </c>
    </row>
    <row r="907" spans="1:4" x14ac:dyDescent="0.2">
      <c r="A907" s="5">
        <v>846</v>
      </c>
      <c r="B907" s="138">
        <f>'Expenditures 15-22'!F50</f>
        <v>935</v>
      </c>
      <c r="D907" s="2" t="str">
        <f t="shared" si="13"/>
        <v>Error?</v>
      </c>
    </row>
    <row r="908" spans="1:4" x14ac:dyDescent="0.2">
      <c r="A908" s="5">
        <v>847</v>
      </c>
      <c r="B908" s="138">
        <f>'Expenditures 15-22'!F53</f>
        <v>11148</v>
      </c>
      <c r="C908" s="2" t="s">
        <v>593</v>
      </c>
      <c r="D908" s="2" t="str">
        <f t="shared" si="13"/>
        <v>Error?</v>
      </c>
    </row>
    <row r="909" spans="1:4" x14ac:dyDescent="0.2">
      <c r="A909" s="5">
        <v>848</v>
      </c>
      <c r="B909" s="138">
        <f>'Expenditures 15-22'!F55</f>
        <v>45639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45639</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6396</v>
      </c>
      <c r="D913" s="2" t="str">
        <f t="shared" si="13"/>
        <v>Error?</v>
      </c>
    </row>
    <row r="914" spans="1:4" x14ac:dyDescent="0.2">
      <c r="A914" s="5">
        <v>853</v>
      </c>
      <c r="B914" s="138">
        <f>'Expenditures 15-22'!F61</f>
        <v>14516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604619</v>
      </c>
      <c r="D916" s="2" t="str">
        <f t="shared" si="13"/>
        <v>Error?</v>
      </c>
    </row>
    <row r="917" spans="1:4" x14ac:dyDescent="0.2">
      <c r="A917" s="5">
        <v>856</v>
      </c>
      <c r="B917" s="138">
        <f>'Expenditures 15-22'!F64</f>
        <v>40670</v>
      </c>
      <c r="D917" s="2" t="str">
        <f t="shared" si="13"/>
        <v>Error?</v>
      </c>
    </row>
    <row r="918" spans="1:4" x14ac:dyDescent="0.2">
      <c r="A918" s="10">
        <v>857</v>
      </c>
      <c r="D918" s="2" t="str">
        <f t="shared" si="13"/>
        <v>OK</v>
      </c>
    </row>
    <row r="919" spans="1:4" x14ac:dyDescent="0.2">
      <c r="A919" s="5">
        <v>858</v>
      </c>
      <c r="B919" s="138">
        <f>'Expenditures 15-22'!F65</f>
        <v>666201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1661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1661</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959812</v>
      </c>
      <c r="C929" s="2" t="s">
        <v>593</v>
      </c>
      <c r="D929" s="2" t="str">
        <f t="shared" si="13"/>
        <v>Error?</v>
      </c>
    </row>
    <row r="930" spans="1:4" x14ac:dyDescent="0.2">
      <c r="A930" s="5">
        <v>869</v>
      </c>
      <c r="B930" s="138">
        <f>'Expenditures 15-22'!F75</f>
        <v>5231</v>
      </c>
      <c r="D930" s="2" t="str">
        <f t="shared" si="13"/>
        <v>Error?</v>
      </c>
    </row>
    <row r="931" spans="1:4" x14ac:dyDescent="0.2">
      <c r="A931" s="5">
        <v>870</v>
      </c>
      <c r="B931" s="138">
        <f>'Expenditures 15-22'!F114</f>
        <v>1639349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22989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15024</v>
      </c>
      <c r="D949" s="2" t="str">
        <f t="shared" si="13"/>
        <v>Error?</v>
      </c>
    </row>
    <row r="950" spans="1:4" x14ac:dyDescent="0.2">
      <c r="A950" s="5">
        <v>889</v>
      </c>
      <c r="B950" s="138">
        <f>'Expenditures 15-22'!G14</f>
        <v>8093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99767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24111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24111</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2200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2200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2199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8433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10632</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36943</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136710</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8348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27464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1656648</v>
      </c>
      <c r="C1010" s="2" t="s">
        <v>593</v>
      </c>
      <c r="D1010" s="2" t="str">
        <f t="shared" si="14"/>
        <v>Error?</v>
      </c>
    </row>
    <row r="1011" spans="1:4" x14ac:dyDescent="0.2">
      <c r="A1011" s="5">
        <v>950</v>
      </c>
      <c r="B1011" s="138">
        <f>'Expenditures 15-22'!H36</f>
        <v>529</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529</v>
      </c>
      <c r="C1017" s="2" t="s">
        <v>593</v>
      </c>
      <c r="D1017" s="2" t="str">
        <f t="shared" si="14"/>
        <v>Error?</v>
      </c>
    </row>
    <row r="1018" spans="1:4" x14ac:dyDescent="0.2">
      <c r="A1018" s="5">
        <v>957</v>
      </c>
      <c r="B1018" s="138">
        <f>'Expenditures 15-22'!H44</f>
        <v>4007</v>
      </c>
      <c r="D1018" s="2" t="str">
        <f t="shared" si="14"/>
        <v>Error?</v>
      </c>
    </row>
    <row r="1019" spans="1:4" x14ac:dyDescent="0.2">
      <c r="A1019" s="5">
        <v>958</v>
      </c>
      <c r="B1019" s="138">
        <f>'Expenditures 15-22'!H45</f>
        <v>1089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5096</v>
      </c>
      <c r="C1021" s="2" t="s">
        <v>593</v>
      </c>
      <c r="D1021" s="2" t="str">
        <f t="shared" si="14"/>
        <v>Error?</v>
      </c>
    </row>
    <row r="1022" spans="1:4" x14ac:dyDescent="0.2">
      <c r="A1022" s="5">
        <v>961</v>
      </c>
      <c r="B1022" s="138">
        <f>'Expenditures 15-22'!H49</f>
        <v>8670</v>
      </c>
      <c r="D1022" s="2" t="str">
        <f t="shared" si="14"/>
        <v>Error?</v>
      </c>
    </row>
    <row r="1023" spans="1:4" x14ac:dyDescent="0.2">
      <c r="A1023" s="5">
        <v>962</v>
      </c>
      <c r="B1023" s="138">
        <f>'Expenditures 15-22'!H50</f>
        <v>3150</v>
      </c>
      <c r="D1023" s="2" t="str">
        <f t="shared" ref="D1023:D1086" si="15">IF(ISBLANK(B1023),"OK",IF(A1023-B1023=0,"OK","Error?"))</f>
        <v>Error?</v>
      </c>
    </row>
    <row r="1024" spans="1:4" x14ac:dyDescent="0.2">
      <c r="A1024" s="5">
        <v>963</v>
      </c>
      <c r="B1024" s="138">
        <f>'Expenditures 15-22'!H53</f>
        <v>12310</v>
      </c>
      <c r="C1024" s="2" t="s">
        <v>593</v>
      </c>
      <c r="D1024" s="2" t="str">
        <f t="shared" si="15"/>
        <v>Error?</v>
      </c>
    </row>
    <row r="1025" spans="1:4" x14ac:dyDescent="0.2">
      <c r="A1025" s="5">
        <v>964</v>
      </c>
      <c r="B1025" s="138">
        <f>'Expenditures 15-22'!H55</f>
        <v>8846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8846</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73198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3334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76532</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575</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575</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103888</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2040114</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3800650</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21784717</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284315</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195193</v>
      </c>
      <c r="C1105" s="2" t="s">
        <v>593</v>
      </c>
      <c r="D1105" s="2" t="str">
        <f t="shared" si="16"/>
        <v>Error?</v>
      </c>
    </row>
    <row r="1106" spans="1:4" x14ac:dyDescent="0.2">
      <c r="A1106" s="5">
        <v>1045</v>
      </c>
      <c r="B1106" s="138">
        <f>'Expenditures 15-22'!K14</f>
        <v>1237521</v>
      </c>
      <c r="C1106" s="2" t="s">
        <v>593</v>
      </c>
      <c r="D1106" s="2" t="str">
        <f t="shared" si="16"/>
        <v>Error?</v>
      </c>
    </row>
    <row r="1107" spans="1:4" x14ac:dyDescent="0.2">
      <c r="A1107" s="5">
        <v>1046</v>
      </c>
      <c r="B1107" s="138">
        <f>'Expenditures 15-22'!K15</f>
        <v>36149</v>
      </c>
      <c r="C1107" s="2" t="s">
        <v>593</v>
      </c>
      <c r="D1107" s="2" t="str">
        <f t="shared" si="16"/>
        <v>Error?</v>
      </c>
    </row>
    <row r="1108" spans="1:4" x14ac:dyDescent="0.2">
      <c r="A1108" s="5">
        <v>1047</v>
      </c>
      <c r="B1108" s="138">
        <f>'Expenditures 15-22'!K33</f>
        <v>29688124</v>
      </c>
      <c r="C1108" s="2" t="s">
        <v>593</v>
      </c>
      <c r="D1108" s="2" t="str">
        <f t="shared" si="16"/>
        <v>Error?</v>
      </c>
    </row>
    <row r="1109" spans="1:4" x14ac:dyDescent="0.2">
      <c r="A1109" s="5">
        <v>1048</v>
      </c>
      <c r="B1109" s="138">
        <f>'Expenditures 15-22'!K36</f>
        <v>773683</v>
      </c>
      <c r="C1109" s="2" t="s">
        <v>593</v>
      </c>
      <c r="D1109" s="2" t="str">
        <f t="shared" si="16"/>
        <v>Error?</v>
      </c>
    </row>
    <row r="1110" spans="1:4" x14ac:dyDescent="0.2">
      <c r="A1110" s="5">
        <v>1049</v>
      </c>
      <c r="B1110" s="138">
        <f>'Expenditures 15-22'!K37</f>
        <v>1194668</v>
      </c>
      <c r="C1110" s="2" t="s">
        <v>593</v>
      </c>
      <c r="D1110" s="2" t="str">
        <f t="shared" si="16"/>
        <v>Error?</v>
      </c>
    </row>
    <row r="1111" spans="1:4" x14ac:dyDescent="0.2">
      <c r="A1111" s="5">
        <v>1050</v>
      </c>
      <c r="B1111" s="138">
        <f>'Expenditures 15-22'!K38</f>
        <v>839050</v>
      </c>
      <c r="C1111" s="2" t="s">
        <v>593</v>
      </c>
      <c r="D1111" s="2" t="str">
        <f t="shared" si="16"/>
        <v>Error?</v>
      </c>
    </row>
    <row r="1112" spans="1:4" x14ac:dyDescent="0.2">
      <c r="A1112" s="5">
        <v>1051</v>
      </c>
      <c r="B1112" s="138">
        <f>'Expenditures 15-22'!K39</f>
        <v>540348</v>
      </c>
      <c r="C1112" s="2" t="s">
        <v>593</v>
      </c>
      <c r="D1112" s="2" t="str">
        <f t="shared" si="16"/>
        <v>Error?</v>
      </c>
    </row>
    <row r="1113" spans="1:4" x14ac:dyDescent="0.2">
      <c r="A1113" s="5">
        <v>1052</v>
      </c>
      <c r="B1113" s="138">
        <f>'Expenditures 15-22'!K40</f>
        <v>844075</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4191824</v>
      </c>
      <c r="C1115" s="2" t="s">
        <v>593</v>
      </c>
      <c r="D1115" s="2" t="str">
        <f t="shared" si="16"/>
        <v>Error?</v>
      </c>
    </row>
    <row r="1116" spans="1:4" x14ac:dyDescent="0.2">
      <c r="A1116" s="5">
        <v>1055</v>
      </c>
      <c r="B1116" s="138">
        <f>'Expenditures 15-22'!K44</f>
        <v>2070643</v>
      </c>
      <c r="C1116" s="2" t="s">
        <v>593</v>
      </c>
      <c r="D1116" s="2" t="str">
        <f t="shared" si="16"/>
        <v>Error?</v>
      </c>
    </row>
    <row r="1117" spans="1:4" x14ac:dyDescent="0.2">
      <c r="A1117" s="5">
        <v>1056</v>
      </c>
      <c r="B1117" s="138">
        <f>'Expenditures 15-22'!K45</f>
        <v>1697793</v>
      </c>
      <c r="C1117" s="2" t="s">
        <v>593</v>
      </c>
      <c r="D1117" s="2" t="str">
        <f t="shared" si="16"/>
        <v>Error?</v>
      </c>
    </row>
    <row r="1118" spans="1:4" x14ac:dyDescent="0.2">
      <c r="A1118" s="5">
        <v>1057</v>
      </c>
      <c r="B1118" s="138">
        <f>'Expenditures 15-22'!K46</f>
        <v>154679</v>
      </c>
      <c r="C1118" s="2" t="s">
        <v>593</v>
      </c>
      <c r="D1118" s="2" t="str">
        <f t="shared" si="16"/>
        <v>Error?</v>
      </c>
    </row>
    <row r="1119" spans="1:4" x14ac:dyDescent="0.2">
      <c r="A1119" s="5">
        <v>1058</v>
      </c>
      <c r="B1119" s="138">
        <f>'Expenditures 15-22'!K47</f>
        <v>3923115</v>
      </c>
      <c r="C1119" s="2" t="s">
        <v>593</v>
      </c>
      <c r="D1119" s="2" t="str">
        <f t="shared" si="16"/>
        <v>Error?</v>
      </c>
    </row>
    <row r="1120" spans="1:4" x14ac:dyDescent="0.2">
      <c r="A1120" s="5">
        <v>1059</v>
      </c>
      <c r="B1120" s="138">
        <f>'Expenditures 15-22'!K49</f>
        <v>153469</v>
      </c>
      <c r="C1120" s="2" t="s">
        <v>593</v>
      </c>
      <c r="D1120" s="2" t="str">
        <f t="shared" si="16"/>
        <v>Error?</v>
      </c>
    </row>
    <row r="1121" spans="1:4" x14ac:dyDescent="0.2">
      <c r="A1121" s="5">
        <v>1060</v>
      </c>
      <c r="B1121" s="138">
        <f>'Expenditures 15-22'!K50</f>
        <v>323149</v>
      </c>
      <c r="C1121" s="2" t="s">
        <v>593</v>
      </c>
      <c r="D1121" s="2" t="str">
        <f t="shared" si="16"/>
        <v>Error?</v>
      </c>
    </row>
    <row r="1122" spans="1:4" x14ac:dyDescent="0.2">
      <c r="A1122" s="5">
        <v>1061</v>
      </c>
      <c r="B1122" s="138">
        <f>'Expenditures 15-22'!K53</f>
        <v>806369</v>
      </c>
      <c r="C1122" s="2" t="s">
        <v>593</v>
      </c>
      <c r="D1122" s="2" t="str">
        <f t="shared" si="16"/>
        <v>Error?</v>
      </c>
    </row>
    <row r="1123" spans="1:4" x14ac:dyDescent="0.2">
      <c r="A1123" s="5">
        <v>1062</v>
      </c>
      <c r="B1123" s="138">
        <f>'Expenditures 15-22'!K55</f>
        <v>2132329</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2132329</v>
      </c>
      <c r="C1125" s="2" t="s">
        <v>593</v>
      </c>
      <c r="D1125" s="2" t="str">
        <f t="shared" si="16"/>
        <v>Error?</v>
      </c>
    </row>
    <row r="1126" spans="1:4" x14ac:dyDescent="0.2">
      <c r="A1126" s="5">
        <v>1065</v>
      </c>
      <c r="B1126" s="138">
        <f>'Expenditures 15-22'!K59</f>
        <v>183072</v>
      </c>
      <c r="C1126" s="2" t="s">
        <v>593</v>
      </c>
      <c r="D1126" s="2" t="str">
        <f t="shared" si="16"/>
        <v>Error?</v>
      </c>
    </row>
    <row r="1127" spans="1:4" x14ac:dyDescent="0.2">
      <c r="A1127" s="5">
        <v>1066</v>
      </c>
      <c r="B1127" s="138">
        <f>'Expenditures 15-22'!K60</f>
        <v>523159</v>
      </c>
      <c r="C1127" s="2" t="s">
        <v>593</v>
      </c>
      <c r="D1127" s="2" t="str">
        <f t="shared" si="16"/>
        <v>Error?</v>
      </c>
    </row>
    <row r="1128" spans="1:4" x14ac:dyDescent="0.2">
      <c r="A1128" s="5">
        <v>1067</v>
      </c>
      <c r="B1128" s="138">
        <f>'Expenditures 15-22'!K61</f>
        <v>285565</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1099277</v>
      </c>
      <c r="C1130" s="2" t="s">
        <v>593</v>
      </c>
      <c r="D1130" s="2" t="str">
        <f t="shared" si="16"/>
        <v>Error?</v>
      </c>
    </row>
    <row r="1131" spans="1:4" x14ac:dyDescent="0.2">
      <c r="A1131" s="5">
        <v>1070</v>
      </c>
      <c r="B1131" s="138">
        <f>'Expenditures 15-22'!K64</f>
        <v>40670</v>
      </c>
      <c r="C1131" s="2" t="s">
        <v>593</v>
      </c>
      <c r="D1131" s="2" t="str">
        <f t="shared" si="16"/>
        <v>Error?</v>
      </c>
    </row>
    <row r="1132" spans="1:4" x14ac:dyDescent="0.2">
      <c r="A1132" s="10">
        <v>1071</v>
      </c>
      <c r="D1132" s="2" t="str">
        <f t="shared" si="16"/>
        <v>OK</v>
      </c>
    </row>
    <row r="1133" spans="1:4" x14ac:dyDescent="0.2">
      <c r="A1133" s="5">
        <v>1072</v>
      </c>
      <c r="B1133" s="138">
        <f>'Expenditures 15-22'!K65</f>
        <v>2131743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15342</v>
      </c>
      <c r="C1135" s="2" t="s">
        <v>593</v>
      </c>
      <c r="D1135" s="2" t="str">
        <f t="shared" si="16"/>
        <v>Error?</v>
      </c>
    </row>
    <row r="1136" spans="1:4" x14ac:dyDescent="0.2">
      <c r="A1136" s="5">
        <v>1075</v>
      </c>
      <c r="B1136" s="138">
        <f>'Expenditures 15-22'!K69</f>
        <v>14513</v>
      </c>
      <c r="C1136" s="2" t="s">
        <v>593</v>
      </c>
      <c r="D1136" s="2" t="str">
        <f t="shared" si="16"/>
        <v>Error?</v>
      </c>
    </row>
    <row r="1137" spans="1:4" x14ac:dyDescent="0.2">
      <c r="A1137" s="5">
        <v>1076</v>
      </c>
      <c r="B1137" s="138">
        <f>'Expenditures 15-22'!K70</f>
        <v>234024</v>
      </c>
      <c r="C1137" s="2" t="s">
        <v>593</v>
      </c>
      <c r="D1137" s="2" t="str">
        <f t="shared" si="16"/>
        <v>Error?</v>
      </c>
    </row>
    <row r="1138" spans="1:4" x14ac:dyDescent="0.2">
      <c r="A1138" s="10">
        <v>1077</v>
      </c>
      <c r="D1138" s="2" t="str">
        <f t="shared" si="16"/>
        <v>OK</v>
      </c>
    </row>
    <row r="1139" spans="1:4" x14ac:dyDescent="0.2">
      <c r="A1139" s="5">
        <v>1078</v>
      </c>
      <c r="B1139" s="138">
        <f>'Expenditures 15-22'!K71</f>
        <v>24115</v>
      </c>
      <c r="C1139" s="2" t="s">
        <v>593</v>
      </c>
      <c r="D1139" s="2" t="str">
        <f t="shared" si="16"/>
        <v>Error?</v>
      </c>
    </row>
    <row r="1140" spans="1:4" x14ac:dyDescent="0.2">
      <c r="A1140" s="10">
        <v>1079</v>
      </c>
      <c r="D1140" s="2" t="str">
        <f t="shared" si="16"/>
        <v>OK</v>
      </c>
    </row>
    <row r="1141" spans="1:4" x14ac:dyDescent="0.2">
      <c r="A1141" s="5">
        <v>1080</v>
      </c>
      <c r="B1141" s="138">
        <f>'Expenditures 15-22'!K72</f>
        <v>287994</v>
      </c>
      <c r="C1141" s="2" t="s">
        <v>593</v>
      </c>
      <c r="D1141" s="2" t="str">
        <f t="shared" si="16"/>
        <v>Error?</v>
      </c>
    </row>
    <row r="1142" spans="1:4" x14ac:dyDescent="0.2">
      <c r="A1142" s="5">
        <v>1081</v>
      </c>
      <c r="B1142" s="138">
        <f>'Expenditures 15-22'!K73</f>
        <v>441862</v>
      </c>
      <c r="C1142" s="2" t="s">
        <v>593</v>
      </c>
      <c r="D1142" s="2" t="str">
        <f t="shared" si="16"/>
        <v>Error?</v>
      </c>
    </row>
    <row r="1143" spans="1:4" x14ac:dyDescent="0.2">
      <c r="A1143" s="5">
        <v>1082</v>
      </c>
      <c r="B1143" s="138">
        <f>'Expenditures 15-22'!K74</f>
        <v>13915236</v>
      </c>
      <c r="C1143" s="2" t="s">
        <v>593</v>
      </c>
      <c r="D1143" s="2" t="str">
        <f t="shared" si="16"/>
        <v>Error?</v>
      </c>
    </row>
    <row r="1144" spans="1:4" x14ac:dyDescent="0.2">
      <c r="A1144" s="5">
        <v>1083</v>
      </c>
      <c r="B1144" s="138">
        <f>'Expenditures 15-22'!K75</f>
        <v>19220</v>
      </c>
      <c r="C1144" s="2" t="s">
        <v>593</v>
      </c>
      <c r="D1144" s="2" t="str">
        <f t="shared" si="16"/>
        <v>Error?</v>
      </c>
    </row>
    <row r="1145" spans="1:4" x14ac:dyDescent="0.2">
      <c r="A1145" s="5">
        <v>1084</v>
      </c>
      <c r="B1145" s="138">
        <f>'Expenditures 15-22'!K102</f>
        <v>2580526</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46203106</v>
      </c>
      <c r="C1152" s="2" t="s">
        <v>593</v>
      </c>
      <c r="D1152" s="2" t="str">
        <f t="shared" si="17"/>
        <v>Error?</v>
      </c>
    </row>
    <row r="1153" spans="1:4" x14ac:dyDescent="0.2">
      <c r="A1153" s="5">
        <v>1092</v>
      </c>
      <c r="B1153" s="138">
        <f>'Expenditures 15-22'!K115</f>
        <v>782144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525979</v>
      </c>
      <c r="D1221" s="2" t="str">
        <f t="shared" si="18"/>
        <v>Error?</v>
      </c>
    </row>
    <row r="1222" spans="1:4" x14ac:dyDescent="0.2">
      <c r="A1222" s="10">
        <v>1161</v>
      </c>
      <c r="D1222" s="2" t="str">
        <f t="shared" si="18"/>
        <v>OK</v>
      </c>
    </row>
    <row r="1223" spans="1:4" x14ac:dyDescent="0.2">
      <c r="A1223" s="5">
        <v>1162</v>
      </c>
      <c r="B1223" s="138">
        <f>'Expenditures 15-22'!C127</f>
        <v>525979</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525979</v>
      </c>
      <c r="C1225" s="2" t="s">
        <v>593</v>
      </c>
      <c r="D1225" s="2" t="str">
        <f t="shared" si="18"/>
        <v>Error?</v>
      </c>
    </row>
    <row r="1226" spans="1:4" x14ac:dyDescent="0.2">
      <c r="A1226" s="5">
        <v>1165</v>
      </c>
      <c r="B1226" s="138">
        <f>'Expenditures 15-22'!C151</f>
        <v>525979</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111633</v>
      </c>
      <c r="D1229" s="2" t="str">
        <f t="shared" si="18"/>
        <v>Error?</v>
      </c>
    </row>
    <row r="1230" spans="1:4" x14ac:dyDescent="0.2">
      <c r="A1230" s="10">
        <v>1169</v>
      </c>
      <c r="D1230" s="2" t="str">
        <f t="shared" si="18"/>
        <v>OK</v>
      </c>
    </row>
    <row r="1231" spans="1:4" x14ac:dyDescent="0.2">
      <c r="A1231" s="5">
        <v>1170</v>
      </c>
      <c r="B1231" s="138">
        <f>'Expenditures 15-22'!D127</f>
        <v>111633</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111633</v>
      </c>
      <c r="C1233" s="2" t="s">
        <v>593</v>
      </c>
      <c r="D1233" s="2" t="str">
        <f t="shared" si="18"/>
        <v>Error?</v>
      </c>
    </row>
    <row r="1234" spans="1:4" x14ac:dyDescent="0.2">
      <c r="A1234" s="5">
        <v>1173</v>
      </c>
      <c r="B1234" s="138">
        <f>'Expenditures 15-22'!D151</f>
        <v>111633</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26234</v>
      </c>
      <c r="D1236" s="2" t="str">
        <f t="shared" si="18"/>
        <v>Error?</v>
      </c>
    </row>
    <row r="1237" spans="1:4" x14ac:dyDescent="0.2">
      <c r="A1237" s="5">
        <v>1176</v>
      </c>
      <c r="B1237" s="138">
        <f>'Expenditures 15-22'!E124</f>
        <v>2270882</v>
      </c>
      <c r="D1237" s="2" t="str">
        <f t="shared" si="18"/>
        <v>Error?</v>
      </c>
    </row>
    <row r="1238" spans="1:4" x14ac:dyDescent="0.2">
      <c r="A1238" s="10">
        <v>1177</v>
      </c>
      <c r="D1238" s="2" t="str">
        <f t="shared" si="18"/>
        <v>OK</v>
      </c>
    </row>
    <row r="1239" spans="1:4" x14ac:dyDescent="0.2">
      <c r="A1239" s="5">
        <v>1178</v>
      </c>
      <c r="B1239" s="138">
        <f>'Expenditures 15-22'!E127</f>
        <v>2297116</v>
      </c>
      <c r="C1239" s="2" t="s">
        <v>593</v>
      </c>
      <c r="D1239" s="2" t="str">
        <f t="shared" si="18"/>
        <v>Error?</v>
      </c>
    </row>
    <row r="1240" spans="1:4" x14ac:dyDescent="0.2">
      <c r="A1240" s="5">
        <v>1179</v>
      </c>
      <c r="B1240" s="138">
        <f>'Expenditures 15-22'!E128</f>
        <v>87278</v>
      </c>
      <c r="D1240" s="2" t="str">
        <f t="shared" si="18"/>
        <v>Error?</v>
      </c>
    </row>
    <row r="1241" spans="1:4" x14ac:dyDescent="0.2">
      <c r="A1241" s="5">
        <v>1180</v>
      </c>
      <c r="B1241" s="138">
        <f>'Expenditures 15-22'!E129</f>
        <v>2384394</v>
      </c>
      <c r="C1241" s="2" t="s">
        <v>593</v>
      </c>
      <c r="D1241" s="2" t="str">
        <f t="shared" si="18"/>
        <v>Error?</v>
      </c>
    </row>
    <row r="1242" spans="1:4" x14ac:dyDescent="0.2">
      <c r="A1242" s="5">
        <v>1181</v>
      </c>
      <c r="B1242" s="138">
        <f>'Expenditures 15-22'!E151</f>
        <v>2384394</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1084899</v>
      </c>
      <c r="D1245" s="2" t="str">
        <f t="shared" si="18"/>
        <v>Error?</v>
      </c>
    </row>
    <row r="1246" spans="1:4" x14ac:dyDescent="0.2">
      <c r="A1246" s="10">
        <v>1185</v>
      </c>
      <c r="D1246" s="2" t="str">
        <f t="shared" si="18"/>
        <v>OK</v>
      </c>
    </row>
    <row r="1247" spans="1:4" x14ac:dyDescent="0.2">
      <c r="A1247" s="5">
        <v>1186</v>
      </c>
      <c r="B1247" s="138">
        <f>'Expenditures 15-22'!F127</f>
        <v>1084899</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1084899</v>
      </c>
      <c r="C1249" s="2" t="s">
        <v>593</v>
      </c>
      <c r="D1249" s="2" t="str">
        <f t="shared" si="18"/>
        <v>Error?</v>
      </c>
    </row>
    <row r="1250" spans="1:4" x14ac:dyDescent="0.2">
      <c r="A1250" s="5">
        <v>1189</v>
      </c>
      <c r="B1250" s="138">
        <f>'Expenditures 15-22'!F151</f>
        <v>1084899</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884371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884371</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884371</v>
      </c>
      <c r="C1258" s="2" t="s">
        <v>593</v>
      </c>
      <c r="D1258" s="2" t="str">
        <f t="shared" si="18"/>
        <v>Error?</v>
      </c>
    </row>
    <row r="1259" spans="1:4" x14ac:dyDescent="0.2">
      <c r="A1259" s="5">
        <v>1198</v>
      </c>
      <c r="B1259" s="138">
        <f>'Expenditures 15-22'!G151</f>
        <v>884371</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6876</v>
      </c>
      <c r="D1262" s="2" t="str">
        <f t="shared" si="18"/>
        <v>Error?</v>
      </c>
    </row>
    <row r="1263" spans="1:4" x14ac:dyDescent="0.2">
      <c r="A1263" s="10">
        <v>1202</v>
      </c>
      <c r="D1263" s="2" t="str">
        <f t="shared" si="18"/>
        <v>OK</v>
      </c>
    </row>
    <row r="1264" spans="1:4" x14ac:dyDescent="0.2">
      <c r="A1264" s="5">
        <v>1203</v>
      </c>
      <c r="B1264" s="138">
        <f>'Expenditures 15-22'!H127</f>
        <v>6876</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6876</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6876</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26234</v>
      </c>
      <c r="C1275" s="2" t="s">
        <v>593</v>
      </c>
      <c r="D1275" s="2" t="str">
        <f t="shared" si="18"/>
        <v>Error?</v>
      </c>
    </row>
    <row r="1276" spans="1:4" x14ac:dyDescent="0.2">
      <c r="A1276" s="5">
        <v>1215</v>
      </c>
      <c r="B1276" s="138">
        <f>'Expenditures 15-22'!K124</f>
        <v>4912487</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4938721</v>
      </c>
      <c r="C1279" s="2" t="s">
        <v>593</v>
      </c>
      <c r="D1279" s="2" t="str">
        <f t="shared" ref="D1279:D1342" si="19">IF(ISBLANK(B1279),"OK",IF(A1279-B1279=0,"OK","Error?"))</f>
        <v>Error?</v>
      </c>
    </row>
    <row r="1280" spans="1:4" x14ac:dyDescent="0.2">
      <c r="A1280" s="5">
        <v>1219</v>
      </c>
      <c r="B1280" s="138">
        <f>'Expenditures 15-22'!K128</f>
        <v>87278</v>
      </c>
      <c r="C1280" s="2" t="s">
        <v>593</v>
      </c>
      <c r="D1280" s="2" t="str">
        <f t="shared" si="19"/>
        <v>Error?</v>
      </c>
    </row>
    <row r="1281" spans="1:4" x14ac:dyDescent="0.2">
      <c r="A1281" s="5">
        <v>1220</v>
      </c>
      <c r="B1281" s="138">
        <f>'Expenditures 15-22'!K129</f>
        <v>5025999</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5025999</v>
      </c>
      <c r="C1288" s="2" t="s">
        <v>593</v>
      </c>
      <c r="D1288" s="2" t="str">
        <f t="shared" si="19"/>
        <v>Error?</v>
      </c>
    </row>
    <row r="1289" spans="1:4" x14ac:dyDescent="0.2">
      <c r="A1289" s="5">
        <v>1228</v>
      </c>
      <c r="B1289" s="138">
        <f>'Expenditures 15-22'!K152</f>
        <v>962629</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3148155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8215000</v>
      </c>
      <c r="D1315" s="2" t="str">
        <f t="shared" si="19"/>
        <v>Error?</v>
      </c>
    </row>
    <row r="1316" spans="1:4" x14ac:dyDescent="0.2">
      <c r="A1316" s="5">
        <v>1255</v>
      </c>
      <c r="B1316" s="138">
        <f>'Expenditures 15-22'!H171</f>
        <v>5347</v>
      </c>
      <c r="D1316" s="2" t="str">
        <f t="shared" si="19"/>
        <v>Error?</v>
      </c>
    </row>
    <row r="1317" spans="1:4" x14ac:dyDescent="0.2">
      <c r="A1317" s="5">
        <v>1256</v>
      </c>
      <c r="B1317" s="138">
        <f>'Expenditures 15-22'!H172</f>
        <v>11368502</v>
      </c>
      <c r="C1317" s="2" t="s">
        <v>593</v>
      </c>
      <c r="D1317" s="2" t="str">
        <f t="shared" si="19"/>
        <v>Error?</v>
      </c>
    </row>
    <row r="1318" spans="1:4" x14ac:dyDescent="0.2">
      <c r="A1318" s="5">
        <v>1257</v>
      </c>
      <c r="B1318" s="138">
        <f>'Expenditures 15-22'!H174</f>
        <v>11368502</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3148155</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8215000</v>
      </c>
      <c r="C1329" s="2" t="s">
        <v>593</v>
      </c>
      <c r="D1329" s="2" t="str">
        <f t="shared" si="19"/>
        <v>Error?</v>
      </c>
    </row>
    <row r="1330" spans="1:4" x14ac:dyDescent="0.2">
      <c r="A1330" s="5">
        <v>1269</v>
      </c>
      <c r="B1330" s="138">
        <f>'Expenditures 15-22'!K171</f>
        <v>5347</v>
      </c>
      <c r="C1330" s="2" t="s">
        <v>593</v>
      </c>
      <c r="D1330" s="2" t="str">
        <f t="shared" si="19"/>
        <v>Error?</v>
      </c>
    </row>
    <row r="1331" spans="1:4" x14ac:dyDescent="0.2">
      <c r="A1331" s="5">
        <v>1270</v>
      </c>
      <c r="B1331" s="138">
        <f>'Expenditures 15-22'!K172</f>
        <v>11368502</v>
      </c>
      <c r="C1331" s="2" t="s">
        <v>593</v>
      </c>
      <c r="D1331" s="2" t="str">
        <f t="shared" si="19"/>
        <v>Error?</v>
      </c>
    </row>
    <row r="1332" spans="1:4" x14ac:dyDescent="0.2">
      <c r="A1332" s="5">
        <v>1271</v>
      </c>
      <c r="B1332" s="138">
        <f>'Expenditures 15-22'!K174</f>
        <v>11368502</v>
      </c>
      <c r="C1332" s="2" t="s">
        <v>593</v>
      </c>
      <c r="D1332" s="2" t="str">
        <f t="shared" si="19"/>
        <v>Error?</v>
      </c>
    </row>
    <row r="1333" spans="1:4" x14ac:dyDescent="0.2">
      <c r="A1333" s="5">
        <v>1272</v>
      </c>
      <c r="B1333" s="138">
        <f>'Expenditures 15-22'!K175</f>
        <v>-212886</v>
      </c>
      <c r="C1333" s="2" t="s">
        <v>593</v>
      </c>
      <c r="D1333" s="2" t="str">
        <f t="shared" si="19"/>
        <v>Error?</v>
      </c>
    </row>
    <row r="1334" spans="1:4" x14ac:dyDescent="0.2">
      <c r="A1334" s="10">
        <v>1273</v>
      </c>
      <c r="D1334" s="2" t="str">
        <f t="shared" si="19"/>
        <v>OK</v>
      </c>
    </row>
    <row r="1335" spans="1:4" x14ac:dyDescent="0.2">
      <c r="A1335" s="5">
        <v>1274</v>
      </c>
      <c r="B1335" s="138">
        <f>'Expenditures 15-22'!C182</f>
        <v>1615915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1615915</v>
      </c>
      <c r="C1339" s="2" t="s">
        <v>593</v>
      </c>
      <c r="D1339" s="2" t="str">
        <f t="shared" si="19"/>
        <v>Error?</v>
      </c>
    </row>
    <row r="1340" spans="1:4" x14ac:dyDescent="0.2">
      <c r="A1340" s="5">
        <v>1279</v>
      </c>
      <c r="B1340" s="138">
        <f>'Expenditures 15-22'!C210</f>
        <v>1615915</v>
      </c>
      <c r="C1340" s="2" t="s">
        <v>593</v>
      </c>
      <c r="D1340" s="2" t="str">
        <f t="shared" si="19"/>
        <v>Error?</v>
      </c>
    </row>
    <row r="1341" spans="1:4" x14ac:dyDescent="0.2">
      <c r="A1341" s="5">
        <v>1280</v>
      </c>
      <c r="B1341" s="138">
        <f>'Expenditures 15-22'!D182</f>
        <v>137953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137953</v>
      </c>
      <c r="C1345" s="2" t="s">
        <v>593</v>
      </c>
      <c r="D1345" s="2" t="str">
        <f t="shared" si="20"/>
        <v>Error?</v>
      </c>
    </row>
    <row r="1346" spans="1:4" x14ac:dyDescent="0.2">
      <c r="A1346" s="5">
        <v>1285</v>
      </c>
      <c r="B1346" s="138">
        <f>'Expenditures 15-22'!D210</f>
        <v>137953</v>
      </c>
      <c r="C1346" s="2" t="s">
        <v>593</v>
      </c>
      <c r="D1346" s="2" t="str">
        <f t="shared" si="20"/>
        <v>Error?</v>
      </c>
    </row>
    <row r="1347" spans="1:4" x14ac:dyDescent="0.2">
      <c r="A1347" s="5">
        <v>1286</v>
      </c>
      <c r="B1347" s="138">
        <f>'Expenditures 15-22'!E182</f>
        <v>2030752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2030752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2030752</v>
      </c>
      <c r="C1353" s="2" t="s">
        <v>593</v>
      </c>
      <c r="D1353" s="2" t="str">
        <f t="shared" si="20"/>
        <v>Error?</v>
      </c>
    </row>
    <row r="1354" spans="1:4" x14ac:dyDescent="0.2">
      <c r="A1354" s="5">
        <v>1293</v>
      </c>
      <c r="B1354" s="138">
        <f>'Expenditures 15-22'!F182</f>
        <v>489876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489876</v>
      </c>
      <c r="C1358" s="2" t="s">
        <v>593</v>
      </c>
      <c r="D1358" s="2" t="str">
        <f t="shared" si="20"/>
        <v>Error?</v>
      </c>
    </row>
    <row r="1359" spans="1:4" x14ac:dyDescent="0.2">
      <c r="A1359" s="5">
        <v>1298</v>
      </c>
      <c r="B1359" s="138">
        <f>'Expenditures 15-22'!F210</f>
        <v>489876</v>
      </c>
      <c r="C1359" s="2" t="s">
        <v>593</v>
      </c>
      <c r="D1359" s="2" t="str">
        <f t="shared" si="20"/>
        <v>Error?</v>
      </c>
    </row>
    <row r="1360" spans="1:4" x14ac:dyDescent="0.2">
      <c r="A1360" s="5">
        <v>1299</v>
      </c>
      <c r="B1360" s="138">
        <f>'Expenditures 15-22'!G182</f>
        <v>585396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585396</v>
      </c>
      <c r="C1364" s="2" t="s">
        <v>593</v>
      </c>
      <c r="D1364" s="2" t="str">
        <f t="shared" si="20"/>
        <v>Error?</v>
      </c>
    </row>
    <row r="1365" spans="1:4" x14ac:dyDescent="0.2">
      <c r="A1365" s="5">
        <v>1304</v>
      </c>
      <c r="B1365" s="138">
        <f>'Expenditures 15-22'!G210</f>
        <v>585396</v>
      </c>
      <c r="C1365" s="2" t="s">
        <v>593</v>
      </c>
      <c r="D1365" s="2" t="str">
        <f t="shared" si="20"/>
        <v>Error?</v>
      </c>
    </row>
    <row r="1366" spans="1:4" x14ac:dyDescent="0.2">
      <c r="A1366" s="5">
        <v>1305</v>
      </c>
      <c r="B1366" s="138">
        <f>'Expenditures 15-22'!H182</f>
        <v>720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720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720</v>
      </c>
      <c r="C1376" s="2" t="s">
        <v>593</v>
      </c>
      <c r="D1376" s="2" t="str">
        <f t="shared" si="20"/>
        <v>Error?</v>
      </c>
    </row>
    <row r="1377" spans="1:4" x14ac:dyDescent="0.2">
      <c r="A1377" s="5">
        <v>1316</v>
      </c>
      <c r="B1377" s="138">
        <f>'Expenditures 15-22'!K182</f>
        <v>4893199</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4893199</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4893199</v>
      </c>
      <c r="C1388" s="2" t="s">
        <v>593</v>
      </c>
      <c r="D1388" s="2" t="str">
        <f t="shared" si="20"/>
        <v>Error?</v>
      </c>
    </row>
    <row r="1389" spans="1:4" x14ac:dyDescent="0.2">
      <c r="A1389" s="5">
        <v>1328</v>
      </c>
      <c r="B1389" s="138">
        <f>'Expenditures 15-22'!K211</f>
        <v>-59192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2969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14435</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33405</v>
      </c>
      <c r="D1408" s="2" t="str">
        <f t="shared" si="21"/>
        <v>Error?</v>
      </c>
    </row>
    <row r="1409" spans="1:4" x14ac:dyDescent="0.2">
      <c r="A1409" s="5">
        <v>1348</v>
      </c>
      <c r="B1409" s="138">
        <f>'Expenditures 15-22'!D224</f>
        <v>761</v>
      </c>
      <c r="D1409" s="2" t="str">
        <f t="shared" si="21"/>
        <v>Error?</v>
      </c>
    </row>
    <row r="1410" spans="1:4" x14ac:dyDescent="0.2">
      <c r="A1410" s="5">
        <v>1349</v>
      </c>
      <c r="B1410" s="138">
        <f>'Expenditures 15-22'!D229</f>
        <v>609360</v>
      </c>
      <c r="C1410" s="2" t="s">
        <v>593</v>
      </c>
      <c r="D1410" s="2" t="str">
        <f t="shared" si="21"/>
        <v>Error?</v>
      </c>
    </row>
    <row r="1411" spans="1:4" x14ac:dyDescent="0.2">
      <c r="A1411" s="5">
        <v>1350</v>
      </c>
      <c r="B1411" s="138">
        <f>'Expenditures 15-22'!D232</f>
        <v>22206</v>
      </c>
      <c r="D1411" s="2" t="str">
        <f t="shared" si="21"/>
        <v>Error?</v>
      </c>
    </row>
    <row r="1412" spans="1:4" x14ac:dyDescent="0.2">
      <c r="A1412" s="5">
        <v>1351</v>
      </c>
      <c r="B1412" s="138">
        <f>'Expenditures 15-22'!D233</f>
        <v>34439</v>
      </c>
      <c r="D1412" s="2" t="str">
        <f t="shared" si="21"/>
        <v>Error?</v>
      </c>
    </row>
    <row r="1413" spans="1:4" x14ac:dyDescent="0.2">
      <c r="A1413" s="5">
        <v>1352</v>
      </c>
      <c r="B1413" s="138">
        <f>'Expenditures 15-22'!D234</f>
        <v>99273</v>
      </c>
      <c r="D1413" s="2" t="str">
        <f t="shared" si="21"/>
        <v>Error?</v>
      </c>
    </row>
    <row r="1414" spans="1:4" x14ac:dyDescent="0.2">
      <c r="A1414" s="5">
        <v>1353</v>
      </c>
      <c r="B1414" s="138">
        <f>'Expenditures 15-22'!D235</f>
        <v>5977</v>
      </c>
      <c r="D1414" s="2" t="str">
        <f t="shared" si="21"/>
        <v>Error?</v>
      </c>
    </row>
    <row r="1415" spans="1:4" x14ac:dyDescent="0.2">
      <c r="A1415" s="5">
        <v>1354</v>
      </c>
      <c r="B1415" s="138">
        <f>'Expenditures 15-22'!D236</f>
        <v>9281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171176</v>
      </c>
      <c r="C1417" s="2" t="s">
        <v>593</v>
      </c>
      <c r="D1417" s="2" t="str">
        <f t="shared" si="21"/>
        <v>Error?</v>
      </c>
    </row>
    <row r="1418" spans="1:4" x14ac:dyDescent="0.2">
      <c r="A1418" s="5">
        <v>1357</v>
      </c>
      <c r="B1418" s="138">
        <f>'Expenditures 15-22'!D240</f>
        <v>23937</v>
      </c>
      <c r="D1418" s="2" t="str">
        <f t="shared" si="21"/>
        <v>Error?</v>
      </c>
    </row>
    <row r="1419" spans="1:4" x14ac:dyDescent="0.2">
      <c r="A1419" s="5">
        <v>1358</v>
      </c>
      <c r="B1419" s="138">
        <f>'Expenditures 15-22'!D241</f>
        <v>110578</v>
      </c>
      <c r="D1419" s="2" t="str">
        <f t="shared" si="21"/>
        <v>Error?</v>
      </c>
    </row>
    <row r="1420" spans="1:4" x14ac:dyDescent="0.2">
      <c r="A1420" s="5">
        <v>1359</v>
      </c>
      <c r="B1420" s="138">
        <f>'Expenditures 15-22'!D242</f>
        <v>704</v>
      </c>
      <c r="D1420" s="2" t="str">
        <f t="shared" si="21"/>
        <v>Error?</v>
      </c>
    </row>
    <row r="1421" spans="1:4" x14ac:dyDescent="0.2">
      <c r="A1421" s="5">
        <v>1360</v>
      </c>
      <c r="B1421" s="138">
        <f>'Expenditures 15-22'!D243</f>
        <v>135219</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14593</v>
      </c>
      <c r="D1423" s="2" t="str">
        <f t="shared" si="21"/>
        <v>Error?</v>
      </c>
    </row>
    <row r="1424" spans="1:4" x14ac:dyDescent="0.2">
      <c r="A1424" s="5">
        <v>1363</v>
      </c>
      <c r="B1424" s="138">
        <f>'Expenditures 15-22'!D257</f>
        <v>28515</v>
      </c>
      <c r="C1424" s="2" t="s">
        <v>593</v>
      </c>
      <c r="D1424" s="2" t="str">
        <f t="shared" si="21"/>
        <v>Error?</v>
      </c>
    </row>
    <row r="1425" spans="1:4" x14ac:dyDescent="0.2">
      <c r="A1425" s="5">
        <v>1364</v>
      </c>
      <c r="B1425" s="138">
        <f>'Expenditures 15-22'!D259</f>
        <v>89305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89305</v>
      </c>
      <c r="C1427" s="2" t="s">
        <v>593</v>
      </c>
      <c r="D1427" s="2" t="str">
        <f t="shared" si="21"/>
        <v>Error?</v>
      </c>
    </row>
    <row r="1428" spans="1:4" x14ac:dyDescent="0.2">
      <c r="A1428" s="5">
        <v>1367</v>
      </c>
      <c r="B1428" s="138">
        <f>'Expenditures 15-22'!D263</f>
        <v>2236</v>
      </c>
      <c r="D1428" s="2" t="str">
        <f t="shared" si="21"/>
        <v>Error?</v>
      </c>
    </row>
    <row r="1429" spans="1:4" x14ac:dyDescent="0.2">
      <c r="A1429" s="5">
        <v>1368</v>
      </c>
      <c r="B1429" s="138">
        <f>'Expenditures 15-22'!D264</f>
        <v>55130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114344</v>
      </c>
      <c r="D1431" s="2" t="str">
        <f t="shared" si="21"/>
        <v>Error?</v>
      </c>
    </row>
    <row r="1432" spans="1:4" x14ac:dyDescent="0.2">
      <c r="A1432" s="5">
        <v>1371</v>
      </c>
      <c r="B1432" s="138">
        <f>'Expenditures 15-22'!D267</f>
        <v>309981</v>
      </c>
      <c r="D1432" s="2" t="str">
        <f t="shared" si="21"/>
        <v>Error?</v>
      </c>
    </row>
    <row r="1433" spans="1:4" x14ac:dyDescent="0.2">
      <c r="A1433" s="5">
        <v>1372</v>
      </c>
      <c r="B1433" s="138">
        <f>'Expenditures 15-22'!D268</f>
        <v>52872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534563</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210</v>
      </c>
      <c r="D1438" s="2" t="str">
        <f t="shared" si="21"/>
        <v>Error?</v>
      </c>
    </row>
    <row r="1439" spans="1:4" x14ac:dyDescent="0.2">
      <c r="A1439" s="5">
        <v>1378</v>
      </c>
      <c r="B1439" s="138">
        <f>'Expenditures 15-22'!D274</f>
        <v>847</v>
      </c>
      <c r="D1439" s="2" t="str">
        <f t="shared" si="21"/>
        <v>Error?</v>
      </c>
    </row>
    <row r="1440" spans="1:4" x14ac:dyDescent="0.2">
      <c r="A1440" s="5">
        <v>1379</v>
      </c>
      <c r="B1440" s="138">
        <f>'Expenditures 15-22'!D275</f>
        <v>9668</v>
      </c>
      <c r="D1440" s="2" t="str">
        <f t="shared" si="21"/>
        <v>Error?</v>
      </c>
    </row>
    <row r="1441" spans="1:4" x14ac:dyDescent="0.2">
      <c r="A1441" s="10">
        <v>1380</v>
      </c>
      <c r="D1441" s="2" t="str">
        <f t="shared" si="21"/>
        <v>OK</v>
      </c>
    </row>
    <row r="1442" spans="1:4" x14ac:dyDescent="0.2">
      <c r="A1442" s="5">
        <v>1381</v>
      </c>
      <c r="B1442" s="138">
        <f>'Expenditures 15-22'!D276</f>
        <v>4297</v>
      </c>
      <c r="D1442" s="2" t="str">
        <f t="shared" si="21"/>
        <v>Error?</v>
      </c>
    </row>
    <row r="1443" spans="1:4" x14ac:dyDescent="0.2">
      <c r="A1443" s="10">
        <v>1382</v>
      </c>
      <c r="D1443" s="2" t="str">
        <f t="shared" si="21"/>
        <v>OK</v>
      </c>
    </row>
    <row r="1444" spans="1:4" x14ac:dyDescent="0.2">
      <c r="A1444" s="5">
        <v>1383</v>
      </c>
      <c r="B1444" s="138">
        <f>'Expenditures 15-22'!D277</f>
        <v>15022</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973800</v>
      </c>
      <c r="C1446" s="2" t="s">
        <v>593</v>
      </c>
      <c r="D1446" s="2" t="str">
        <f t="shared" si="21"/>
        <v>Error?</v>
      </c>
    </row>
    <row r="1447" spans="1:4" x14ac:dyDescent="0.2">
      <c r="A1447" s="5">
        <v>1386</v>
      </c>
      <c r="B1447" s="138">
        <f>'Expenditures 15-22'!D280</f>
        <v>820</v>
      </c>
      <c r="D1447" s="2" t="str">
        <f t="shared" si="21"/>
        <v>Error?</v>
      </c>
    </row>
    <row r="1448" spans="1:4" x14ac:dyDescent="0.2">
      <c r="A1448" s="5">
        <v>1387</v>
      </c>
      <c r="B1448" s="138">
        <f>'Expenditures 15-22'!D295</f>
        <v>1583980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2969</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14435</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33405</v>
      </c>
      <c r="C1472" s="2" t="s">
        <v>593</v>
      </c>
      <c r="D1472" s="2" t="str">
        <f t="shared" si="22"/>
        <v>Error?</v>
      </c>
    </row>
    <row r="1473" spans="1:4" x14ac:dyDescent="0.2">
      <c r="A1473" s="5">
        <v>1412</v>
      </c>
      <c r="B1473" s="138">
        <f>'Expenditures 15-22'!K224</f>
        <v>761</v>
      </c>
      <c r="C1473" s="2" t="s">
        <v>593</v>
      </c>
      <c r="D1473" s="2" t="str">
        <f t="shared" si="22"/>
        <v>Error?</v>
      </c>
    </row>
    <row r="1474" spans="1:4" x14ac:dyDescent="0.2">
      <c r="A1474" s="5">
        <v>1413</v>
      </c>
      <c r="B1474" s="138">
        <f>'Expenditures 15-22'!K229</f>
        <v>609360</v>
      </c>
      <c r="C1474" s="2" t="s">
        <v>593</v>
      </c>
      <c r="D1474" s="2" t="str">
        <f t="shared" si="22"/>
        <v>Error?</v>
      </c>
    </row>
    <row r="1475" spans="1:4" x14ac:dyDescent="0.2">
      <c r="A1475" s="5">
        <v>1414</v>
      </c>
      <c r="B1475" s="138">
        <f>'Expenditures 15-22'!K232</f>
        <v>22206</v>
      </c>
      <c r="C1475" s="2" t="s">
        <v>593</v>
      </c>
      <c r="D1475" s="2" t="str">
        <f t="shared" si="22"/>
        <v>Error?</v>
      </c>
    </row>
    <row r="1476" spans="1:4" x14ac:dyDescent="0.2">
      <c r="A1476" s="5">
        <v>1415</v>
      </c>
      <c r="B1476" s="138">
        <f>'Expenditures 15-22'!K233</f>
        <v>34439</v>
      </c>
      <c r="C1476" s="2" t="s">
        <v>593</v>
      </c>
      <c r="D1476" s="2" t="str">
        <f t="shared" si="22"/>
        <v>Error?</v>
      </c>
    </row>
    <row r="1477" spans="1:4" x14ac:dyDescent="0.2">
      <c r="A1477" s="5">
        <v>1416</v>
      </c>
      <c r="B1477" s="138">
        <f>'Expenditures 15-22'!K234</f>
        <v>99273</v>
      </c>
      <c r="C1477" s="2" t="s">
        <v>593</v>
      </c>
      <c r="D1477" s="2" t="str">
        <f t="shared" si="22"/>
        <v>Error?</v>
      </c>
    </row>
    <row r="1478" spans="1:4" x14ac:dyDescent="0.2">
      <c r="A1478" s="5">
        <v>1417</v>
      </c>
      <c r="B1478" s="138">
        <f>'Expenditures 15-22'!K235</f>
        <v>5977</v>
      </c>
      <c r="C1478" s="2" t="s">
        <v>593</v>
      </c>
      <c r="D1478" s="2" t="str">
        <f t="shared" si="22"/>
        <v>Error?</v>
      </c>
    </row>
    <row r="1479" spans="1:4" x14ac:dyDescent="0.2">
      <c r="A1479" s="5">
        <v>1418</v>
      </c>
      <c r="B1479" s="138">
        <f>'Expenditures 15-22'!K236</f>
        <v>9281</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171176</v>
      </c>
      <c r="C1481" s="2" t="s">
        <v>593</v>
      </c>
      <c r="D1481" s="2" t="str">
        <f t="shared" si="22"/>
        <v>Error?</v>
      </c>
    </row>
    <row r="1482" spans="1:4" x14ac:dyDescent="0.2">
      <c r="A1482" s="5">
        <v>1421</v>
      </c>
      <c r="B1482" s="138">
        <f>'Expenditures 15-22'!K240</f>
        <v>23937</v>
      </c>
      <c r="C1482" s="2" t="s">
        <v>593</v>
      </c>
      <c r="D1482" s="2" t="str">
        <f t="shared" si="22"/>
        <v>Error?</v>
      </c>
    </row>
    <row r="1483" spans="1:4" x14ac:dyDescent="0.2">
      <c r="A1483" s="5">
        <v>1422</v>
      </c>
      <c r="B1483" s="138">
        <f>'Expenditures 15-22'!K241</f>
        <v>110578</v>
      </c>
      <c r="C1483" s="2" t="s">
        <v>593</v>
      </c>
      <c r="D1483" s="2" t="str">
        <f t="shared" si="22"/>
        <v>Error?</v>
      </c>
    </row>
    <row r="1484" spans="1:4" x14ac:dyDescent="0.2">
      <c r="A1484" s="5">
        <v>1423</v>
      </c>
      <c r="B1484" s="138">
        <f>'Expenditures 15-22'!K242</f>
        <v>704</v>
      </c>
      <c r="C1484" s="2" t="s">
        <v>593</v>
      </c>
      <c r="D1484" s="2" t="str">
        <f t="shared" si="22"/>
        <v>Error?</v>
      </c>
    </row>
    <row r="1485" spans="1:4" x14ac:dyDescent="0.2">
      <c r="A1485" s="5">
        <v>1424</v>
      </c>
      <c r="B1485" s="138">
        <f>'Expenditures 15-22'!K243</f>
        <v>135219</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14593</v>
      </c>
      <c r="C1487" s="2" t="s">
        <v>593</v>
      </c>
      <c r="D1487" s="2" t="str">
        <f t="shared" si="22"/>
        <v>Error?</v>
      </c>
    </row>
    <row r="1488" spans="1:4" x14ac:dyDescent="0.2">
      <c r="A1488" s="5">
        <v>1427</v>
      </c>
      <c r="B1488" s="138">
        <f>'Expenditures 15-22'!K257</f>
        <v>28515</v>
      </c>
      <c r="C1488" s="2" t="s">
        <v>593</v>
      </c>
      <c r="D1488" s="2" t="str">
        <f t="shared" si="22"/>
        <v>Error?</v>
      </c>
    </row>
    <row r="1489" spans="1:4" x14ac:dyDescent="0.2">
      <c r="A1489" s="5">
        <v>1428</v>
      </c>
      <c r="B1489" s="138">
        <f>'Expenditures 15-22'!K259</f>
        <v>89305</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89305</v>
      </c>
      <c r="C1491" s="2" t="s">
        <v>593</v>
      </c>
      <c r="D1491" s="2" t="str">
        <f t="shared" si="22"/>
        <v>Error?</v>
      </c>
    </row>
    <row r="1492" spans="1:4" x14ac:dyDescent="0.2">
      <c r="A1492" s="5">
        <v>1431</v>
      </c>
      <c r="B1492" s="138">
        <f>'Expenditures 15-22'!K263</f>
        <v>2236</v>
      </c>
      <c r="C1492" s="2" t="s">
        <v>593</v>
      </c>
      <c r="D1492" s="2" t="str">
        <f t="shared" si="22"/>
        <v>Error?</v>
      </c>
    </row>
    <row r="1493" spans="1:4" x14ac:dyDescent="0.2">
      <c r="A1493" s="5">
        <v>1432</v>
      </c>
      <c r="B1493" s="138">
        <f>'Expenditures 15-22'!K264</f>
        <v>55130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114344</v>
      </c>
      <c r="C1495" s="2" t="s">
        <v>593</v>
      </c>
      <c r="D1495" s="2" t="str">
        <f t="shared" si="22"/>
        <v>Error?</v>
      </c>
    </row>
    <row r="1496" spans="1:4" x14ac:dyDescent="0.2">
      <c r="A1496" s="5">
        <v>1435</v>
      </c>
      <c r="B1496" s="138">
        <f>'Expenditures 15-22'!K267</f>
        <v>309981</v>
      </c>
      <c r="C1496" s="2" t="s">
        <v>593</v>
      </c>
      <c r="D1496" s="2" t="str">
        <f t="shared" si="22"/>
        <v>Error?</v>
      </c>
    </row>
    <row r="1497" spans="1:4" x14ac:dyDescent="0.2">
      <c r="A1497" s="5">
        <v>1436</v>
      </c>
      <c r="B1497" s="138">
        <f>'Expenditures 15-22'!K268</f>
        <v>52872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534563</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210</v>
      </c>
      <c r="C1502" s="2" t="s">
        <v>593</v>
      </c>
      <c r="D1502" s="2" t="str">
        <f t="shared" si="22"/>
        <v>Error?</v>
      </c>
    </row>
    <row r="1503" spans="1:4" x14ac:dyDescent="0.2">
      <c r="A1503" s="5">
        <v>1442</v>
      </c>
      <c r="B1503" s="138">
        <f>'Expenditures 15-22'!K274</f>
        <v>847</v>
      </c>
      <c r="C1503" s="2" t="s">
        <v>593</v>
      </c>
      <c r="D1503" s="2" t="str">
        <f t="shared" si="22"/>
        <v>Error?</v>
      </c>
    </row>
    <row r="1504" spans="1:4" x14ac:dyDescent="0.2">
      <c r="A1504" s="5">
        <v>1443</v>
      </c>
      <c r="B1504" s="138">
        <f>'Expenditures 15-22'!K275</f>
        <v>9668</v>
      </c>
      <c r="C1504" s="2" t="s">
        <v>593</v>
      </c>
      <c r="D1504" s="2" t="str">
        <f t="shared" si="22"/>
        <v>Error?</v>
      </c>
    </row>
    <row r="1505" spans="1:4" x14ac:dyDescent="0.2">
      <c r="A1505" s="10">
        <v>1444</v>
      </c>
      <c r="D1505" s="2" t="str">
        <f t="shared" si="22"/>
        <v>OK</v>
      </c>
    </row>
    <row r="1506" spans="1:4" x14ac:dyDescent="0.2">
      <c r="A1506" s="5">
        <v>1445</v>
      </c>
      <c r="B1506" s="138">
        <f>'Expenditures 15-22'!K276</f>
        <v>4297</v>
      </c>
      <c r="C1506" s="2" t="s">
        <v>593</v>
      </c>
      <c r="D1506" s="2" t="str">
        <f t="shared" si="22"/>
        <v>Error?</v>
      </c>
    </row>
    <row r="1507" spans="1:4" x14ac:dyDescent="0.2">
      <c r="A1507" s="10">
        <v>1446</v>
      </c>
      <c r="D1507" s="2" t="str">
        <f t="shared" si="22"/>
        <v>OK</v>
      </c>
    </row>
    <row r="1508" spans="1:4" x14ac:dyDescent="0.2">
      <c r="A1508" s="5">
        <v>1447</v>
      </c>
      <c r="B1508" s="138">
        <f>'Expenditures 15-22'!K277</f>
        <v>15022</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973800</v>
      </c>
      <c r="C1510" s="2" t="s">
        <v>593</v>
      </c>
      <c r="D1510" s="2" t="str">
        <f t="shared" si="22"/>
        <v>Error?</v>
      </c>
    </row>
    <row r="1511" spans="1:4" x14ac:dyDescent="0.2">
      <c r="A1511" s="5">
        <v>1450</v>
      </c>
      <c r="B1511" s="138">
        <f>'Expenditures 15-22'!K280</f>
        <v>820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1583980</v>
      </c>
      <c r="C1517" s="2" t="s">
        <v>593</v>
      </c>
      <c r="D1517" s="2" t="str">
        <f t="shared" si="22"/>
        <v>Error?</v>
      </c>
    </row>
    <row r="1518" spans="1:4" x14ac:dyDescent="0.2">
      <c r="A1518" s="5">
        <v>1457</v>
      </c>
      <c r="B1518" s="138">
        <f>'Expenditures 15-22'!K296</f>
        <v>951559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-2029368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1752776</v>
      </c>
      <c r="C1630" s="2" t="s">
        <v>593</v>
      </c>
      <c r="D1630" s="2" t="str">
        <f t="shared" si="24"/>
        <v>Error?</v>
      </c>
    </row>
    <row r="1631" spans="1:4" x14ac:dyDescent="0.2">
      <c r="A1631" s="5">
        <v>1570</v>
      </c>
      <c r="B1631" s="138">
        <f>'Acct Summary 7-8'!D79</f>
        <v>2095402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2883021</v>
      </c>
      <c r="C1644" s="2" t="s">
        <v>593</v>
      </c>
      <c r="D1644" s="2" t="str">
        <f t="shared" si="24"/>
        <v>Error?</v>
      </c>
    </row>
    <row r="1645" spans="1:4" x14ac:dyDescent="0.2">
      <c r="A1645" s="5">
        <v>1584</v>
      </c>
      <c r="B1645" s="138">
        <f>'Acct Summary 7-8'!E79</f>
        <v>957994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920118</v>
      </c>
      <c r="C1658" s="2" t="s">
        <v>593</v>
      </c>
      <c r="D1658" s="2" t="str">
        <f t="shared" si="24"/>
        <v>Error?</v>
      </c>
    </row>
    <row r="1659" spans="1:4" x14ac:dyDescent="0.2">
      <c r="A1659" s="5">
        <v>1598</v>
      </c>
      <c r="B1659" s="138">
        <f>'Acct Summary 7-8'!F79</f>
        <v>5443073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2383881</v>
      </c>
      <c r="C1672" s="2" t="s">
        <v>593</v>
      </c>
      <c r="D1672" s="2" t="str">
        <f t="shared" si="25"/>
        <v>Error?</v>
      </c>
    </row>
    <row r="1673" spans="1:4" x14ac:dyDescent="0.2">
      <c r="A1673" s="5">
        <v>1612</v>
      </c>
      <c r="B1673" s="138">
        <f>'Acct Summary 7-8'!G79</f>
        <v>1204321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2155880</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30097046</v>
      </c>
      <c r="C1744" s="2" t="s">
        <v>593</v>
      </c>
      <c r="D1744" s="2" t="str">
        <f t="shared" si="26"/>
        <v>Error?</v>
      </c>
    </row>
    <row r="1745" spans="1:5" x14ac:dyDescent="0.2">
      <c r="A1745" s="5">
        <v>1684</v>
      </c>
      <c r="B1745" s="138">
        <f>'Tax Sched 23'!B5</f>
        <v>5581477</v>
      </c>
      <c r="C1745" s="2" t="s">
        <v>593</v>
      </c>
      <c r="D1745" s="2" t="str">
        <f t="shared" si="26"/>
        <v>Error?</v>
      </c>
    </row>
    <row r="1746" spans="1:5" x14ac:dyDescent="0.2">
      <c r="A1746" s="5">
        <v>1685</v>
      </c>
      <c r="B1746" s="138">
        <f>'Tax Sched 23'!B6</f>
        <v>10940193</v>
      </c>
      <c r="C1746" s="2" t="s">
        <v>593</v>
      </c>
      <c r="D1746" s="2" t="str">
        <f t="shared" si="26"/>
        <v>Error?</v>
      </c>
    </row>
    <row r="1747" spans="1:5" x14ac:dyDescent="0.2">
      <c r="A1747" s="5">
        <v>1686</v>
      </c>
      <c r="B1747" s="138">
        <f>'Tax Sched 23'!B7</f>
        <v>1495078</v>
      </c>
      <c r="C1747" s="2" t="s">
        <v>593</v>
      </c>
      <c r="D1747" s="2" t="str">
        <f t="shared" si="26"/>
        <v>Error?</v>
      </c>
    </row>
    <row r="1748" spans="1:5" x14ac:dyDescent="0.2">
      <c r="A1748" s="5">
        <v>1687</v>
      </c>
      <c r="B1748" s="138">
        <f>'Tax Sched 23'!B8</f>
        <v>747132</v>
      </c>
      <c r="C1748" s="2" t="s">
        <v>593</v>
      </c>
      <c r="D1748" s="2" t="str">
        <f t="shared" si="26"/>
        <v>Error?</v>
      </c>
    </row>
    <row r="1749" spans="1:5" x14ac:dyDescent="0.2">
      <c r="A1749" s="5">
        <v>1688</v>
      </c>
      <c r="B1749" s="138">
        <f>'Tax Sched 23'!B10</f>
        <v>99343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4299346</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54812458</v>
      </c>
      <c r="C1759" s="2" t="s">
        <v>593</v>
      </c>
      <c r="D1759" s="2" t="str">
        <f t="shared" si="26"/>
        <v>Error?</v>
      </c>
    </row>
    <row r="1760" spans="1:5" x14ac:dyDescent="0.2">
      <c r="A1760" s="5">
        <v>1699</v>
      </c>
      <c r="B1760" s="138">
        <f>'Tax Sched 23'!D4</f>
        <v>13682051.690000001</v>
      </c>
      <c r="C1760" s="2" t="s">
        <v>593</v>
      </c>
      <c r="D1760" s="2" t="str">
        <f t="shared" si="26"/>
        <v>Error?</v>
      </c>
    </row>
    <row r="1761" spans="1:5" x14ac:dyDescent="0.2">
      <c r="A1761" s="5">
        <v>1700</v>
      </c>
      <c r="B1761" s="138">
        <f>'Tax Sched 23'!D5</f>
        <v>2811374.7600000002</v>
      </c>
      <c r="C1761" s="2" t="s">
        <v>593</v>
      </c>
      <c r="D1761" s="2" t="str">
        <f t="shared" si="26"/>
        <v>Error?</v>
      </c>
    </row>
    <row r="1762" spans="1:5" s="8" customFormat="1" x14ac:dyDescent="0.2">
      <c r="A1762" s="5">
        <v>1701</v>
      </c>
      <c r="B1762" s="138">
        <f>'Tax Sched 23'!D6</f>
        <v>5146583.5299999993</v>
      </c>
      <c r="C1762" s="2" t="s">
        <v>593</v>
      </c>
      <c r="D1762" s="2" t="str">
        <f t="shared" si="26"/>
        <v>Error?</v>
      </c>
      <c r="E1762" s="9"/>
    </row>
    <row r="1763" spans="1:5" x14ac:dyDescent="0.2">
      <c r="A1763" s="5">
        <v>1702</v>
      </c>
      <c r="B1763" s="138">
        <f>'Tax Sched 23'!D7</f>
        <v>753186.26</v>
      </c>
      <c r="C1763" s="2" t="s">
        <v>593</v>
      </c>
      <c r="D1763" s="2" t="str">
        <f t="shared" si="26"/>
        <v>Error?</v>
      </c>
    </row>
    <row r="1764" spans="1:5" x14ac:dyDescent="0.2">
      <c r="A1764" s="5">
        <v>1703</v>
      </c>
      <c r="B1764" s="138">
        <f>'Tax Sched 23'!D8</f>
        <v>590839.07000000007</v>
      </c>
      <c r="C1764" s="2" t="s">
        <v>593</v>
      </c>
      <c r="D1764" s="2" t="str">
        <f t="shared" si="26"/>
        <v>Error?</v>
      </c>
    </row>
    <row r="1765" spans="1:5" x14ac:dyDescent="0.2">
      <c r="A1765" s="5">
        <v>1704</v>
      </c>
      <c r="B1765" s="138">
        <f>'Tax Sched 23'!D10</f>
        <v>49776.950000000004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2172403.14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26463660.780000001</v>
      </c>
      <c r="C1775" s="2" t="s">
        <v>593</v>
      </c>
      <c r="D1775" s="2" t="str">
        <f t="shared" si="26"/>
        <v>Error?</v>
      </c>
    </row>
    <row r="1776" spans="1:5" x14ac:dyDescent="0.2">
      <c r="A1776" s="5">
        <v>1715</v>
      </c>
      <c r="B1776" s="138">
        <f>'Tax Sched 23'!C4</f>
        <v>16414994.309999999</v>
      </c>
      <c r="D1776" s="2" t="str">
        <f t="shared" si="26"/>
        <v>Error?</v>
      </c>
    </row>
    <row r="1777" spans="1:4" x14ac:dyDescent="0.2">
      <c r="A1777" s="5">
        <v>1716</v>
      </c>
      <c r="B1777" s="138">
        <f>'Tax Sched 23'!C5</f>
        <v>2770102.2399999998</v>
      </c>
      <c r="D1777" s="2" t="str">
        <f t="shared" si="26"/>
        <v>Error?</v>
      </c>
    </row>
    <row r="1778" spans="1:4" x14ac:dyDescent="0.2">
      <c r="A1778" s="5">
        <v>1717</v>
      </c>
      <c r="B1778" s="138">
        <f>'Tax Sched 23'!C6</f>
        <v>5793609.4700000007</v>
      </c>
      <c r="D1778" s="2" t="str">
        <f t="shared" si="26"/>
        <v>Error?</v>
      </c>
    </row>
    <row r="1779" spans="1:4" x14ac:dyDescent="0.2">
      <c r="A1779" s="5">
        <v>1718</v>
      </c>
      <c r="B1779" s="138">
        <f>'Tax Sched 23'!C7</f>
        <v>741891.74</v>
      </c>
      <c r="D1779" s="2" t="str">
        <f t="shared" si="26"/>
        <v>Error?</v>
      </c>
    </row>
    <row r="1780" spans="1:4" x14ac:dyDescent="0.2">
      <c r="A1780" s="5">
        <v>1719</v>
      </c>
      <c r="B1780" s="138">
        <f>'Tax Sched 23'!C8</f>
        <v>156292.93</v>
      </c>
      <c r="D1780" s="2" t="str">
        <f t="shared" si="26"/>
        <v>Error?</v>
      </c>
    </row>
    <row r="1781" spans="1:4" x14ac:dyDescent="0.2">
      <c r="A1781" s="5">
        <v>1720</v>
      </c>
      <c r="B1781" s="138">
        <f>'Tax Sched 23'!C10</f>
        <v>49566.049999999996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2126942.86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28348797.219999995</v>
      </c>
      <c r="C1791" s="2" t="s">
        <v>593</v>
      </c>
      <c r="D1791" s="2" t="str">
        <f t="shared" ref="D1791:D1854" si="27">IF(ISBLANK(B1791),"OK",IF(A1791-B1791=0,"OK","Error?"))</f>
        <v>Error?</v>
      </c>
    </row>
    <row r="1792" spans="1:4" x14ac:dyDescent="0.2">
      <c r="A1792" s="5">
        <v>1731</v>
      </c>
      <c r="B1792" s="138">
        <f>'Tax Sched 23'!F4</f>
        <v>16147735.690000001</v>
      </c>
      <c r="C1792" s="2" t="s">
        <v>593</v>
      </c>
      <c r="D1792" s="2" t="str">
        <f t="shared" si="27"/>
        <v>Error?</v>
      </c>
    </row>
    <row r="1793" spans="1:4" x14ac:dyDescent="0.2">
      <c r="A1793" s="5">
        <v>1732</v>
      </c>
      <c r="B1793" s="138">
        <f>'Tax Sched 23'!F5</f>
        <v>2725000.7600000002</v>
      </c>
      <c r="C1793" s="2" t="s">
        <v>593</v>
      </c>
      <c r="D1793" s="2" t="str">
        <f t="shared" si="27"/>
        <v>Error?</v>
      </c>
    </row>
    <row r="1794" spans="1:4" x14ac:dyDescent="0.2">
      <c r="A1794" s="5">
        <v>1733</v>
      </c>
      <c r="B1794" s="138">
        <f>'Tax Sched 23'!F6</f>
        <v>5699281.5299999993</v>
      </c>
      <c r="C1794" s="2" t="s">
        <v>593</v>
      </c>
      <c r="D1794" s="2" t="str">
        <f t="shared" si="27"/>
        <v>Error?</v>
      </c>
    </row>
    <row r="1795" spans="1:4" x14ac:dyDescent="0.2">
      <c r="A1795" s="5">
        <v>1734</v>
      </c>
      <c r="B1795" s="138">
        <f>'Tax Sched 23'!F7</f>
        <v>729812.26</v>
      </c>
      <c r="C1795" s="2" t="s">
        <v>593</v>
      </c>
      <c r="D1795" s="2" t="str">
        <f t="shared" si="27"/>
        <v>Error?</v>
      </c>
    </row>
    <row r="1796" spans="1:4" x14ac:dyDescent="0.2">
      <c r="A1796" s="5">
        <v>1735</v>
      </c>
      <c r="B1796" s="138">
        <f>'Tax Sched 23'!F8</f>
        <v>153748.07</v>
      </c>
      <c r="C1796" s="2" t="s">
        <v>593</v>
      </c>
      <c r="D1796" s="2" t="str">
        <f t="shared" si="27"/>
        <v>Error?</v>
      </c>
    </row>
    <row r="1797" spans="1:4" x14ac:dyDescent="0.2">
      <c r="A1797" s="5">
        <v>1736</v>
      </c>
      <c r="B1797" s="138">
        <f>'Tax Sched 23'!F10</f>
        <v>48758.950000000004</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2092313.1400000001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27887238.780000005</v>
      </c>
      <c r="C1807" s="2" t="s">
        <v>593</v>
      </c>
      <c r="D1807" s="2" t="str">
        <f t="shared" si="27"/>
        <v>Error?</v>
      </c>
    </row>
    <row r="1808" spans="1:4" x14ac:dyDescent="0.2">
      <c r="A1808" s="5">
        <v>1747</v>
      </c>
      <c r="B1808" s="138">
        <f>'Tax Sched 23'!E4</f>
        <v>32562730</v>
      </c>
      <c r="D1808" s="2" t="str">
        <f t="shared" si="27"/>
        <v>Error?</v>
      </c>
    </row>
    <row r="1809" spans="1:4" x14ac:dyDescent="0.2">
      <c r="A1809" s="5">
        <v>1748</v>
      </c>
      <c r="B1809" s="138">
        <f>'Tax Sched 23'!E5</f>
        <v>5495103</v>
      </c>
      <c r="D1809" s="2" t="str">
        <f t="shared" si="27"/>
        <v>Error?</v>
      </c>
    </row>
    <row r="1810" spans="1:4" x14ac:dyDescent="0.2">
      <c r="A1810" s="5">
        <v>1749</v>
      </c>
      <c r="B1810" s="138">
        <f>'Tax Sched 23'!E6</f>
        <v>11492891</v>
      </c>
      <c r="D1810" s="2" t="str">
        <f t="shared" si="27"/>
        <v>Error?</v>
      </c>
    </row>
    <row r="1811" spans="1:4" x14ac:dyDescent="0.2">
      <c r="A1811" s="5">
        <v>1750</v>
      </c>
      <c r="B1811" s="138">
        <f>'Tax Sched 23'!E7</f>
        <v>1471704</v>
      </c>
      <c r="D1811" s="2" t="str">
        <f t="shared" si="27"/>
        <v>Error?</v>
      </c>
    </row>
    <row r="1812" spans="1:4" x14ac:dyDescent="0.2">
      <c r="A1812" s="5">
        <v>1751</v>
      </c>
      <c r="B1812" s="138">
        <f>'Tax Sched 23'!E8</f>
        <v>310041</v>
      </c>
      <c r="D1812" s="2" t="str">
        <f t="shared" si="27"/>
        <v>Error?</v>
      </c>
    </row>
    <row r="1813" spans="1:4" x14ac:dyDescent="0.2">
      <c r="A1813" s="5">
        <v>1752</v>
      </c>
      <c r="B1813" s="138">
        <f>'Tax Sched 23'!E10</f>
        <v>98325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4219256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56236036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108647398</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4299346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4299346</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4299346</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6156988</v>
      </c>
      <c r="D2008" s="2" t="str">
        <f t="shared" si="30"/>
        <v>Error?</v>
      </c>
    </row>
    <row r="2009" spans="1:4" x14ac:dyDescent="0.2">
      <c r="A2009" s="5">
        <v>1948</v>
      </c>
      <c r="B2009" s="138">
        <f>'Cap Outlay Deprec 26'!C8</f>
        <v>132726739</v>
      </c>
      <c r="D2009" s="2" t="str">
        <f t="shared" si="30"/>
        <v>Error?</v>
      </c>
    </row>
    <row r="2010" spans="1:4" x14ac:dyDescent="0.2">
      <c r="A2010" s="5">
        <v>1949</v>
      </c>
      <c r="B2010" s="138">
        <f>'Cap Outlay Deprec 26'!C10</f>
        <v>9730098</v>
      </c>
      <c r="D2010" s="2" t="str">
        <f t="shared" si="30"/>
        <v>Error?</v>
      </c>
    </row>
    <row r="2011" spans="1:4" x14ac:dyDescent="0.2">
      <c r="A2011" s="5">
        <v>1950</v>
      </c>
      <c r="B2011" s="138">
        <f>'Cap Outlay Deprec 26'!C12</f>
        <v>21522903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170136728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72639</v>
      </c>
      <c r="D2015" s="2" t="str">
        <f t="shared" si="30"/>
        <v>Error?</v>
      </c>
    </row>
    <row r="2016" spans="1:4" x14ac:dyDescent="0.2">
      <c r="A2016" s="5">
        <v>1955</v>
      </c>
      <c r="B2016" s="138">
        <f>'Cap Outlay Deprec 26'!D10</f>
        <v>316620</v>
      </c>
      <c r="D2016" s="2" t="str">
        <f t="shared" si="30"/>
        <v>Error?</v>
      </c>
    </row>
    <row r="2017" spans="1:4" x14ac:dyDescent="0.2">
      <c r="A2017" s="5">
        <v>1956</v>
      </c>
      <c r="B2017" s="138">
        <f>'Cap Outlay Deprec 26'!D12</f>
        <v>1155532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1544791</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6156988</v>
      </c>
      <c r="C2026" s="2" t="s">
        <v>593</v>
      </c>
      <c r="D2026" s="2" t="str">
        <f t="shared" si="30"/>
        <v>Error?</v>
      </c>
    </row>
    <row r="2027" spans="1:4" x14ac:dyDescent="0.2">
      <c r="A2027" s="5">
        <v>1966</v>
      </c>
      <c r="B2027" s="138">
        <f>'Cap Outlay Deprec 26'!F8</f>
        <v>132799378</v>
      </c>
      <c r="C2027" s="2" t="s">
        <v>593</v>
      </c>
      <c r="D2027" s="2" t="str">
        <f t="shared" si="30"/>
        <v>Error?</v>
      </c>
    </row>
    <row r="2028" spans="1:4" x14ac:dyDescent="0.2">
      <c r="A2028" s="5">
        <v>1967</v>
      </c>
      <c r="B2028" s="138">
        <f>'Cap Outlay Deprec 26'!F10</f>
        <v>10046718</v>
      </c>
      <c r="C2028" s="2" t="s">
        <v>593</v>
      </c>
      <c r="D2028" s="2" t="str">
        <f t="shared" si="30"/>
        <v>Error?</v>
      </c>
    </row>
    <row r="2029" spans="1:4" x14ac:dyDescent="0.2">
      <c r="A2029" s="5">
        <v>1968</v>
      </c>
      <c r="B2029" s="138">
        <f>'Cap Outlay Deprec 26'!F12</f>
        <v>22678435</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171681519</v>
      </c>
      <c r="C2031" s="2" t="s">
        <v>593</v>
      </c>
      <c r="D2031" s="2" t="str">
        <f t="shared" si="30"/>
        <v>Error?</v>
      </c>
    </row>
    <row r="2032" spans="1:4" x14ac:dyDescent="0.2">
      <c r="A2032" s="10">
        <v>1971</v>
      </c>
      <c r="D2032" s="2" t="str">
        <f t="shared" si="30"/>
        <v>OK</v>
      </c>
    </row>
    <row r="2033" spans="1:4" x14ac:dyDescent="0.2">
      <c r="A2033" s="5">
        <v>1972</v>
      </c>
      <c r="B2033" s="138">
        <f>'Cap Outlay Deprec 26'!H8</f>
        <v>46903512</v>
      </c>
      <c r="D2033" s="2" t="str">
        <f t="shared" si="30"/>
        <v>Error?</v>
      </c>
    </row>
    <row r="2034" spans="1:4" x14ac:dyDescent="0.2">
      <c r="A2034" s="5">
        <v>1973</v>
      </c>
      <c r="B2034" s="138">
        <f>'Cap Outlay Deprec 26'!H10</f>
        <v>7232358</v>
      </c>
      <c r="D2034" s="2" t="str">
        <f t="shared" si="30"/>
        <v>Error?</v>
      </c>
    </row>
    <row r="2035" spans="1:4" x14ac:dyDescent="0.2">
      <c r="A2035" s="5">
        <v>1974</v>
      </c>
      <c r="B2035" s="138">
        <f>'Cap Outlay Deprec 26'!H12</f>
        <v>14373008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68508878</v>
      </c>
      <c r="C2037" s="2" t="s">
        <v>593</v>
      </c>
      <c r="D2037" s="2" t="str">
        <f t="shared" si="30"/>
        <v>Error?</v>
      </c>
    </row>
    <row r="2038" spans="1:4" x14ac:dyDescent="0.2">
      <c r="A2038" s="10">
        <v>1977</v>
      </c>
      <c r="D2038" s="2" t="str">
        <f t="shared" si="30"/>
        <v>OK</v>
      </c>
    </row>
    <row r="2039" spans="1:4" x14ac:dyDescent="0.2">
      <c r="A2039" s="5">
        <v>1978</v>
      </c>
      <c r="B2039" s="138">
        <f>'Cap Outlay Deprec 26'!I8</f>
        <v>3364220</v>
      </c>
      <c r="D2039" s="2" t="str">
        <f t="shared" si="30"/>
        <v>Error?</v>
      </c>
    </row>
    <row r="2040" spans="1:4" x14ac:dyDescent="0.2">
      <c r="A2040" s="5">
        <v>1979</v>
      </c>
      <c r="B2040" s="138">
        <f>'Cap Outlay Deprec 26'!I10</f>
        <v>333741</v>
      </c>
      <c r="D2040" s="2" t="str">
        <f t="shared" si="30"/>
        <v>Error?</v>
      </c>
    </row>
    <row r="2041" spans="1:4" x14ac:dyDescent="0.2">
      <c r="A2041" s="5">
        <v>1980</v>
      </c>
      <c r="B2041" s="138">
        <f>'Cap Outlay Deprec 26'!I12</f>
        <v>2019748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5717709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50267732</v>
      </c>
      <c r="C2051" s="2" t="s">
        <v>593</v>
      </c>
      <c r="D2051" s="2" t="str">
        <f t="shared" si="31"/>
        <v>Error?</v>
      </c>
    </row>
    <row r="2052" spans="1:4" x14ac:dyDescent="0.2">
      <c r="A2052" s="5">
        <v>1991</v>
      </c>
      <c r="B2052" s="138">
        <f>'Cap Outlay Deprec 26'!K10</f>
        <v>7566099</v>
      </c>
      <c r="C2052" s="2" t="s">
        <v>593</v>
      </c>
      <c r="D2052" s="2" t="str">
        <f t="shared" si="31"/>
        <v>Error?</v>
      </c>
    </row>
    <row r="2053" spans="1:4" x14ac:dyDescent="0.2">
      <c r="A2053" s="5">
        <v>1992</v>
      </c>
      <c r="B2053" s="138">
        <f>'Cap Outlay Deprec 26'!K12</f>
        <v>16392756</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74226587</v>
      </c>
      <c r="C2055" s="2" t="s">
        <v>593</v>
      </c>
      <c r="D2055" s="2" t="str">
        <f t="shared" si="31"/>
        <v>Error?</v>
      </c>
    </row>
    <row r="2056" spans="1:4" x14ac:dyDescent="0.2">
      <c r="A2056" s="5">
        <v>1995</v>
      </c>
      <c r="B2056" s="138">
        <f>'Cap Outlay Deprec 26'!L5</f>
        <v>6156988</v>
      </c>
      <c r="C2056" s="2" t="s">
        <v>593</v>
      </c>
      <c r="D2056" s="2" t="str">
        <f t="shared" si="31"/>
        <v>Error?</v>
      </c>
    </row>
    <row r="2057" spans="1:4" x14ac:dyDescent="0.2">
      <c r="A2057" s="5">
        <v>1996</v>
      </c>
      <c r="B2057" s="138">
        <f>'Cap Outlay Deprec 26'!L8</f>
        <v>82531646</v>
      </c>
      <c r="C2057" s="2" t="s">
        <v>593</v>
      </c>
      <c r="D2057" s="2" t="str">
        <f t="shared" si="31"/>
        <v>Error?</v>
      </c>
    </row>
    <row r="2058" spans="1:4" x14ac:dyDescent="0.2">
      <c r="A2058" s="5">
        <v>1997</v>
      </c>
      <c r="B2058" s="138">
        <f>'Cap Outlay Deprec 26'!L10</f>
        <v>2480619</v>
      </c>
      <c r="C2058" s="2" t="s">
        <v>593</v>
      </c>
      <c r="D2058" s="2" t="str">
        <f t="shared" si="31"/>
        <v>Error?</v>
      </c>
    </row>
    <row r="2059" spans="1:4" x14ac:dyDescent="0.2">
      <c r="A2059" s="5">
        <v>1998</v>
      </c>
      <c r="B2059" s="138">
        <f>'Cap Outlay Deprec 26'!L12</f>
        <v>6285679</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97454932</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534963</v>
      </c>
      <c r="C2088" s="2" t="s">
        <v>593</v>
      </c>
      <c r="D2088" s="2" t="str">
        <f t="shared" si="31"/>
        <v>Error?</v>
      </c>
    </row>
    <row r="2089" spans="1:4" x14ac:dyDescent="0.2">
      <c r="A2089" s="5">
        <v>2028</v>
      </c>
      <c r="B2089" s="138">
        <f>'Expenditures 15-22'!K92</f>
        <v>2040114</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2560803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2383881</v>
      </c>
      <c r="D2475" s="2" t="str">
        <f t="shared" si="37"/>
        <v>Error?</v>
      </c>
    </row>
    <row r="2476" spans="1:4" x14ac:dyDescent="0.2">
      <c r="A2476" s="10">
        <v>2415</v>
      </c>
      <c r="D2476" s="2" t="str">
        <f t="shared" si="37"/>
        <v>OK</v>
      </c>
    </row>
    <row r="2477" spans="1:4" x14ac:dyDescent="0.2">
      <c r="A2477" s="5">
        <v>2416</v>
      </c>
      <c r="B2477" s="138">
        <f>'Assets-Liab 5-6'!G38</f>
        <v>2155880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920118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37409310</v>
      </c>
      <c r="C2551" s="2" t="s">
        <v>593</v>
      </c>
      <c r="D2551" s="2" t="str">
        <f t="shared" si="38"/>
        <v>Error?</v>
      </c>
    </row>
    <row r="2552" spans="1:4" x14ac:dyDescent="0.2">
      <c r="A2552" s="10">
        <v>2491</v>
      </c>
      <c r="D2552" s="2" t="str">
        <f t="shared" si="38"/>
        <v>OK</v>
      </c>
    </row>
    <row r="2553" spans="1:4" x14ac:dyDescent="0.2">
      <c r="A2553" s="5">
        <v>2492</v>
      </c>
      <c r="B2553" s="138">
        <f>'Acct Summary 7-8'!C6</f>
        <v>8204060</v>
      </c>
      <c r="C2553" s="2" t="s">
        <v>593</v>
      </c>
      <c r="D2553" s="2" t="str">
        <f t="shared" si="38"/>
        <v>Error?</v>
      </c>
    </row>
    <row r="2554" spans="1:4" x14ac:dyDescent="0.2">
      <c r="A2554" s="5">
        <v>2493</v>
      </c>
      <c r="B2554" s="138">
        <f>'Acct Summary 7-8'!C7</f>
        <v>1371880</v>
      </c>
      <c r="C2554" s="2" t="s">
        <v>593</v>
      </c>
      <c r="D2554" s="2" t="str">
        <f t="shared" si="38"/>
        <v>Error?</v>
      </c>
    </row>
    <row r="2555" spans="1:4" x14ac:dyDescent="0.2">
      <c r="A2555" s="5">
        <v>2494</v>
      </c>
      <c r="B2555" s="138">
        <f>'Acct Summary 7-8'!C8</f>
        <v>46985250</v>
      </c>
      <c r="C2555" s="2" t="s">
        <v>593</v>
      </c>
      <c r="D2555" s="2" t="str">
        <f t="shared" si="38"/>
        <v>Error?</v>
      </c>
    </row>
    <row r="2556" spans="1:4" x14ac:dyDescent="0.2">
      <c r="A2556" s="5">
        <v>2495</v>
      </c>
      <c r="B2556" s="138">
        <f>'Acct Summary 7-8'!C12</f>
        <v>29688124</v>
      </c>
      <c r="C2556" s="2" t="s">
        <v>593</v>
      </c>
      <c r="D2556" s="2" t="str">
        <f t="shared" si="38"/>
        <v>Error?</v>
      </c>
    </row>
    <row r="2557" spans="1:4" x14ac:dyDescent="0.2">
      <c r="A2557" s="5">
        <v>2496</v>
      </c>
      <c r="B2557" s="138">
        <f>'Acct Summary 7-8'!C13</f>
        <v>13915236</v>
      </c>
      <c r="C2557" s="2" t="s">
        <v>593</v>
      </c>
      <c r="D2557" s="2" t="str">
        <f t="shared" si="38"/>
        <v>Error?</v>
      </c>
    </row>
    <row r="2558" spans="1:4" x14ac:dyDescent="0.2">
      <c r="A2558" s="5">
        <v>2497</v>
      </c>
      <c r="B2558" s="138">
        <f>'Acct Summary 7-8'!C14</f>
        <v>19220</v>
      </c>
      <c r="C2558" s="2" t="s">
        <v>593</v>
      </c>
      <c r="D2558" s="2" t="str">
        <f t="shared" si="38"/>
        <v>Error?</v>
      </c>
    </row>
    <row r="2559" spans="1:4" x14ac:dyDescent="0.2">
      <c r="A2559" s="5">
        <v>2498</v>
      </c>
      <c r="B2559" s="138">
        <f>'Acct Summary 7-8'!C15</f>
        <v>2580526</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46203106</v>
      </c>
      <c r="C2561" s="2" t="s">
        <v>593</v>
      </c>
      <c r="D2561" s="2" t="str">
        <f t="shared" si="39"/>
        <v>Error?</v>
      </c>
    </row>
    <row r="2562" spans="1:4" x14ac:dyDescent="0.2">
      <c r="A2562" s="5">
        <v>2501</v>
      </c>
      <c r="B2562" s="138">
        <f>'Acct Summary 7-8'!C20</f>
        <v>782144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5988628</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5988628</v>
      </c>
      <c r="C2568" s="2" t="s">
        <v>593</v>
      </c>
      <c r="D2568" s="2" t="str">
        <f t="shared" si="39"/>
        <v>Error?</v>
      </c>
    </row>
    <row r="2569" spans="1:4" x14ac:dyDescent="0.2">
      <c r="A2569" s="5">
        <v>2508</v>
      </c>
      <c r="B2569" s="138">
        <f>'Acct Summary 7-8'!D13</f>
        <v>5025999</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5025999</v>
      </c>
      <c r="C2573" s="2" t="s">
        <v>593</v>
      </c>
      <c r="D2573" s="2" t="str">
        <f t="shared" si="39"/>
        <v>Error?</v>
      </c>
    </row>
    <row r="2574" spans="1:4" x14ac:dyDescent="0.2">
      <c r="A2574" s="5">
        <v>2513</v>
      </c>
      <c r="B2574" s="138">
        <f>'Acct Summary 7-8'!D20</f>
        <v>962629</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1573923</v>
      </c>
      <c r="C2591" s="2" t="s">
        <v>593</v>
      </c>
      <c r="D2591" s="2" t="str">
        <f t="shared" si="39"/>
        <v>Error?</v>
      </c>
    </row>
    <row r="2592" spans="1:4" x14ac:dyDescent="0.2">
      <c r="A2592" s="10">
        <v>2531</v>
      </c>
      <c r="D2592" s="2" t="str">
        <f t="shared" si="39"/>
        <v>OK</v>
      </c>
    </row>
    <row r="2593" spans="1:4" x14ac:dyDescent="0.2">
      <c r="A2593" s="5">
        <v>2532</v>
      </c>
      <c r="B2593" s="138">
        <f>'Acct Summary 7-8'!F6</f>
        <v>3260084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4834007</v>
      </c>
      <c r="C2595" s="2" t="s">
        <v>593</v>
      </c>
      <c r="D2595" s="2" t="str">
        <f t="shared" si="39"/>
        <v>Error?</v>
      </c>
    </row>
    <row r="2596" spans="1:4" x14ac:dyDescent="0.2">
      <c r="A2596" s="5">
        <v>2535</v>
      </c>
      <c r="B2596" s="138">
        <f>'Acct Summary 7-8'!F13</f>
        <v>4893199</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4893199</v>
      </c>
      <c r="C2600" s="2" t="s">
        <v>593</v>
      </c>
      <c r="D2600" s="2" t="str">
        <f t="shared" si="39"/>
        <v>Error?</v>
      </c>
    </row>
    <row r="2601" spans="1:4" x14ac:dyDescent="0.2">
      <c r="A2601" s="5">
        <v>2540</v>
      </c>
      <c r="B2601" s="138">
        <f>'Acct Summary 7-8'!F20</f>
        <v>-59192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2535539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2535539</v>
      </c>
      <c r="C2606" s="2" t="s">
        <v>593</v>
      </c>
      <c r="D2606" s="2" t="str">
        <f t="shared" si="39"/>
        <v>Error?</v>
      </c>
    </row>
    <row r="2607" spans="1:4" x14ac:dyDescent="0.2">
      <c r="A2607" s="5">
        <v>2546</v>
      </c>
      <c r="B2607" s="138">
        <f>'Acct Summary 7-8'!G12</f>
        <v>609360</v>
      </c>
      <c r="C2607" s="2" t="s">
        <v>593</v>
      </c>
      <c r="D2607" s="2" t="str">
        <f t="shared" si="39"/>
        <v>Error?</v>
      </c>
    </row>
    <row r="2608" spans="1:4" x14ac:dyDescent="0.2">
      <c r="A2608" s="5">
        <v>2547</v>
      </c>
      <c r="B2608" s="138">
        <f>'Acct Summary 7-8'!G13</f>
        <v>973800</v>
      </c>
      <c r="C2608" s="2" t="s">
        <v>593</v>
      </c>
      <c r="D2608" s="2" t="str">
        <f t="shared" si="39"/>
        <v>Error?</v>
      </c>
    </row>
    <row r="2609" spans="1:4" x14ac:dyDescent="0.2">
      <c r="A2609" s="5">
        <v>2548</v>
      </c>
      <c r="B2609" s="138">
        <f>'Acct Summary 7-8'!G14</f>
        <v>820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1583980</v>
      </c>
      <c r="C2612" s="2" t="s">
        <v>593</v>
      </c>
      <c r="D2612" s="2" t="str">
        <f t="shared" si="39"/>
        <v>Error?</v>
      </c>
    </row>
    <row r="2613" spans="1:4" x14ac:dyDescent="0.2">
      <c r="A2613" s="5">
        <v>2552</v>
      </c>
      <c r="B2613" s="138">
        <f>'Acct Summary 7-8'!G20</f>
        <v>951559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10995426</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11155616</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11368502</v>
      </c>
      <c r="C2634" s="2" t="s">
        <v>593</v>
      </c>
      <c r="D2634" s="2" t="str">
        <f t="shared" si="40"/>
        <v>Error?</v>
      </c>
    </row>
    <row r="2635" spans="1:4" x14ac:dyDescent="0.2">
      <c r="A2635" s="5">
        <v>2574</v>
      </c>
      <c r="B2635" s="138">
        <f>'Acct Summary 7-8'!E17</f>
        <v>11368502</v>
      </c>
      <c r="C2635" s="2" t="s">
        <v>593</v>
      </c>
      <c r="D2635" s="2" t="str">
        <f t="shared" si="40"/>
        <v>Error?</v>
      </c>
    </row>
    <row r="2636" spans="1:4" x14ac:dyDescent="0.2">
      <c r="A2636" s="5">
        <v>2575</v>
      </c>
      <c r="B2636" s="138">
        <f>'Acct Summary 7-8'!E20</f>
        <v>-212886</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270925</v>
      </c>
      <c r="D2718" s="2" t="str">
        <f t="shared" si="41"/>
        <v>Error?</v>
      </c>
    </row>
    <row r="2719" spans="1:4" x14ac:dyDescent="0.2">
      <c r="A2719" s="5">
        <v>2658</v>
      </c>
      <c r="B2719" s="138">
        <f>'Expenditures 15-22'!D51</f>
        <v>54837</v>
      </c>
      <c r="D2719" s="2" t="str">
        <f t="shared" si="41"/>
        <v>Error?</v>
      </c>
    </row>
    <row r="2720" spans="1:4" x14ac:dyDescent="0.2">
      <c r="A2720" s="5">
        <v>2659</v>
      </c>
      <c r="B2720" s="138">
        <f>'Expenditures 15-22'!E51</f>
        <v>2975</v>
      </c>
      <c r="D2720" s="2" t="str">
        <f t="shared" si="41"/>
        <v>Error?</v>
      </c>
    </row>
    <row r="2721" spans="1:4" x14ac:dyDescent="0.2">
      <c r="A2721" s="5">
        <v>2660</v>
      </c>
      <c r="B2721" s="138">
        <f>'Expenditures 15-22'!F51</f>
        <v>524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490</v>
      </c>
      <c r="D2723" s="2" t="str">
        <f t="shared" si="41"/>
        <v>Error?</v>
      </c>
    </row>
    <row r="2724" spans="1:4" x14ac:dyDescent="0.2">
      <c r="A2724" s="5">
        <v>2663</v>
      </c>
      <c r="B2724" s="138">
        <f>'Expenditures 15-22'!K51</f>
        <v>329751</v>
      </c>
      <c r="C2724" s="2" t="s">
        <v>593</v>
      </c>
      <c r="D2724" s="2" t="str">
        <f t="shared" si="41"/>
        <v>Error?</v>
      </c>
    </row>
    <row r="2725" spans="1:4" x14ac:dyDescent="0.2">
      <c r="A2725" s="5">
        <v>2664</v>
      </c>
      <c r="B2725" s="138">
        <f>'Expenditures 15-22'!D247</f>
        <v>13922</v>
      </c>
      <c r="D2725" s="2" t="str">
        <f t="shared" si="41"/>
        <v>Error?</v>
      </c>
    </row>
    <row r="2726" spans="1:4" x14ac:dyDescent="0.2">
      <c r="A2726" s="5">
        <v>2665</v>
      </c>
      <c r="B2726" s="138">
        <f>'Expenditures 15-22'!K247</f>
        <v>13922</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534963</v>
      </c>
      <c r="C2789" s="2" t="s">
        <v>593</v>
      </c>
      <c r="D2789" s="2" t="str">
        <f t="shared" si="42"/>
        <v>Error?</v>
      </c>
    </row>
    <row r="2790" spans="1:4" x14ac:dyDescent="0.2">
      <c r="A2790" s="5">
        <v>2729</v>
      </c>
      <c r="B2790" s="138">
        <f>'Expenditures 15-22'!E102</f>
        <v>540412</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48771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1263608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1312379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476370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98325</v>
      </c>
      <c r="D2908" s="2" t="str">
        <f t="shared" si="44"/>
        <v>Error?</v>
      </c>
    </row>
    <row r="2909" spans="1:4" x14ac:dyDescent="0.2">
      <c r="A2909" s="10">
        <v>2848</v>
      </c>
      <c r="D2909" s="2" t="str">
        <f t="shared" si="44"/>
        <v>OK</v>
      </c>
    </row>
    <row r="2910" spans="1:4" x14ac:dyDescent="0.2">
      <c r="A2910" s="5">
        <v>2849</v>
      </c>
      <c r="B2910" s="138">
        <f>'Assets-Liab 5-6'!I34</f>
        <v>98325</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1214054</v>
      </c>
      <c r="D2912" s="2" t="str">
        <f t="shared" si="44"/>
        <v>Error?</v>
      </c>
    </row>
    <row r="2913" spans="1:4" x14ac:dyDescent="0.2">
      <c r="A2913" s="5">
        <v>2852</v>
      </c>
      <c r="B2913" s="138">
        <f>'Assets-Liab 5-6'!I41</f>
        <v>1312379</v>
      </c>
      <c r="C2913" s="2" t="s">
        <v>593</v>
      </c>
      <c r="D2913" s="2" t="str">
        <f t="shared" si="44"/>
        <v>Error?</v>
      </c>
    </row>
    <row r="2914" spans="1:4" x14ac:dyDescent="0.2">
      <c r="A2914" s="5">
        <v>2853</v>
      </c>
      <c r="B2914" s="138">
        <f>'Assets-Liab 5-6'!L33</f>
        <v>476370</v>
      </c>
      <c r="D2914" s="2" t="str">
        <f t="shared" si="44"/>
        <v>Error?</v>
      </c>
    </row>
    <row r="2915" spans="1:4" x14ac:dyDescent="0.2">
      <c r="A2915" s="10">
        <v>2854</v>
      </c>
      <c r="D2915" s="2" t="str">
        <f t="shared" si="44"/>
        <v>OK</v>
      </c>
    </row>
    <row r="2916" spans="1:4" x14ac:dyDescent="0.2">
      <c r="A2916" s="5">
        <v>2855</v>
      </c>
      <c r="B2916" s="138">
        <f>'Assets-Liab 5-6'!L34</f>
        <v>476370</v>
      </c>
      <c r="C2916" s="2" t="s">
        <v>593</v>
      </c>
      <c r="D2916" s="2" t="str">
        <f t="shared" si="44"/>
        <v>Error?</v>
      </c>
    </row>
    <row r="2917" spans="1:4" x14ac:dyDescent="0.2">
      <c r="A2917" s="5">
        <v>2856</v>
      </c>
      <c r="B2917" s="138">
        <f>'Assets-Liab 5-6'!L41</f>
        <v>476370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534963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534963</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33359</v>
      </c>
      <c r="D3057" s="2" t="str">
        <f t="shared" si="46"/>
        <v>Error?</v>
      </c>
    </row>
    <row r="3058" spans="1:4" x14ac:dyDescent="0.2">
      <c r="A3058" s="5">
        <v>2997</v>
      </c>
      <c r="B3058" s="138">
        <f>'Expenditures 15-22'!F10</f>
        <v>11524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44883</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114594</v>
      </c>
      <c r="C3225" s="2" t="s">
        <v>593</v>
      </c>
      <c r="D3225" s="2" t="str">
        <f t="shared" si="49"/>
        <v>Error?</v>
      </c>
    </row>
    <row r="3226" spans="1:4" x14ac:dyDescent="0.2">
      <c r="A3226" s="5">
        <v>3165</v>
      </c>
      <c r="B3226" s="138">
        <f>'Acct Summary 7-8'!I8</f>
        <v>114594</v>
      </c>
      <c r="C3226" s="2" t="s">
        <v>593</v>
      </c>
      <c r="D3226" s="2" t="str">
        <f t="shared" si="49"/>
        <v>Error?</v>
      </c>
    </row>
    <row r="3227" spans="1:4" x14ac:dyDescent="0.2">
      <c r="A3227" s="5">
        <v>3166</v>
      </c>
      <c r="B3227" s="138">
        <f>'Acct Summary 7-8'!I20</f>
        <v>114594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3000000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3000000</v>
      </c>
      <c r="C3232" s="2" t="s">
        <v>593</v>
      </c>
      <c r="D3232" s="2" t="str">
        <f t="shared" si="49"/>
        <v>Error?</v>
      </c>
    </row>
    <row r="3233" spans="1:4" x14ac:dyDescent="0.2">
      <c r="A3233" s="5">
        <v>3172</v>
      </c>
      <c r="B3233" s="138">
        <f>'Acct Summary 7-8'!C78</f>
        <v>3782144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175010</v>
      </c>
      <c r="C3237" s="2" t="s">
        <v>593</v>
      </c>
      <c r="D3237" s="2" t="str">
        <f t="shared" si="49"/>
        <v>Error?</v>
      </c>
    </row>
    <row r="3238" spans="1:4" x14ac:dyDescent="0.2">
      <c r="A3238" s="5">
        <v>3177</v>
      </c>
      <c r="B3238" s="138">
        <f>'Acct Summary 7-8'!D77</f>
        <v>-175010</v>
      </c>
      <c r="C3238" s="2" t="s">
        <v>593</v>
      </c>
      <c r="D3238" s="2" t="str">
        <f t="shared" si="49"/>
        <v>Error?</v>
      </c>
    </row>
    <row r="3239" spans="1:4" x14ac:dyDescent="0.2">
      <c r="A3239" s="5">
        <v>3178</v>
      </c>
      <c r="B3239" s="138">
        <f>'Acct Summary 7-8'!D78</f>
        <v>787619</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3000000</v>
      </c>
      <c r="C3254" s="2" t="s">
        <v>593</v>
      </c>
      <c r="D3254" s="2" t="str">
        <f t="shared" si="49"/>
        <v>Error?</v>
      </c>
    </row>
    <row r="3255" spans="1:4" x14ac:dyDescent="0.2">
      <c r="A3255" s="5">
        <v>3194</v>
      </c>
      <c r="B3255" s="138">
        <f>'Acct Summary 7-8'!F77</f>
        <v>-3000000</v>
      </c>
      <c r="C3255" s="2" t="s">
        <v>593</v>
      </c>
      <c r="D3255" s="2" t="str">
        <f t="shared" si="49"/>
        <v>Error?</v>
      </c>
    </row>
    <row r="3256" spans="1:4" x14ac:dyDescent="0.2">
      <c r="A3256" s="5">
        <v>3195</v>
      </c>
      <c r="B3256" s="138">
        <f>'Acct Summary 7-8'!F78</f>
        <v>-3059192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951559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175010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175010</v>
      </c>
      <c r="C3277" s="2" t="s">
        <v>593</v>
      </c>
      <c r="D3277" s="2" t="str">
        <f t="shared" si="50"/>
        <v>Error?</v>
      </c>
    </row>
    <row r="3278" spans="1:4" x14ac:dyDescent="0.2">
      <c r="A3278" s="5">
        <v>3217</v>
      </c>
      <c r="B3278" s="138">
        <f>'Acct Summary 7-8'!E78</f>
        <v>-37876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114594</v>
      </c>
      <c r="C3320" s="2" t="s">
        <v>593</v>
      </c>
      <c r="D3320" s="2" t="str">
        <f t="shared" si="50"/>
        <v>Error?</v>
      </c>
    </row>
    <row r="3321" spans="1:4" x14ac:dyDescent="0.2">
      <c r="A3321" s="5">
        <v>3260</v>
      </c>
      <c r="B3321" s="138">
        <f>'Acct Summary 7-8'!I79</f>
        <v>1099460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1214054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2892884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762583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28658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80536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28662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3797107</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296801</v>
      </c>
      <c r="D3387" s="2" t="str">
        <f t="shared" si="51"/>
        <v>Error?</v>
      </c>
    </row>
    <row r="3388" spans="1:4" x14ac:dyDescent="0.2">
      <c r="A3388" s="5">
        <v>3327</v>
      </c>
      <c r="B3388" s="138">
        <f>'Expenditures 15-22'!D217</f>
        <v>237938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296801</v>
      </c>
      <c r="C3390" s="2" t="s">
        <v>593</v>
      </c>
      <c r="D3390" s="2" t="str">
        <f t="shared" si="51"/>
        <v>Error?</v>
      </c>
    </row>
    <row r="3391" spans="1:4" x14ac:dyDescent="0.2">
      <c r="A3391" s="5">
        <v>3330</v>
      </c>
      <c r="B3391" s="138">
        <f>'Expenditures 15-22'!K217</f>
        <v>237938</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4326953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356958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6704</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476370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1552843</v>
      </c>
      <c r="C3446" s="2" t="s">
        <v>593</v>
      </c>
      <c r="D3446" s="2" t="str">
        <f t="shared" si="52"/>
        <v>Error?</v>
      </c>
    </row>
    <row r="3447" spans="1:4" x14ac:dyDescent="0.2">
      <c r="A3447" s="5">
        <v>3386</v>
      </c>
      <c r="B3447" s="138">
        <f>'Tax Sched 23'!D16</f>
        <v>1257445.3799999999</v>
      </c>
      <c r="C3447" s="2" t="s">
        <v>593</v>
      </c>
      <c r="D3447" s="2" t="str">
        <f t="shared" si="52"/>
        <v>Error?</v>
      </c>
    </row>
    <row r="3448" spans="1:4" x14ac:dyDescent="0.2">
      <c r="A3448" s="5">
        <v>3387</v>
      </c>
      <c r="B3448" s="138">
        <f>'Tax Sched 23'!C16</f>
        <v>295397.62</v>
      </c>
      <c r="D3448" s="2" t="str">
        <f t="shared" si="52"/>
        <v>Error?</v>
      </c>
    </row>
    <row r="3449" spans="1:4" x14ac:dyDescent="0.2">
      <c r="A3449" s="5">
        <v>3388</v>
      </c>
      <c r="B3449" s="138">
        <f>'Tax Sched 23'!F16</f>
        <v>290588.38</v>
      </c>
      <c r="C3449" s="2" t="s">
        <v>593</v>
      </c>
      <c r="D3449" s="2" t="str">
        <f t="shared" si="52"/>
        <v>Error?</v>
      </c>
    </row>
    <row r="3450" spans="1:4" x14ac:dyDescent="0.2">
      <c r="A3450" s="5">
        <v>3389</v>
      </c>
      <c r="B3450" s="138">
        <f>'Tax Sched 23'!E16</f>
        <v>585986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74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74</v>
      </c>
      <c r="C3568" s="2" t="s">
        <v>593</v>
      </c>
      <c r="D3568" s="2" t="str">
        <f t="shared" si="54"/>
        <v>Error?</v>
      </c>
    </row>
    <row r="3569" spans="1:4" x14ac:dyDescent="0.2">
      <c r="A3569" s="5">
        <v>3508</v>
      </c>
      <c r="B3569" s="138">
        <f>'Acct Summary 7-8'!K4</f>
        <v>8</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8</v>
      </c>
      <c r="C3571" s="2" t="s">
        <v>593</v>
      </c>
      <c r="D3571" s="2" t="str">
        <f t="shared" si="54"/>
        <v>Error?</v>
      </c>
    </row>
    <row r="3572" spans="1:4" x14ac:dyDescent="0.2">
      <c r="A3572" s="5">
        <v>3511</v>
      </c>
      <c r="B3572" s="138">
        <f>'Acct Summary 7-8'!K13</f>
        <v>3548</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3548</v>
      </c>
      <c r="C3575" s="2" t="s">
        <v>593</v>
      </c>
      <c r="D3575" s="2" t="str">
        <f t="shared" si="54"/>
        <v>Error?</v>
      </c>
    </row>
    <row r="3576" spans="1:4" x14ac:dyDescent="0.2">
      <c r="A3576" s="5">
        <v>3515</v>
      </c>
      <c r="B3576" s="138">
        <f>'Acct Summary 7-8'!K20</f>
        <v>-3540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-3540</v>
      </c>
      <c r="C3588" s="2" t="s">
        <v>593</v>
      </c>
      <c r="D3588" s="2" t="str">
        <f t="shared" si="55"/>
        <v>Error?</v>
      </c>
    </row>
    <row r="3589" spans="1:4" x14ac:dyDescent="0.2">
      <c r="A3589" s="5">
        <v>3528</v>
      </c>
      <c r="B3589" s="138">
        <f>'Acct Summary 7-8'!K79</f>
        <v>3614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74</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3548</v>
      </c>
      <c r="D3632" s="2" t="str">
        <f t="shared" si="55"/>
        <v>Error?</v>
      </c>
    </row>
    <row r="3633" spans="1:4" x14ac:dyDescent="0.2">
      <c r="A3633" s="5">
        <v>3572</v>
      </c>
      <c r="B3633" s="138">
        <f>'Expenditures 15-22'!E350</f>
        <v>3548</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3548</v>
      </c>
      <c r="C3635" s="2" t="s">
        <v>593</v>
      </c>
      <c r="D3635" s="2" t="str">
        <f t="shared" si="55"/>
        <v>Error?</v>
      </c>
    </row>
    <row r="3636" spans="1:4" x14ac:dyDescent="0.2">
      <c r="A3636" s="5">
        <v>3575</v>
      </c>
      <c r="B3636" s="138">
        <f>'Expenditures 15-22'!E367</f>
        <v>3548</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3548</v>
      </c>
      <c r="C3669" s="2" t="s">
        <v>593</v>
      </c>
      <c r="D3669" s="2" t="str">
        <f t="shared" si="56"/>
        <v>Error?</v>
      </c>
    </row>
    <row r="3670" spans="1:4" x14ac:dyDescent="0.2">
      <c r="A3670" s="5">
        <v>3609</v>
      </c>
      <c r="B3670" s="138">
        <f>'Expenditures 15-22'!K350</f>
        <v>3548</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3548</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3548</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-3540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20399692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67384942</v>
      </c>
      <c r="C4122" s="2" t="s">
        <v>593</v>
      </c>
      <c r="D4122" s="2" t="str">
        <f t="shared" si="63"/>
        <v>Error?</v>
      </c>
    </row>
    <row r="4123" spans="1:4" x14ac:dyDescent="0.2">
      <c r="A4123" s="5">
        <v>4062</v>
      </c>
      <c r="B4123" s="138">
        <f>'Acct Summary 7-8'!D10</f>
        <v>5988628</v>
      </c>
      <c r="C4123" s="2" t="s">
        <v>593</v>
      </c>
      <c r="D4123" s="2" t="str">
        <f t="shared" si="63"/>
        <v>Error?</v>
      </c>
    </row>
    <row r="4124" spans="1:4" x14ac:dyDescent="0.2">
      <c r="A4124" s="5">
        <v>4063</v>
      </c>
      <c r="B4124" s="138">
        <f>'Acct Summary 7-8'!E10</f>
        <v>11155616</v>
      </c>
      <c r="C4124" s="2" t="s">
        <v>593</v>
      </c>
      <c r="D4124" s="2" t="str">
        <f t="shared" si="63"/>
        <v>Error?</v>
      </c>
    </row>
    <row r="4125" spans="1:4" x14ac:dyDescent="0.2">
      <c r="A4125" s="5">
        <v>4064</v>
      </c>
      <c r="B4125" s="138">
        <f>'Acct Summary 7-8'!F10</f>
        <v>4834007</v>
      </c>
      <c r="C4125" s="2" t="s">
        <v>593</v>
      </c>
      <c r="D4125" s="2" t="str">
        <f t="shared" si="63"/>
        <v>Error?</v>
      </c>
    </row>
    <row r="4126" spans="1:4" x14ac:dyDescent="0.2">
      <c r="A4126" s="5">
        <v>4065</v>
      </c>
      <c r="B4126" s="138">
        <f>'Acct Summary 7-8'!G10</f>
        <v>2535539</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114594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8</v>
      </c>
      <c r="C4130" s="2" t="s">
        <v>593</v>
      </c>
      <c r="D4130" s="2" t="str">
        <f t="shared" si="63"/>
        <v>Error?</v>
      </c>
    </row>
    <row r="4131" spans="1:4" x14ac:dyDescent="0.2">
      <c r="A4131" s="5">
        <v>4070</v>
      </c>
      <c r="B4131" s="138">
        <f>'Acct Summary 7-8'!C18</f>
        <v>20399692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66602798</v>
      </c>
      <c r="C4136" s="2" t="s">
        <v>593</v>
      </c>
      <c r="D4136" s="2" t="str">
        <f t="shared" si="63"/>
        <v>Error?</v>
      </c>
    </row>
    <row r="4137" spans="1:4" x14ac:dyDescent="0.2">
      <c r="A4137" s="5">
        <v>4076</v>
      </c>
      <c r="B4137" s="138">
        <f>'Acct Summary 7-8'!D19</f>
        <v>5025999</v>
      </c>
      <c r="C4137" s="2" t="s">
        <v>593</v>
      </c>
      <c r="D4137" s="2" t="str">
        <f t="shared" si="63"/>
        <v>Error?</v>
      </c>
    </row>
    <row r="4138" spans="1:4" x14ac:dyDescent="0.2">
      <c r="A4138" s="5">
        <v>4077</v>
      </c>
      <c r="B4138" s="138">
        <f>'Acct Summary 7-8'!E19</f>
        <v>11368502</v>
      </c>
      <c r="C4138" s="2" t="s">
        <v>593</v>
      </c>
      <c r="D4138" s="2" t="str">
        <f t="shared" si="63"/>
        <v>Error?</v>
      </c>
    </row>
    <row r="4139" spans="1:4" x14ac:dyDescent="0.2">
      <c r="A4139" s="5">
        <v>4078</v>
      </c>
      <c r="B4139" s="138">
        <f>'Acct Summary 7-8'!F19</f>
        <v>4893199</v>
      </c>
      <c r="C4139" s="2" t="s">
        <v>593</v>
      </c>
      <c r="D4139" s="2" t="str">
        <f t="shared" si="63"/>
        <v>Error?</v>
      </c>
    </row>
    <row r="4140" spans="1:4" x14ac:dyDescent="0.2">
      <c r="A4140" s="5">
        <v>4079</v>
      </c>
      <c r="B4140" s="138">
        <f>'Acct Summary 7-8'!G19</f>
        <v>1583980</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3548</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102970159</v>
      </c>
      <c r="C4171" s="2" t="s">
        <v>593</v>
      </c>
      <c r="D4171" s="2" t="str">
        <f t="shared" si="64"/>
        <v>Error?</v>
      </c>
    </row>
    <row r="4172" spans="1:4" x14ac:dyDescent="0.2">
      <c r="A4172" s="5">
        <v>4111</v>
      </c>
      <c r="B4172" s="138">
        <f>'Short-Term Long-Term Debt 24'!J49</f>
        <v>102050041</v>
      </c>
      <c r="C4172" s="2" t="s">
        <v>593</v>
      </c>
      <c r="D4172" s="2" t="str">
        <f t="shared" si="64"/>
        <v>Error?</v>
      </c>
    </row>
    <row r="4173" spans="1:4" x14ac:dyDescent="0.2">
      <c r="A4173" s="5">
        <v>4112</v>
      </c>
      <c r="B4173" s="138">
        <f>'Short-Term Long-Term Debt 24'!H49</f>
        <v>8215000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2537761</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4106.5600000000004</v>
      </c>
      <c r="C4265" s="2" t="s">
        <v>593</v>
      </c>
      <c r="D4265" s="2" t="str">
        <f t="shared" si="65"/>
        <v>Error?</v>
      </c>
      <c r="E4265" s="128"/>
    </row>
    <row r="4266" spans="1:5" x14ac:dyDescent="0.2">
      <c r="A4266" s="12">
        <v>4205</v>
      </c>
      <c r="B4266" s="138">
        <f>('FP Info 3'!F10)*100000</f>
        <v>693</v>
      </c>
      <c r="C4266" s="2" t="s">
        <v>593</v>
      </c>
      <c r="D4266" s="2" t="str">
        <f t="shared" si="65"/>
        <v>Error?</v>
      </c>
      <c r="E4266" s="128"/>
    </row>
    <row r="4267" spans="1:5" x14ac:dyDescent="0.2">
      <c r="A4267" s="12">
        <v>4206</v>
      </c>
      <c r="B4267" s="138">
        <f>('FP Info 3'!H10)*100000</f>
        <v>185.6</v>
      </c>
      <c r="C4267" s="2" t="s">
        <v>593</v>
      </c>
      <c r="D4267" s="2" t="str">
        <f t="shared" si="65"/>
        <v>Error?</v>
      </c>
      <c r="E4267" s="128"/>
    </row>
    <row r="4268" spans="1:5" x14ac:dyDescent="0.2">
      <c r="A4268" s="12">
        <v>4207</v>
      </c>
      <c r="B4268" s="138">
        <f>('FP Info 3'!J10)*100000</f>
        <v>4985</v>
      </c>
      <c r="C4268" s="2" t="s">
        <v>593</v>
      </c>
      <c r="D4268" s="2" t="str">
        <f t="shared" si="65"/>
        <v>Error?</v>
      </c>
    </row>
    <row r="4269" spans="1:5" x14ac:dyDescent="0.2">
      <c r="A4269" s="12">
        <v>4208</v>
      </c>
      <c r="B4269" s="138">
        <f>'FP Info 3'!J16</f>
        <v>8233732</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85228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173720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15239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57710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160190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12.4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160190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6189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792944225</v>
      </c>
      <c r="D4995" s="2" t="str">
        <f t="shared" si="77"/>
        <v>Error?</v>
      </c>
    </row>
    <row r="4996" spans="1:4" x14ac:dyDescent="0.2">
      <c r="A4996" s="12">
        <v>4935</v>
      </c>
      <c r="B4996" s="138">
        <f>'FP Info 3'!H31</f>
        <v>109426303.05000001</v>
      </c>
      <c r="D4996" s="2" t="str">
        <f t="shared" si="77"/>
        <v>Error?</v>
      </c>
    </row>
    <row r="4997" spans="1:4" x14ac:dyDescent="0.2">
      <c r="A4997" s="12">
        <v>4936</v>
      </c>
      <c r="B4997" s="138">
        <f>'FP Info 3'!H37</f>
        <v>102970159</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3000000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3000000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30097046</v>
      </c>
      <c r="D5061" s="2" t="str">
        <f t="shared" si="78"/>
        <v>Error?</v>
      </c>
    </row>
    <row r="5062" spans="1:4" x14ac:dyDescent="0.2">
      <c r="A5062" s="10">
        <v>5001</v>
      </c>
      <c r="D5062" s="2" t="str">
        <f t="shared" si="78"/>
        <v>OK</v>
      </c>
    </row>
    <row r="5063" spans="1:4" x14ac:dyDescent="0.2">
      <c r="A5063" s="5">
        <v>5002</v>
      </c>
      <c r="B5063" s="138">
        <f>'Revenues 9-14'!C7</f>
        <v>4299346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34396392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57745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57745</v>
      </c>
      <c r="C5071" s="2" t="s">
        <v>593</v>
      </c>
      <c r="D5071" s="2" t="str">
        <f t="shared" si="78"/>
        <v>Error?</v>
      </c>
    </row>
    <row r="5072" spans="1:4" x14ac:dyDescent="0.2">
      <c r="A5072" s="5">
        <v>5011</v>
      </c>
      <c r="B5072" s="138">
        <f>'Revenues 9-14'!C20</f>
        <v>408929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38175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447104</v>
      </c>
      <c r="C5087" s="2" t="s">
        <v>593</v>
      </c>
      <c r="D5087" s="2" t="str">
        <f t="shared" si="78"/>
        <v>Error?</v>
      </c>
    </row>
    <row r="5088" spans="1:4" x14ac:dyDescent="0.2">
      <c r="A5088" s="5">
        <v>5027</v>
      </c>
      <c r="B5088" s="138">
        <f>'Revenues 9-14'!C65</f>
        <v>176244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176244</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39571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1012516</v>
      </c>
      <c r="C5096" s="2" t="s">
        <v>593</v>
      </c>
      <c r="D5096" s="2" t="str">
        <f t="shared" si="78"/>
        <v>Error?</v>
      </c>
    </row>
    <row r="5097" spans="1:4" x14ac:dyDescent="0.2">
      <c r="A5097" s="5">
        <v>5036</v>
      </c>
      <c r="B5097" s="138">
        <f>'Revenues 9-14'!C77</f>
        <v>22801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8975</v>
      </c>
      <c r="D5101" s="2" t="str">
        <f t="shared" si="78"/>
        <v>Error?</v>
      </c>
    </row>
    <row r="5102" spans="1:4" x14ac:dyDescent="0.2">
      <c r="A5102" s="5">
        <v>5041</v>
      </c>
      <c r="B5102" s="138">
        <f>'Revenues 9-14'!C82</f>
        <v>31776</v>
      </c>
      <c r="C5102" s="2" t="s">
        <v>593</v>
      </c>
      <c r="D5102" s="2" t="str">
        <f t="shared" si="78"/>
        <v>Error?</v>
      </c>
    </row>
    <row r="5103" spans="1:4" x14ac:dyDescent="0.2">
      <c r="A5103" s="5">
        <v>5042</v>
      </c>
      <c r="B5103" s="138">
        <f>'Revenues 9-14'!C84</f>
        <v>760337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760337</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536</v>
      </c>
      <c r="D5114" s="2" t="str">
        <f t="shared" si="78"/>
        <v>Error?</v>
      </c>
    </row>
    <row r="5115" spans="1:4" x14ac:dyDescent="0.2">
      <c r="A5115" s="5">
        <v>5054</v>
      </c>
      <c r="B5115" s="138">
        <f>'Revenues 9-14'!C98</f>
        <v>227860</v>
      </c>
      <c r="D5115" s="2" t="str">
        <f t="shared" si="78"/>
        <v>Error?</v>
      </c>
    </row>
    <row r="5116" spans="1:4" x14ac:dyDescent="0.2">
      <c r="A5116" s="5">
        <v>5055</v>
      </c>
      <c r="B5116" s="138">
        <f>'Revenues 9-14'!C99</f>
        <v>32709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168174</v>
      </c>
      <c r="D5118" s="2" t="str">
        <f t="shared" si="78"/>
        <v>Error?</v>
      </c>
    </row>
    <row r="5119" spans="1:4" x14ac:dyDescent="0.2">
      <c r="A5119" s="5">
        <v>5058</v>
      </c>
      <c r="B5119" s="138">
        <f>'Revenues 9-14'!C107</f>
        <v>53622</v>
      </c>
      <c r="D5119" s="2" t="str">
        <f t="shared" ref="D5119:D5182" si="79">IF(ISBLANK(B5119),"OK",IF(A5119-B5119=0,"OK","Error?"))</f>
        <v>Error?</v>
      </c>
    </row>
    <row r="5120" spans="1:4" x14ac:dyDescent="0.2">
      <c r="A5120" s="5">
        <v>5059</v>
      </c>
      <c r="B5120" s="138">
        <f>'Revenues 9-14'!C108</f>
        <v>527196</v>
      </c>
      <c r="C5120" s="2" t="s">
        <v>593</v>
      </c>
      <c r="D5120" s="2" t="str">
        <f t="shared" si="79"/>
        <v>Error?</v>
      </c>
    </row>
    <row r="5121" spans="1:4" x14ac:dyDescent="0.2">
      <c r="A5121" s="5">
        <v>5060</v>
      </c>
      <c r="B5121" s="138">
        <f>'Revenues 9-14'!C109</f>
        <v>37409310</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6819345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6819345</v>
      </c>
      <c r="C5132" s="2" t="s">
        <v>593</v>
      </c>
      <c r="D5132" s="2" t="str">
        <f t="shared" si="79"/>
        <v>Error?</v>
      </c>
    </row>
    <row r="5133" spans="1:4" x14ac:dyDescent="0.2">
      <c r="A5133" s="5">
        <v>5072</v>
      </c>
      <c r="B5133" s="138">
        <f>'Revenues 9-14'!C124</f>
        <v>673199</v>
      </c>
      <c r="D5133" s="2" t="str">
        <f t="shared" si="79"/>
        <v>Error?</v>
      </c>
    </row>
    <row r="5134" spans="1:4" x14ac:dyDescent="0.2">
      <c r="A5134" s="5">
        <v>5073</v>
      </c>
      <c r="B5134" s="138">
        <f>'Revenues 9-14'!C125</f>
        <v>137770</v>
      </c>
      <c r="D5134" s="2" t="str">
        <f t="shared" si="79"/>
        <v>Error?</v>
      </c>
    </row>
    <row r="5135" spans="1:4" x14ac:dyDescent="0.2">
      <c r="A5135" s="5">
        <v>5074</v>
      </c>
      <c r="B5135" s="138">
        <f>'Revenues 9-14'!C126</f>
        <v>378102</v>
      </c>
      <c r="D5135" s="2" t="str">
        <f t="shared" si="79"/>
        <v>Error?</v>
      </c>
    </row>
    <row r="5136" spans="1:4" x14ac:dyDescent="0.2">
      <c r="A5136" s="10">
        <v>5075</v>
      </c>
      <c r="D5136" s="2" t="str">
        <f t="shared" si="79"/>
        <v>OK</v>
      </c>
    </row>
    <row r="5137" spans="1:4" x14ac:dyDescent="0.2">
      <c r="A5137" s="5">
        <v>5076</v>
      </c>
      <c r="B5137" s="138">
        <f>'Revenues 9-14'!C127</f>
        <v>43093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3339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1235503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86249</v>
      </c>
      <c r="C5161" s="2" t="s">
        <v>593</v>
      </c>
      <c r="D5161" s="2" t="str">
        <f t="shared" si="79"/>
        <v>Error?</v>
      </c>
    </row>
    <row r="5162" spans="1:4" x14ac:dyDescent="0.2">
      <c r="A5162" s="10">
        <v>5101</v>
      </c>
      <c r="D5162" s="2" t="str">
        <f t="shared" si="79"/>
        <v>OK</v>
      </c>
    </row>
    <row r="5163" spans="1:4" x14ac:dyDescent="0.2">
      <c r="A5163" s="5">
        <v>5102</v>
      </c>
      <c r="B5163" s="138">
        <f>'Revenues 9-14'!C142</f>
        <v>16544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16544</v>
      </c>
      <c r="C5165" s="2" t="s">
        <v>593</v>
      </c>
      <c r="D5165" s="2" t="str">
        <f t="shared" si="79"/>
        <v>Error?</v>
      </c>
    </row>
    <row r="5166" spans="1:4" x14ac:dyDescent="0.2">
      <c r="A5166" s="10">
        <v>5105</v>
      </c>
      <c r="D5166" s="2" t="str">
        <f t="shared" si="79"/>
        <v>OK</v>
      </c>
    </row>
    <row r="5167" spans="1:4" x14ac:dyDescent="0.2">
      <c r="A5167" s="5">
        <v>5106</v>
      </c>
      <c r="B5167" s="138">
        <f>'Revenues 9-14'!C145</f>
        <v>1373</v>
      </c>
      <c r="D5167" s="2" t="str">
        <f t="shared" si="79"/>
        <v>Error?</v>
      </c>
    </row>
    <row r="5168" spans="1:4" x14ac:dyDescent="0.2">
      <c r="A5168" s="5">
        <v>5107</v>
      </c>
      <c r="B5168" s="138">
        <f>'Revenues 9-14'!C147</f>
        <v>38857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1384715</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8204060</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44587</v>
      </c>
      <c r="D5239" s="2" t="str">
        <f t="shared" si="80"/>
        <v>Error?</v>
      </c>
    </row>
    <row r="5240" spans="1:4" x14ac:dyDescent="0.2">
      <c r="A5240" s="5">
        <v>5179</v>
      </c>
      <c r="B5240" s="138">
        <f>'Revenues 9-14'!C195</f>
        <v>33035</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77622</v>
      </c>
      <c r="C5246" s="2" t="s">
        <v>593</v>
      </c>
      <c r="D5246" s="2" t="str">
        <f t="shared" si="80"/>
        <v>Error?</v>
      </c>
    </row>
    <row r="5247" spans="1:4" x14ac:dyDescent="0.2">
      <c r="A5247" s="5">
        <v>5186</v>
      </c>
      <c r="B5247" s="138">
        <f>'Revenues 9-14'!C203</f>
        <v>187760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187760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7307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713447</v>
      </c>
      <c r="D5278" s="2" t="str">
        <f t="shared" si="81"/>
        <v>Error?</v>
      </c>
    </row>
    <row r="5279" spans="1:4" x14ac:dyDescent="0.2">
      <c r="A5279" s="5">
        <v>5218</v>
      </c>
      <c r="B5279" s="138">
        <f>'Revenues 9-14'!C221</f>
        <v>36560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757314</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17253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17253</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1371880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1371880</v>
      </c>
      <c r="C5326" s="2" t="s">
        <v>593</v>
      </c>
      <c r="D5326" s="2" t="str">
        <f t="shared" si="82"/>
        <v>Error?</v>
      </c>
    </row>
    <row r="5327" spans="1:4" x14ac:dyDescent="0.2">
      <c r="A5327" s="5">
        <v>5266</v>
      </c>
      <c r="B5327" s="138">
        <f>'Revenues 9-14'!C275</f>
        <v>46985250</v>
      </c>
      <c r="C5327" s="2" t="s">
        <v>593</v>
      </c>
      <c r="D5327" s="2" t="str">
        <f t="shared" si="82"/>
        <v>Error?</v>
      </c>
    </row>
    <row r="5328" spans="1:4" x14ac:dyDescent="0.2">
      <c r="A5328" s="5">
        <v>5267</v>
      </c>
      <c r="B5328" s="138">
        <f>'Revenues 9-14'!D5</f>
        <v>5581477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5581477</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55037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55037</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99513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20763</v>
      </c>
      <c r="D5351" s="2" t="str">
        <f t="shared" si="82"/>
        <v>Error?</v>
      </c>
    </row>
    <row r="5352" spans="1:4" x14ac:dyDescent="0.2">
      <c r="A5352" s="5">
        <v>5291</v>
      </c>
      <c r="B5352" s="138">
        <f>'Revenues 9-14'!D99</f>
        <v>5424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109138</v>
      </c>
      <c r="D5354" s="2" t="str">
        <f t="shared" si="82"/>
        <v>Error?</v>
      </c>
    </row>
    <row r="5355" spans="1:4" x14ac:dyDescent="0.2">
      <c r="A5355" s="5">
        <v>5294</v>
      </c>
      <c r="B5355" s="138">
        <f>'Revenues 9-14'!D108</f>
        <v>352114</v>
      </c>
      <c r="C5355" s="2" t="s">
        <v>593</v>
      </c>
      <c r="D5355" s="2" t="str">
        <f t="shared" si="82"/>
        <v>Error?</v>
      </c>
    </row>
    <row r="5356" spans="1:4" x14ac:dyDescent="0.2">
      <c r="A5356" s="5">
        <v>5295</v>
      </c>
      <c r="B5356" s="138">
        <f>'Revenues 9-14'!D109</f>
        <v>5988628</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5988628</v>
      </c>
      <c r="C5508" s="2" t="s">
        <v>593</v>
      </c>
      <c r="D5508" s="2" t="str">
        <f t="shared" si="85"/>
        <v>Error?</v>
      </c>
    </row>
    <row r="5509" spans="1:4" x14ac:dyDescent="0.2">
      <c r="A5509" s="5">
        <v>5448</v>
      </c>
      <c r="B5509" s="138">
        <f>'Revenues 9-14'!E5</f>
        <v>10940193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10940193</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55233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55233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10995426</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11155616</v>
      </c>
      <c r="C5552" s="2" t="s">
        <v>593</v>
      </c>
      <c r="D5552" s="2" t="str">
        <f t="shared" si="85"/>
        <v>Error?</v>
      </c>
    </row>
    <row r="5553" spans="1:4" x14ac:dyDescent="0.2">
      <c r="A5553" s="5">
        <v>5492</v>
      </c>
      <c r="B5553" s="138">
        <f>'Revenues 9-14'!F5</f>
        <v>1495078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1495078</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267</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36881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37757</v>
      </c>
      <c r="C5579" s="2" t="s">
        <v>593</v>
      </c>
      <c r="D5579" s="2" t="str">
        <f t="shared" si="86"/>
        <v>Error?</v>
      </c>
    </row>
    <row r="5580" spans="1:4" x14ac:dyDescent="0.2">
      <c r="A5580" s="5">
        <v>5519</v>
      </c>
      <c r="B5580" s="138">
        <f>'Revenues 9-14'!F65</f>
        <v>30472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30472</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10616</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10616</v>
      </c>
      <c r="C5587" s="2" t="s">
        <v>593</v>
      </c>
      <c r="D5587" s="2" t="str">
        <f t="shared" si="86"/>
        <v>Error?</v>
      </c>
    </row>
    <row r="5588" spans="1:4" x14ac:dyDescent="0.2">
      <c r="A5588" s="5">
        <v>5527</v>
      </c>
      <c r="B5588" s="138">
        <f>'Revenues 9-14'!F109</f>
        <v>1573923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2012894</v>
      </c>
      <c r="D5615" s="2" t="str">
        <f t="shared" si="86"/>
        <v>Error?</v>
      </c>
    </row>
    <row r="5616" spans="1:4" x14ac:dyDescent="0.2">
      <c r="A5616" s="10">
        <v>5555</v>
      </c>
      <c r="D5616" s="2" t="str">
        <f t="shared" si="86"/>
        <v>OK</v>
      </c>
    </row>
    <row r="5617" spans="1:4" x14ac:dyDescent="0.2">
      <c r="A5617" s="5">
        <v>5556</v>
      </c>
      <c r="B5617" s="138">
        <f>'Revenues 9-14'!F152</f>
        <v>1247190</v>
      </c>
      <c r="D5617" s="2" t="str">
        <f t="shared" si="86"/>
        <v>Error?</v>
      </c>
    </row>
    <row r="5618" spans="1:4" x14ac:dyDescent="0.2">
      <c r="A5618" s="5">
        <v>5557</v>
      </c>
      <c r="B5618" s="138">
        <f>'Revenues 9-14'!F154</f>
        <v>3260084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3260084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3260084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4834007</v>
      </c>
      <c r="C5720" s="2" t="s">
        <v>593</v>
      </c>
      <c r="D5720" s="2" t="str">
        <f t="shared" si="88"/>
        <v>Error?</v>
      </c>
    </row>
    <row r="5721" spans="1:4" x14ac:dyDescent="0.2">
      <c r="A5721" s="5">
        <v>5660</v>
      </c>
      <c r="B5721" s="138">
        <f>'Revenues 9-14'!G5</f>
        <v>747132</v>
      </c>
      <c r="D5721" s="2" t="str">
        <f t="shared" si="88"/>
        <v>Error?</v>
      </c>
    </row>
    <row r="5722" spans="1:4" x14ac:dyDescent="0.2">
      <c r="A5722" s="5">
        <v>5661</v>
      </c>
      <c r="B5722" s="138">
        <f>'Revenues 9-14'!G7</f>
        <v>0</v>
      </c>
      <c r="D5722" s="2" t="str">
        <f t="shared" si="88"/>
        <v>Error?</v>
      </c>
    </row>
    <row r="5723" spans="1:4" x14ac:dyDescent="0.2">
      <c r="A5723" s="5">
        <v>5662</v>
      </c>
      <c r="B5723" s="138">
        <f>'Revenues 9-14'!G8</f>
        <v>1552843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2299975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210000</v>
      </c>
      <c r="C5730" s="2" t="s">
        <v>593</v>
      </c>
      <c r="D5730" s="2" t="str">
        <f t="shared" si="88"/>
        <v>Error?</v>
      </c>
    </row>
    <row r="5731" spans="1:4" x14ac:dyDescent="0.2">
      <c r="A5731" s="5">
        <v>5670</v>
      </c>
      <c r="B5731" s="138">
        <f>'Revenues 9-14'!G65</f>
        <v>25564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25564</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2535539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99343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99343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15251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15251</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114594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8</v>
      </c>
      <c r="C6023" s="2" t="s">
        <v>593</v>
      </c>
      <c r="D6023" s="2" t="str">
        <f t="shared" si="93"/>
        <v>Error?</v>
      </c>
    </row>
    <row r="6024" spans="1:5" x14ac:dyDescent="0.2">
      <c r="A6024" s="5">
        <v>5963</v>
      </c>
      <c r="B6024" s="138">
        <f>'Revenues 9-14'!G109</f>
        <v>2535539</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114594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8</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972945</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4097.66</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236783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853504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246320</v>
      </c>
      <c r="D6142" s="2" t="str">
        <f t="shared" si="94"/>
        <v>Error?</v>
      </c>
      <c r="E6142" s="2" t="s">
        <v>199</v>
      </c>
    </row>
    <row r="6143" spans="1:5" x14ac:dyDescent="0.2">
      <c r="A6143">
        <v>6082</v>
      </c>
      <c r="B6143" s="138">
        <f>'Assets-Liab 5-6'!D27</f>
        <v>43640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25457</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3782144</v>
      </c>
      <c r="D6267" s="2" t="str">
        <f t="shared" si="96"/>
        <v>Error?</v>
      </c>
      <c r="E6267" s="2" t="s">
        <v>199</v>
      </c>
    </row>
    <row r="6268" spans="1:5" x14ac:dyDescent="0.2">
      <c r="A6268">
        <v>6207</v>
      </c>
      <c r="B6268" s="138">
        <f>'Acct Summary 7-8'!D82</f>
        <v>787619</v>
      </c>
      <c r="D6268" s="2" t="str">
        <f t="shared" si="96"/>
        <v>Error?</v>
      </c>
      <c r="E6268" s="2" t="s">
        <v>199</v>
      </c>
    </row>
    <row r="6269" spans="1:5" x14ac:dyDescent="0.2">
      <c r="A6269">
        <v>6208</v>
      </c>
      <c r="B6269" s="138">
        <f>'Acct Summary 7-8'!E82</f>
        <v>-37876</v>
      </c>
      <c r="D6269" s="2" t="str">
        <f t="shared" si="96"/>
        <v>Error?</v>
      </c>
      <c r="E6269" s="2" t="s">
        <v>199</v>
      </c>
    </row>
    <row r="6270" spans="1:5" x14ac:dyDescent="0.2">
      <c r="A6270">
        <v>6209</v>
      </c>
      <c r="B6270" s="138">
        <f>'Acct Summary 7-8'!F82</f>
        <v>-3059192</v>
      </c>
      <c r="D6270" s="2" t="str">
        <f t="shared" si="96"/>
        <v>Error?</v>
      </c>
      <c r="E6270" s="2" t="s">
        <v>199</v>
      </c>
    </row>
    <row r="6271" spans="1:5" x14ac:dyDescent="0.2">
      <c r="A6271">
        <v>6210</v>
      </c>
      <c r="B6271" s="138">
        <f>'Acct Summary 7-8'!G82</f>
        <v>951559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114594</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-3540</v>
      </c>
      <c r="D6275" s="2" t="str">
        <f t="shared" si="97"/>
        <v>Error?</v>
      </c>
      <c r="E6275" s="2" t="s">
        <v>199</v>
      </c>
    </row>
    <row r="6276" spans="1:5" x14ac:dyDescent="0.2">
      <c r="A6276">
        <v>6215</v>
      </c>
      <c r="B6276" s="138">
        <f>'Acct Summary 7-8'!C83</f>
        <v>2.1578022519705882</v>
      </c>
      <c r="D6276" s="2" t="str">
        <f t="shared" si="97"/>
        <v>Error?</v>
      </c>
      <c r="E6276" s="2" t="s">
        <v>199</v>
      </c>
    </row>
    <row r="6277" spans="1:5" x14ac:dyDescent="0.2">
      <c r="A6277">
        <v>6216</v>
      </c>
      <c r="B6277" s="138">
        <f>'Acct Summary 7-8'!D83</f>
        <v>0.27319225215494441</v>
      </c>
      <c r="D6277" s="2" t="str">
        <f t="shared" si="97"/>
        <v>Error?</v>
      </c>
      <c r="E6277" s="2" t="s">
        <v>199</v>
      </c>
    </row>
    <row r="6278" spans="1:5" x14ac:dyDescent="0.2">
      <c r="A6278">
        <v>6217</v>
      </c>
      <c r="B6278" s="138">
        <f>'Acct Summary 7-8'!E83</f>
        <v>-4.1164285450344409E-2</v>
      </c>
      <c r="D6278" s="2" t="str">
        <f t="shared" si="97"/>
        <v>Error?</v>
      </c>
      <c r="E6278" s="2" t="s">
        <v>199</v>
      </c>
    </row>
    <row r="6279" spans="1:5" x14ac:dyDescent="0.2">
      <c r="A6279">
        <v>6218</v>
      </c>
      <c r="B6279" s="138">
        <f>'Acct Summary 7-8'!F83</f>
        <v>-1.2832821772563312</v>
      </c>
      <c r="D6279" s="2" t="str">
        <f t="shared" si="97"/>
        <v>Error?</v>
      </c>
      <c r="E6279" s="2" t="s">
        <v>199</v>
      </c>
    </row>
    <row r="6280" spans="1:5" x14ac:dyDescent="0.2">
      <c r="A6280">
        <v>6219</v>
      </c>
      <c r="B6280" s="138">
        <f>'Acct Summary 7-8'!G83</f>
        <v>0.44137846262315156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9.4389541157147872E-2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-47.837837837837839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149810</v>
      </c>
      <c r="D6287" s="2" t="str">
        <f t="shared" si="97"/>
        <v>Error?</v>
      </c>
      <c r="E6287" s="2" t="s">
        <v>199</v>
      </c>
    </row>
    <row r="6288" spans="1:5" x14ac:dyDescent="0.2">
      <c r="A6288">
        <v>6227</v>
      </c>
      <c r="B6288" s="138">
        <f>'Acct Summary 7-8'!E40</f>
        <v>25200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609</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115692</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1584</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44295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15599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70650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160190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160190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26719</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3784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410670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3750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1157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277053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1620516</v>
      </c>
      <c r="D6882" s="2" t="str">
        <f t="shared" si="106"/>
        <v>Error?</v>
      </c>
    </row>
    <row r="6883" spans="1:4" x14ac:dyDescent="0.2">
      <c r="A6883">
        <v>6822</v>
      </c>
      <c r="B6883" s="138">
        <f>'Expenditures 15-22'!K23</f>
        <v>1620516</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35410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7204</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266097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273301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4301</v>
      </c>
      <c r="D6944" s="2" t="str">
        <f t="shared" si="107"/>
        <v>Error?</v>
      </c>
    </row>
    <row r="6945" spans="1:4" x14ac:dyDescent="0.2">
      <c r="A6945">
        <v>6884</v>
      </c>
      <c r="B6945" s="138" t="str">
        <f>'Expenditures 15-22'!J55</f>
        <v xml:space="preserve"> </v>
      </c>
      <c r="D6945" s="2" t="e">
        <f t="shared" si="107"/>
        <v>#VALUE!</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4301</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607</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9475</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764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10846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288448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1484672</v>
      </c>
      <c r="D6983" s="2" t="str">
        <f t="shared" si="108"/>
        <v>Error?</v>
      </c>
    </row>
    <row r="6984" spans="1:4" x14ac:dyDescent="0.2">
      <c r="A6984">
        <v>6923</v>
      </c>
      <c r="B6984" s="138">
        <f>'Expenditures 15-22'!K86</f>
        <v>1484672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555442</v>
      </c>
      <c r="D6987" s="2" t="str">
        <f t="shared" si="108"/>
        <v>Error?</v>
      </c>
    </row>
    <row r="6988" spans="1:4" x14ac:dyDescent="0.2">
      <c r="A6988">
        <v>6927</v>
      </c>
      <c r="B6988" s="138">
        <f>'Expenditures 15-22'!K88</f>
        <v>555442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2040114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5449</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5449</v>
      </c>
      <c r="D7010" s="2" t="str">
        <f t="shared" si="108"/>
        <v>Error?</v>
      </c>
    </row>
    <row r="7011" spans="1:4" x14ac:dyDescent="0.2">
      <c r="A7011">
        <v>6950</v>
      </c>
      <c r="B7011" s="138">
        <f>'Expenditures 15-22'!E100</f>
        <v>5449</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5449</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323858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27847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27847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27847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27847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32587</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32587</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32587</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20237</v>
      </c>
      <c r="D7075" s="2" t="str">
        <f t="shared" si="109"/>
        <v>Error?</v>
      </c>
    </row>
    <row r="7076" spans="1:4" x14ac:dyDescent="0.2">
      <c r="A7076">
        <v>7015</v>
      </c>
      <c r="B7076" s="138">
        <f>'Expenditures 15-22'!K218</f>
        <v>20237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2814</v>
      </c>
      <c r="D7079" s="2" t="str">
        <f t="shared" si="109"/>
        <v>Error?</v>
      </c>
    </row>
    <row r="7080" spans="1:4" x14ac:dyDescent="0.2">
      <c r="A7080">
        <v>7019</v>
      </c>
      <c r="B7080" s="138">
        <f>'Expenditures 15-22'!K226</f>
        <v>2814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337041</v>
      </c>
      <c r="D7251" s="2" t="str">
        <f t="shared" si="112"/>
        <v>Error?</v>
      </c>
    </row>
    <row r="7252" spans="1:4" x14ac:dyDescent="0.2">
      <c r="A7252">
        <f t="shared" si="113"/>
        <v>7191</v>
      </c>
      <c r="B7252" s="138">
        <f>'Expenditures 15-22'!D9</f>
        <v>69909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3720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203757</v>
      </c>
      <c r="D7263" s="2" t="str">
        <f t="shared" si="112"/>
        <v>Error?</v>
      </c>
    </row>
    <row r="7264" spans="1:4" x14ac:dyDescent="0.2">
      <c r="A7264">
        <f t="shared" si="113"/>
        <v>7203</v>
      </c>
      <c r="B7264" s="138">
        <f>'Expenditures 15-22'!D17</f>
        <v>40854</v>
      </c>
      <c r="D7264" s="2" t="str">
        <f t="shared" si="112"/>
        <v>Error?</v>
      </c>
    </row>
    <row r="7265" spans="1:5" x14ac:dyDescent="0.2">
      <c r="A7265">
        <f t="shared" si="113"/>
        <v>7204</v>
      </c>
      <c r="B7265" s="138">
        <f>'Expenditures 15-22'!E17</f>
        <v>2994</v>
      </c>
      <c r="D7265" s="2" t="str">
        <f t="shared" si="112"/>
        <v>Error?</v>
      </c>
    </row>
    <row r="7266" spans="1:5" x14ac:dyDescent="0.2">
      <c r="A7266">
        <f t="shared" si="113"/>
        <v>7205</v>
      </c>
      <c r="B7266" s="138">
        <f>'Expenditures 15-22'!F17</f>
        <v>4129</v>
      </c>
      <c r="D7266" s="2" t="str">
        <f t="shared" si="112"/>
        <v>Error?</v>
      </c>
    </row>
    <row r="7267" spans="1:5" x14ac:dyDescent="0.2">
      <c r="A7267">
        <f t="shared" si="113"/>
        <v>7206</v>
      </c>
      <c r="B7267" s="138">
        <f>'Expenditures 15-22'!G17</f>
        <v>24999</v>
      </c>
      <c r="D7267" s="2" t="str">
        <f t="shared" si="112"/>
        <v>Error?</v>
      </c>
    </row>
    <row r="7268" spans="1:5" x14ac:dyDescent="0.2">
      <c r="A7268">
        <f t="shared" si="113"/>
        <v>7207</v>
      </c>
      <c r="B7268" s="138">
        <f>'Expenditures 15-22'!H17</f>
        <v>320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384292</v>
      </c>
      <c r="D7624" s="2" t="str">
        <f t="shared" si="124"/>
        <v>Error?</v>
      </c>
      <c r="E7624" s="2" t="s">
        <v>19</v>
      </c>
    </row>
    <row r="7625" spans="1:5" x14ac:dyDescent="0.2">
      <c r="A7625">
        <f t="shared" si="123"/>
        <v>7564</v>
      </c>
      <c r="B7625" s="138">
        <f>'Cap Outlay Deprec 26'!I17</f>
        <v>38429.199999999997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5756138.2000000002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149810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25200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44295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44295</v>
      </c>
      <c r="D7719" s="2" t="str">
        <f t="shared" si="126"/>
        <v>Error?</v>
      </c>
      <c r="E7719" s="2" t="s">
        <v>880</v>
      </c>
    </row>
    <row r="7720" spans="1:6" x14ac:dyDescent="0.2">
      <c r="A7720">
        <v>7659</v>
      </c>
      <c r="B7720" s="138">
        <f>'Rest Tax Levies-Tort Im 25'!H14</f>
        <v>4299346</v>
      </c>
      <c r="D7720" s="2" t="str">
        <f t="shared" si="126"/>
        <v>Error?</v>
      </c>
      <c r="E7720" s="2" t="s">
        <v>880</v>
      </c>
    </row>
    <row r="7721" spans="1:6" x14ac:dyDescent="0.2">
      <c r="A7721">
        <v>7660</v>
      </c>
      <c r="B7721" s="138">
        <f>'Rest Tax Levies-Tort Im 25'!K14</f>
        <v>44295</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160190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1023967</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1023967</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8559076.0099999998</v>
      </c>
      <c r="D7797" s="2" t="str">
        <f t="shared" si="127"/>
        <v>Error?</v>
      </c>
      <c r="E7797" s="4" t="s">
        <v>2019</v>
      </c>
    </row>
    <row r="7798" spans="1:5" x14ac:dyDescent="0.2">
      <c r="A7798">
        <v>7737</v>
      </c>
      <c r="B7798" s="138">
        <f>'Contracts Paid in CY 29'!F141</f>
        <v>425000</v>
      </c>
      <c r="D7798" s="2" t="str">
        <f t="shared" si="127"/>
        <v>Error?</v>
      </c>
      <c r="E7798" s="4" t="s">
        <v>2019</v>
      </c>
    </row>
    <row r="7799" spans="1:5" x14ac:dyDescent="0.2">
      <c r="A7799">
        <v>7738</v>
      </c>
      <c r="B7799" s="138">
        <f>'Contracts Paid in CY 29'!G141</f>
        <v>2880581.01</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election activeCell="D14" sqref="D1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1252</v>
      </c>
      <c r="B2" s="2431"/>
      <c r="C2" s="2431"/>
      <c r="D2" s="2431"/>
      <c r="E2" s="2431"/>
      <c r="F2" s="2431"/>
      <c r="G2" s="2431"/>
      <c r="H2" s="2431"/>
      <c r="I2" s="2431"/>
      <c r="J2" s="2431"/>
      <c r="K2" s="2431"/>
      <c r="L2" s="2431"/>
    </row>
    <row r="3" spans="1:29" ht="13.5" customHeight="1" x14ac:dyDescent="0.2">
      <c r="A3" s="2417" t="s">
        <v>1251</v>
      </c>
      <c r="B3" s="2417"/>
      <c r="C3" s="2417"/>
      <c r="D3" s="2417"/>
      <c r="E3" s="2417"/>
      <c r="F3" s="2417"/>
      <c r="G3" s="2417"/>
      <c r="H3" s="2417"/>
      <c r="I3" s="2417"/>
      <c r="J3" s="2417"/>
      <c r="K3" s="2417"/>
      <c r="L3" s="2417"/>
    </row>
    <row r="4" spans="1:29" ht="13.5" customHeight="1" x14ac:dyDescent="0.2">
      <c r="A4" s="2431" t="s">
        <v>1798</v>
      </c>
      <c r="B4" s="2448"/>
      <c r="C4" s="2448"/>
      <c r="D4" s="2448"/>
      <c r="E4" s="2448"/>
      <c r="F4" s="2448"/>
      <c r="G4" s="2448"/>
      <c r="H4" s="2448"/>
      <c r="I4" s="2448"/>
      <c r="J4" s="2448"/>
      <c r="K4" s="2448"/>
      <c r="L4" s="244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11" t="str">
        <f>COVER!A17</f>
        <v>Kaneland CUSD 302</v>
      </c>
      <c r="B7" s="2412"/>
      <c r="C7" s="2412"/>
      <c r="D7" s="2449"/>
      <c r="E7" s="2450">
        <f>COVER!A13</f>
        <v>31045302026</v>
      </c>
      <c r="F7" s="2451"/>
      <c r="G7" s="2418" t="s">
        <v>2173</v>
      </c>
      <c r="H7" s="2419"/>
      <c r="I7" s="2419"/>
      <c r="J7" s="2419"/>
      <c r="K7" s="2419"/>
      <c r="L7" s="2420"/>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21"/>
      <c r="B9" s="2422"/>
      <c r="C9" s="2422"/>
      <c r="D9" s="2422"/>
      <c r="E9" s="2422"/>
      <c r="F9" s="2423"/>
      <c r="G9" s="2424" t="str">
        <f>COVER!T13</f>
        <v>Lauterbach &amp; Amen, LLP</v>
      </c>
      <c r="H9" s="2425"/>
      <c r="I9" s="2425"/>
      <c r="J9" s="2425"/>
      <c r="K9" s="2425"/>
      <c r="L9" s="2426"/>
    </row>
    <row r="10" spans="1:29" ht="13.5" customHeight="1" x14ac:dyDescent="0.2">
      <c r="A10" s="2408" t="str">
        <f>COVER!A38</f>
        <v>DR. TODD LEDEN</v>
      </c>
      <c r="B10" s="2409"/>
      <c r="C10" s="2409"/>
      <c r="D10" s="2409"/>
      <c r="E10" s="2409"/>
      <c r="F10" s="2410"/>
      <c r="G10" s="2424" t="str">
        <f>COVER!T17</f>
        <v>668 N. River Road</v>
      </c>
      <c r="H10" s="2437"/>
      <c r="I10" s="2437"/>
      <c r="J10" s="2437"/>
      <c r="K10" s="2437"/>
      <c r="L10" s="2438"/>
    </row>
    <row r="11" spans="1:29" ht="13.5" customHeight="1" x14ac:dyDescent="0.2">
      <c r="A11" s="1185" t="s">
        <v>1598</v>
      </c>
      <c r="B11" s="1186"/>
      <c r="C11" s="1187"/>
      <c r="D11" s="1192"/>
      <c r="E11" s="1187"/>
      <c r="F11" s="1191"/>
      <c r="G11" s="2424" t="str">
        <f>COVER!T19</f>
        <v>Naperville</v>
      </c>
      <c r="H11" s="2437"/>
      <c r="I11" s="2437"/>
      <c r="J11" s="2437"/>
      <c r="K11" s="2437"/>
      <c r="L11" s="2438"/>
    </row>
    <row r="12" spans="1:29" ht="13.5" customHeight="1" x14ac:dyDescent="0.2">
      <c r="A12" s="2442" t="s">
        <v>1597</v>
      </c>
      <c r="B12" s="2443"/>
      <c r="C12" s="2443"/>
      <c r="D12" s="2443"/>
      <c r="E12" s="2443"/>
      <c r="F12" s="2444"/>
      <c r="G12" s="2439"/>
      <c r="H12" s="2440"/>
      <c r="I12" s="2440"/>
      <c r="J12" s="2440"/>
      <c r="K12" s="2440"/>
      <c r="L12" s="2441"/>
    </row>
    <row r="13" spans="1:29" ht="13.5" customHeight="1" x14ac:dyDescent="0.2">
      <c r="A13" s="2424"/>
      <c r="B13" s="2437"/>
      <c r="C13" s="2437"/>
      <c r="D13" s="2437"/>
      <c r="E13" s="2437"/>
      <c r="F13" s="2438"/>
      <c r="G13" s="2432" t="s">
        <v>1599</v>
      </c>
      <c r="H13" s="2433"/>
      <c r="I13" s="2445" t="str">
        <f>COVER!T25</f>
        <v>mberan@lauterbachamen.com</v>
      </c>
      <c r="J13" s="2446"/>
      <c r="K13" s="2446"/>
      <c r="L13" s="2447"/>
    </row>
    <row r="14" spans="1:29" ht="13.5" customHeight="1" x14ac:dyDescent="0.2">
      <c r="A14" s="2424" t="str">
        <f>COVER!A19</f>
        <v>47W326 KESLINGER ROAD</v>
      </c>
      <c r="B14" s="2437"/>
      <c r="C14" s="2437"/>
      <c r="D14" s="2437"/>
      <c r="E14" s="2437"/>
      <c r="F14" s="2438"/>
      <c r="G14" s="1196" t="s">
        <v>1246</v>
      </c>
      <c r="H14" s="1194"/>
      <c r="I14" s="1194"/>
      <c r="J14" s="1194"/>
      <c r="K14" s="1194"/>
      <c r="L14" s="1195"/>
    </row>
    <row r="15" spans="1:29" ht="13.5" customHeight="1" x14ac:dyDescent="0.2">
      <c r="A15" s="2424" t="str">
        <f>COVER!A21</f>
        <v>MAPLE PARK</v>
      </c>
      <c r="B15" s="2437"/>
      <c r="C15" s="2437"/>
      <c r="D15" s="2437"/>
      <c r="E15" s="2437"/>
      <c r="F15" s="2438"/>
      <c r="G15" s="2434" t="str">
        <f>COVER!T15</f>
        <v>Matt Beran</v>
      </c>
      <c r="H15" s="2435"/>
      <c r="I15" s="2435"/>
      <c r="J15" s="2435"/>
      <c r="K15" s="2435"/>
      <c r="L15" s="2436"/>
    </row>
    <row r="16" spans="1:29" ht="12.2" customHeight="1" x14ac:dyDescent="0.2">
      <c r="A16" s="2414">
        <f>COVER!A25</f>
        <v>60151</v>
      </c>
      <c r="B16" s="2415"/>
      <c r="C16" s="2415"/>
      <c r="D16" s="2415"/>
      <c r="E16" s="2415"/>
      <c r="F16" s="2416"/>
      <c r="G16" s="2427"/>
      <c r="H16" s="2428"/>
      <c r="I16" s="2428"/>
      <c r="J16" s="2428"/>
      <c r="K16" s="2428"/>
      <c r="L16" s="2429"/>
    </row>
    <row r="17" spans="1:13" ht="12.2" customHeight="1" x14ac:dyDescent="0.2">
      <c r="A17" s="2430"/>
      <c r="B17" s="2415"/>
      <c r="C17" s="2415"/>
      <c r="D17" s="2415"/>
      <c r="E17" s="2415"/>
      <c r="F17" s="2416"/>
      <c r="G17" s="1196" t="s">
        <v>1245</v>
      </c>
      <c r="H17" s="1194"/>
      <c r="I17" s="1194"/>
      <c r="J17" s="1194"/>
      <c r="K17" s="1198" t="s">
        <v>1244</v>
      </c>
      <c r="L17" s="1191"/>
      <c r="M17" s="1184"/>
    </row>
    <row r="18" spans="1:13" ht="12.2" customHeight="1" x14ac:dyDescent="0.2">
      <c r="A18" s="2408"/>
      <c r="B18" s="2409"/>
      <c r="C18" s="2409"/>
      <c r="D18" s="2409"/>
      <c r="E18" s="2409"/>
      <c r="F18" s="2410"/>
      <c r="G18" s="2411">
        <f>COVER!T21</f>
        <v>6303931483</v>
      </c>
      <c r="H18" s="2412"/>
      <c r="I18" s="2412"/>
      <c r="J18" s="2412"/>
      <c r="K18" s="2411">
        <f>COVER!X21</f>
        <v>6303932516</v>
      </c>
      <c r="L18" s="241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2081</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2081</v>
      </c>
      <c r="C26" s="1203" t="s">
        <v>1800</v>
      </c>
    </row>
    <row r="27" spans="1:13" s="1199" customFormat="1" ht="9" customHeight="1" x14ac:dyDescent="0.2">
      <c r="B27" s="1204"/>
      <c r="C27" s="1203"/>
    </row>
    <row r="28" spans="1:13" s="1199" customFormat="1" ht="12.2" customHeight="1" x14ac:dyDescent="0.2">
      <c r="A28" s="1206"/>
      <c r="B28" s="1202" t="s">
        <v>2081</v>
      </c>
      <c r="C28" s="1203" t="s">
        <v>1801</v>
      </c>
    </row>
    <row r="29" spans="1:13" s="1199" customFormat="1" ht="9" customHeight="1" x14ac:dyDescent="0.2">
      <c r="A29" s="1206"/>
      <c r="B29" s="1204"/>
      <c r="C29" s="1203"/>
    </row>
    <row r="30" spans="1:13" s="1199" customFormat="1" ht="12.2" customHeight="1" x14ac:dyDescent="0.2">
      <c r="B30" s="1202" t="s">
        <v>2081</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2081</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2081</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2081</v>
      </c>
      <c r="C38" s="1203" t="s">
        <v>1646</v>
      </c>
    </row>
    <row r="39" spans="1:8" ht="9" customHeight="1" x14ac:dyDescent="0.2">
      <c r="B39" s="1204"/>
      <c r="C39" s="1207"/>
    </row>
    <row r="40" spans="1:8" s="1199" customFormat="1" ht="13.5" customHeight="1" x14ac:dyDescent="0.2">
      <c r="B40" s="1202" t="s">
        <v>2081</v>
      </c>
      <c r="C40" s="1203" t="s">
        <v>1647</v>
      </c>
    </row>
    <row r="41" spans="1:8" ht="9" customHeight="1" x14ac:dyDescent="0.2">
      <c r="A41" s="1208"/>
      <c r="B41" s="1204"/>
      <c r="C41" s="1207"/>
    </row>
    <row r="42" spans="1:8" s="1199" customFormat="1" ht="13.5" customHeight="1" x14ac:dyDescent="0.2">
      <c r="B42" s="1202" t="s">
        <v>2081</v>
      </c>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8" zoomScale="125" zoomScaleNormal="125" workbookViewId="0">
      <selection activeCell="D14" sqref="D1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2" t="str">
        <f>'Single Audit Cover'!A7</f>
        <v>Kaneland CUSD 302</v>
      </c>
      <c r="B1" s="2448"/>
      <c r="C1" s="2448"/>
      <c r="D1" s="2448"/>
    </row>
    <row r="2" spans="1:11" s="1215" customFormat="1" ht="12.75" x14ac:dyDescent="0.2">
      <c r="A2" s="2453">
        <f>'Single Audit Cover'!E7</f>
        <v>31045302026</v>
      </c>
      <c r="B2" s="2454"/>
      <c r="C2" s="2454"/>
      <c r="D2" s="2454"/>
    </row>
    <row r="3" spans="1:11" s="1215" customFormat="1" ht="12.75" x14ac:dyDescent="0.2">
      <c r="A3" s="2452" t="s">
        <v>1592</v>
      </c>
      <c r="B3" s="2448"/>
      <c r="C3" s="2448"/>
      <c r="D3" s="2448"/>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2081</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2081</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2081</v>
      </c>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2081</v>
      </c>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2081</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2081</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2081</v>
      </c>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2081</v>
      </c>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t="s">
        <v>2081</v>
      </c>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t="s">
        <v>2081</v>
      </c>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t="s">
        <v>2081</v>
      </c>
      <c r="C42" s="1232">
        <v>11</v>
      </c>
      <c r="D42" s="1243" t="s">
        <v>1654</v>
      </c>
      <c r="E42" s="312"/>
    </row>
    <row r="43" spans="1:5" ht="3" customHeight="1" x14ac:dyDescent="0.2">
      <c r="A43" s="1222"/>
      <c r="B43" s="1239"/>
      <c r="C43" s="1240"/>
      <c r="D43" s="1221"/>
    </row>
    <row r="44" spans="1:5" x14ac:dyDescent="0.2">
      <c r="A44" s="1222"/>
      <c r="B44" s="1225" t="s">
        <v>2164</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2164</v>
      </c>
      <c r="C48" s="1226">
        <f>C44+1</f>
        <v>13</v>
      </c>
      <c r="D48" s="1237" t="s">
        <v>1655</v>
      </c>
    </row>
    <row r="49" spans="1:4" ht="3" customHeight="1" x14ac:dyDescent="0.2">
      <c r="A49" s="1222"/>
      <c r="B49" s="1229"/>
      <c r="C49" s="1226"/>
      <c r="D49" s="1237"/>
    </row>
    <row r="50" spans="1:4" x14ac:dyDescent="0.2">
      <c r="A50" s="1222"/>
      <c r="B50" s="1225" t="s">
        <v>2164</v>
      </c>
      <c r="C50" s="1226">
        <f>C48+1</f>
        <v>14</v>
      </c>
      <c r="D50" s="1237" t="s">
        <v>1273</v>
      </c>
    </row>
    <row r="51" spans="1:4" ht="3" customHeight="1" x14ac:dyDescent="0.2">
      <c r="A51" s="1222"/>
      <c r="B51" s="1229"/>
      <c r="C51" s="1226"/>
      <c r="D51" s="1237"/>
    </row>
    <row r="52" spans="1:4" x14ac:dyDescent="0.2">
      <c r="A52" s="1222"/>
      <c r="B52" s="1225" t="s">
        <v>2164</v>
      </c>
      <c r="C52" s="1226">
        <f>C50+1</f>
        <v>15</v>
      </c>
      <c r="D52" s="1237" t="s">
        <v>1272</v>
      </c>
    </row>
    <row r="53" spans="1:4" ht="3" customHeight="1" x14ac:dyDescent="0.2">
      <c r="A53" s="1222"/>
      <c r="B53" s="1229"/>
      <c r="C53" s="1226"/>
      <c r="D53" s="1237"/>
    </row>
    <row r="54" spans="1:4" x14ac:dyDescent="0.2">
      <c r="A54" s="1222"/>
      <c r="B54" s="1225" t="s">
        <v>2164</v>
      </c>
      <c r="C54" s="1226">
        <f>C52+1</f>
        <v>16</v>
      </c>
      <c r="D54" s="1237" t="s">
        <v>1271</v>
      </c>
    </row>
    <row r="55" spans="1:4" ht="3" customHeight="1" x14ac:dyDescent="0.2">
      <c r="A55" s="1222"/>
      <c r="B55" s="1229"/>
      <c r="C55" s="1226"/>
      <c r="D55" s="1237"/>
    </row>
    <row r="56" spans="1:4" x14ac:dyDescent="0.2">
      <c r="A56" s="1222"/>
      <c r="B56" s="1225" t="s">
        <v>2081</v>
      </c>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t="s">
        <v>2081</v>
      </c>
      <c r="C72" s="1226">
        <f>C56+1</f>
        <v>18</v>
      </c>
      <c r="D72" s="1247" t="s">
        <v>1816</v>
      </c>
    </row>
    <row r="73" spans="1:4" ht="3" customHeight="1" x14ac:dyDescent="0.2">
      <c r="A73" s="1222"/>
      <c r="B73" s="1229"/>
      <c r="C73" s="1226"/>
      <c r="D73" s="1247"/>
    </row>
    <row r="74" spans="1:4" x14ac:dyDescent="0.2">
      <c r="A74" s="1222"/>
      <c r="B74" s="1225" t="s">
        <v>2081</v>
      </c>
      <c r="C74" s="1226">
        <f>C72+1</f>
        <v>19</v>
      </c>
      <c r="D74" s="1237" t="s">
        <v>1266</v>
      </c>
    </row>
    <row r="75" spans="1:4" ht="3" customHeight="1" x14ac:dyDescent="0.2">
      <c r="A75" s="1222"/>
      <c r="B75" s="1229"/>
      <c r="C75" s="1226"/>
      <c r="D75" s="1237"/>
    </row>
    <row r="76" spans="1:4" x14ac:dyDescent="0.2">
      <c r="A76" s="1222"/>
      <c r="B76" s="1225" t="s">
        <v>2081</v>
      </c>
      <c r="C76" s="1226">
        <f>C74+1</f>
        <v>20</v>
      </c>
      <c r="D76" s="1248" t="s">
        <v>1817</v>
      </c>
    </row>
    <row r="77" spans="1:4" ht="3" customHeight="1" x14ac:dyDescent="0.2">
      <c r="A77" s="1222"/>
      <c r="B77" s="1229"/>
      <c r="C77" s="1226"/>
      <c r="D77" s="1248"/>
    </row>
    <row r="78" spans="1:4" x14ac:dyDescent="0.2">
      <c r="A78" s="1222"/>
      <c r="B78" s="1225" t="s">
        <v>2081</v>
      </c>
      <c r="C78" s="1226">
        <f>C76+1</f>
        <v>21</v>
      </c>
      <c r="D78" s="1221" t="s">
        <v>1818</v>
      </c>
    </row>
    <row r="79" spans="1:4" ht="3" customHeight="1" x14ac:dyDescent="0.2">
      <c r="A79" s="1222"/>
      <c r="B79" s="1229"/>
      <c r="C79" s="1226"/>
      <c r="D79" s="1221"/>
    </row>
    <row r="80" spans="1:4" x14ac:dyDescent="0.2">
      <c r="A80" s="1222"/>
      <c r="B80" s="1225" t="s">
        <v>2081</v>
      </c>
      <c r="C80" s="1226">
        <f>C78+1</f>
        <v>22</v>
      </c>
      <c r="D80" s="1249" t="s">
        <v>1819</v>
      </c>
    </row>
    <row r="81" spans="1:4" ht="3" customHeight="1" x14ac:dyDescent="0.2">
      <c r="A81" s="1222"/>
      <c r="B81" s="1229"/>
      <c r="C81" s="1226"/>
      <c r="D81" s="1249"/>
    </row>
    <row r="82" spans="1:4" x14ac:dyDescent="0.2">
      <c r="A82" s="1222"/>
      <c r="B82" s="1225" t="s">
        <v>2081</v>
      </c>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t="s">
        <v>2081</v>
      </c>
      <c r="C85" s="1226">
        <f>C82+1</f>
        <v>24</v>
      </c>
      <c r="D85" s="1237" t="s">
        <v>1264</v>
      </c>
    </row>
    <row r="86" spans="1:4" ht="3" customHeight="1" x14ac:dyDescent="0.2">
      <c r="A86" s="1222"/>
      <c r="B86" s="1229"/>
      <c r="C86" s="1226"/>
      <c r="D86" s="1237"/>
    </row>
    <row r="87" spans="1:4" x14ac:dyDescent="0.2">
      <c r="A87" s="1222"/>
      <c r="B87" s="1225" t="s">
        <v>2081</v>
      </c>
      <c r="C87" s="1226">
        <f>C85+1</f>
        <v>25</v>
      </c>
      <c r="D87" s="1237" t="s">
        <v>1263</v>
      </c>
    </row>
    <row r="88" spans="1:4" ht="3" customHeight="1" x14ac:dyDescent="0.2">
      <c r="A88" s="1222"/>
      <c r="B88" s="1229"/>
      <c r="C88" s="1226"/>
      <c r="D88" s="1237"/>
    </row>
    <row r="89" spans="1:4" x14ac:dyDescent="0.2">
      <c r="A89" s="1222"/>
      <c r="B89" s="1225" t="s">
        <v>2081</v>
      </c>
      <c r="C89" s="1226">
        <f>C87+1</f>
        <v>26</v>
      </c>
      <c r="D89" s="1237" t="s">
        <v>1262</v>
      </c>
    </row>
    <row r="90" spans="1:4" ht="3" customHeight="1" x14ac:dyDescent="0.2">
      <c r="A90" s="1222"/>
      <c r="B90" s="1229"/>
      <c r="C90" s="1226"/>
      <c r="D90" s="1237"/>
    </row>
    <row r="91" spans="1:4" x14ac:dyDescent="0.2">
      <c r="A91" s="1222"/>
      <c r="B91" s="1225" t="s">
        <v>2164</v>
      </c>
      <c r="C91" s="1226">
        <f>C89+1</f>
        <v>27</v>
      </c>
      <c r="D91" s="1237" t="s">
        <v>1821</v>
      </c>
    </row>
    <row r="92" spans="1:4" x14ac:dyDescent="0.2">
      <c r="A92" s="1222"/>
      <c r="B92" s="1250"/>
      <c r="C92" s="1244" t="s">
        <v>2164</v>
      </c>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t="s">
        <v>2081</v>
      </c>
      <c r="C96" s="1226">
        <f>C91+1</f>
        <v>28</v>
      </c>
      <c r="D96" s="1237" t="s">
        <v>1822</v>
      </c>
    </row>
    <row r="97" spans="1:4" ht="3" customHeight="1" x14ac:dyDescent="0.2">
      <c r="A97" s="1222"/>
      <c r="B97" s="1229"/>
      <c r="C97" s="1226"/>
      <c r="D97" s="1237"/>
    </row>
    <row r="98" spans="1:4" x14ac:dyDescent="0.2">
      <c r="A98" s="1222"/>
      <c r="B98" s="1225" t="s">
        <v>2081</v>
      </c>
      <c r="C98" s="1226">
        <f>C96+1</f>
        <v>29</v>
      </c>
      <c r="D98" s="1251" t="s">
        <v>1823</v>
      </c>
    </row>
    <row r="99" spans="1:4" ht="3" customHeight="1" x14ac:dyDescent="0.2">
      <c r="A99" s="1222"/>
      <c r="B99" s="1229"/>
      <c r="C99" s="1226"/>
      <c r="D99" s="1251"/>
    </row>
    <row r="100" spans="1:4" x14ac:dyDescent="0.2">
      <c r="A100" s="1222"/>
      <c r="B100" s="1225" t="s">
        <v>2081</v>
      </c>
      <c r="C100" s="1226">
        <f>C98+1</f>
        <v>30</v>
      </c>
      <c r="D100" s="1237" t="s">
        <v>1824</v>
      </c>
    </row>
    <row r="101" spans="1:4" ht="3" customHeight="1" x14ac:dyDescent="0.2">
      <c r="A101" s="1222"/>
      <c r="B101" s="1229"/>
      <c r="C101" s="1226"/>
      <c r="D101" s="1252"/>
    </row>
    <row r="102" spans="1:4" x14ac:dyDescent="0.2">
      <c r="A102" s="1222"/>
      <c r="B102" s="1225" t="s">
        <v>2081</v>
      </c>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2081</v>
      </c>
      <c r="C106" s="1226">
        <f>C102+1</f>
        <v>32</v>
      </c>
      <c r="D106" s="1221" t="s">
        <v>1660</v>
      </c>
    </row>
    <row r="107" spans="1:4" ht="3" customHeight="1" x14ac:dyDescent="0.2">
      <c r="A107" s="1222"/>
      <c r="B107" s="1229"/>
      <c r="C107" s="1226"/>
      <c r="D107" s="1221"/>
    </row>
    <row r="108" spans="1:4" x14ac:dyDescent="0.2">
      <c r="A108" s="1222"/>
      <c r="B108" s="1225" t="s">
        <v>2164</v>
      </c>
      <c r="C108" s="1226">
        <v>33</v>
      </c>
      <c r="D108" s="1221" t="s">
        <v>1825</v>
      </c>
    </row>
    <row r="109" spans="1:4" ht="3" customHeight="1" x14ac:dyDescent="0.2">
      <c r="A109" s="1222"/>
      <c r="B109" s="1229"/>
      <c r="C109" s="1226"/>
      <c r="D109" s="1221"/>
    </row>
    <row r="110" spans="1:4" x14ac:dyDescent="0.2">
      <c r="A110" s="1222"/>
      <c r="B110" s="1225" t="s">
        <v>2164</v>
      </c>
      <c r="C110" s="1226">
        <f>C108+1</f>
        <v>34</v>
      </c>
      <c r="D110" s="1221" t="s">
        <v>1259</v>
      </c>
    </row>
    <row r="111" spans="1:4" ht="3" customHeight="1" x14ac:dyDescent="0.2">
      <c r="A111" s="1222"/>
      <c r="B111" s="1229"/>
      <c r="C111" s="1226"/>
      <c r="D111" s="1221"/>
    </row>
    <row r="112" spans="1:4" x14ac:dyDescent="0.2">
      <c r="A112" s="1222"/>
      <c r="B112" s="1225" t="s">
        <v>2164</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2164</v>
      </c>
      <c r="C115" s="1226">
        <f>C112+1</f>
        <v>36</v>
      </c>
      <c r="D115" s="1237" t="s">
        <v>1256</v>
      </c>
    </row>
    <row r="116" spans="1:4" ht="3" customHeight="1" x14ac:dyDescent="0.2">
      <c r="A116" s="1222"/>
      <c r="B116" s="1229"/>
      <c r="C116" s="1226"/>
      <c r="D116" s="1237"/>
    </row>
    <row r="117" spans="1:4" x14ac:dyDescent="0.2">
      <c r="A117" s="1222"/>
      <c r="B117" s="1225" t="s">
        <v>2164</v>
      </c>
      <c r="C117" s="1226">
        <f>C115+1</f>
        <v>37</v>
      </c>
      <c r="D117" s="1237" t="s">
        <v>1826</v>
      </c>
    </row>
    <row r="118" spans="1:4" ht="3" customHeight="1" x14ac:dyDescent="0.2">
      <c r="A118" s="1222"/>
      <c r="B118" s="1229"/>
      <c r="C118" s="1226"/>
      <c r="D118" s="1237"/>
    </row>
    <row r="119" spans="1:4" x14ac:dyDescent="0.2">
      <c r="A119" s="1222"/>
      <c r="B119" s="1225" t="s">
        <v>2164</v>
      </c>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2164</v>
      </c>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6" t="str">
        <f>'Single Audit Cover'!A7</f>
        <v>Kaneland CUSD 302</v>
      </c>
      <c r="B1" s="2456"/>
      <c r="C1" s="2456"/>
      <c r="D1" s="2456"/>
      <c r="E1" s="2456"/>
    </row>
    <row r="2" spans="1:5" x14ac:dyDescent="0.2">
      <c r="A2" s="2457">
        <f>'Single Audit Cover'!E7</f>
        <v>31045302026</v>
      </c>
      <c r="B2" s="2457"/>
      <c r="C2" s="2457"/>
      <c r="D2" s="2457"/>
      <c r="E2" s="2457"/>
    </row>
    <row r="3" spans="1:5" ht="4.5" customHeight="1" x14ac:dyDescent="0.2"/>
    <row r="4" spans="1:5" x14ac:dyDescent="0.2">
      <c r="A4" s="2456" t="s">
        <v>1306</v>
      </c>
      <c r="B4" s="2456"/>
      <c r="C4" s="2456"/>
      <c r="D4" s="2456"/>
      <c r="E4" s="2456"/>
    </row>
    <row r="5" spans="1:5" x14ac:dyDescent="0.2">
      <c r="A5" s="2459" t="str">
        <f>'Single Audit Cover'!A4</f>
        <v>Year Ending June 30, 2018</v>
      </c>
      <c r="B5" s="2459"/>
      <c r="C5" s="2459"/>
      <c r="D5" s="2459"/>
      <c r="E5" s="2459"/>
    </row>
    <row r="6" spans="1:5" x14ac:dyDescent="0.2">
      <c r="A6" s="2456" t="s">
        <v>1305</v>
      </c>
      <c r="B6" s="2456"/>
      <c r="C6" s="2456"/>
      <c r="D6" s="2456"/>
      <c r="E6" s="2456"/>
    </row>
    <row r="8" spans="1:5" x14ac:dyDescent="0.2">
      <c r="A8" s="1260" t="s">
        <v>1304</v>
      </c>
    </row>
    <row r="10" spans="1:5" x14ac:dyDescent="0.2">
      <c r="A10" s="1261" t="s">
        <v>1303</v>
      </c>
      <c r="B10" s="1262" t="s">
        <v>1302</v>
      </c>
      <c r="C10" s="1262"/>
      <c r="D10" s="1263">
        <f>SUM('Acct Summary 7-8'!C7:K7)</f>
        <v>1532070</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-173720</v>
      </c>
    </row>
    <row r="19" spans="1:4" ht="13.5" thickBot="1" x14ac:dyDescent="0.25">
      <c r="A19" s="1265" t="s">
        <v>1296</v>
      </c>
      <c r="D19" s="1266">
        <f>SUM(D10:D17)</f>
        <v>1358350</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8" t="s">
        <v>2226</v>
      </c>
      <c r="B24" s="2458"/>
      <c r="D24" s="1268">
        <f>-'Revenues 9-14'!E247-1</f>
        <v>-160191</v>
      </c>
    </row>
    <row r="25" spans="1:4" x14ac:dyDescent="0.2">
      <c r="A25" s="2455" t="s">
        <v>2228</v>
      </c>
      <c r="B25" s="2455"/>
      <c r="D25" s="1268">
        <v>-34</v>
      </c>
    </row>
    <row r="26" spans="1:4" x14ac:dyDescent="0.2">
      <c r="A26" s="2455"/>
      <c r="B26" s="2455"/>
      <c r="D26" s="1268"/>
    </row>
    <row r="27" spans="1:4" x14ac:dyDescent="0.2">
      <c r="A27" s="2455"/>
      <c r="B27" s="2455"/>
      <c r="D27" s="1268"/>
    </row>
    <row r="28" spans="1:4" x14ac:dyDescent="0.2">
      <c r="A28" s="2455"/>
      <c r="B28" s="2455"/>
      <c r="D28" s="1268"/>
    </row>
    <row r="29" spans="1:4" x14ac:dyDescent="0.2">
      <c r="A29" s="2455"/>
      <c r="B29" s="2455"/>
      <c r="D29" s="1268"/>
    </row>
    <row r="30" spans="1:4" x14ac:dyDescent="0.2">
      <c r="A30" s="2455"/>
      <c r="B30" s="2455"/>
      <c r="D30" s="1268"/>
    </row>
    <row r="32" spans="1:4" x14ac:dyDescent="0.2">
      <c r="A32" s="1260" t="s">
        <v>1294</v>
      </c>
      <c r="D32" s="1263">
        <f>SUM(D19:D30)</f>
        <v>1198125</v>
      </c>
    </row>
    <row r="33" spans="1:4" x14ac:dyDescent="0.2">
      <c r="D33" s="1269"/>
    </row>
    <row r="34" spans="1:4" x14ac:dyDescent="0.2">
      <c r="A34" s="317" t="s">
        <v>1293</v>
      </c>
    </row>
    <row r="35" spans="1:4" x14ac:dyDescent="0.2">
      <c r="A35" s="317" t="s">
        <v>1292</v>
      </c>
      <c r="B35" s="1258" t="s">
        <v>1291</v>
      </c>
      <c r="D35" s="1270">
        <f>' SEFA (PG 4)'!F17</f>
        <v>1198125</v>
      </c>
    </row>
    <row r="37" spans="1:4" x14ac:dyDescent="0.2">
      <c r="A37" s="1260" t="s">
        <v>1290</v>
      </c>
    </row>
    <row r="39" spans="1:4" ht="13.35" customHeight="1" x14ac:dyDescent="0.2">
      <c r="A39" s="1267" t="s">
        <v>1289</v>
      </c>
    </row>
    <row r="40" spans="1:4" x14ac:dyDescent="0.2">
      <c r="A40" s="2455"/>
      <c r="B40" s="2455"/>
      <c r="D40" s="1268"/>
    </row>
    <row r="41" spans="1:4" x14ac:dyDescent="0.2">
      <c r="A41" s="2455"/>
      <c r="B41" s="2455"/>
      <c r="D41" s="1271"/>
    </row>
    <row r="42" spans="1:4" x14ac:dyDescent="0.2">
      <c r="A42" s="2455"/>
      <c r="B42" s="2455"/>
      <c r="D42" s="1271"/>
    </row>
    <row r="43" spans="1:4" x14ac:dyDescent="0.2">
      <c r="A43" s="2455"/>
      <c r="B43" s="2455"/>
      <c r="D43" s="1271"/>
    </row>
    <row r="44" spans="1:4" x14ac:dyDescent="0.2">
      <c r="A44" s="2455"/>
      <c r="B44" s="2455"/>
      <c r="D44" s="1271"/>
    </row>
    <row r="45" spans="1:4" x14ac:dyDescent="0.2">
      <c r="A45" s="2455"/>
      <c r="B45" s="2455"/>
      <c r="D45" s="1271"/>
    </row>
    <row r="47" spans="1:4" x14ac:dyDescent="0.2">
      <c r="B47" s="1272" t="s">
        <v>1288</v>
      </c>
      <c r="C47" s="1272"/>
      <c r="D47" s="1273">
        <f>SUM(D35:D45)</f>
        <v>1198125</v>
      </c>
    </row>
    <row r="49" spans="2:4" x14ac:dyDescent="0.2">
      <c r="B49" s="1272" t="s">
        <v>1287</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D14" sqref="D1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Kaneland CUSD 302</v>
      </c>
      <c r="B1" s="2461"/>
      <c r="C1" s="2461"/>
      <c r="D1" s="2461"/>
      <c r="E1" s="2461"/>
      <c r="F1" s="2461"/>
    </row>
    <row r="2" spans="1:7" ht="13.5" customHeight="1" x14ac:dyDescent="0.2">
      <c r="A2" s="2462">
        <f>'Single Audit Cover'!E7</f>
        <v>31045302026</v>
      </c>
      <c r="B2" s="2462"/>
      <c r="C2" s="2462"/>
      <c r="D2" s="2462"/>
      <c r="E2" s="2462"/>
      <c r="F2" s="2462"/>
      <c r="G2" s="1275"/>
    </row>
    <row r="3" spans="1:7" ht="15.75" customHeight="1" x14ac:dyDescent="0.2">
      <c r="A3" s="2463" t="s">
        <v>1332</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1830</v>
      </c>
      <c r="C6" s="317"/>
      <c r="D6" s="317"/>
    </row>
    <row r="7" spans="1:7" ht="60.95" customHeight="1" x14ac:dyDescent="0.2">
      <c r="A7" s="2460" t="s">
        <v>1831</v>
      </c>
      <c r="B7" s="2460"/>
      <c r="C7" s="2460"/>
      <c r="D7" s="2460"/>
      <c r="E7" s="2460"/>
      <c r="F7" s="246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t="s">
        <v>2081</v>
      </c>
      <c r="D10" s="1280" t="s">
        <v>1628</v>
      </c>
      <c r="E10" s="1281"/>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60" t="s">
        <v>1833</v>
      </c>
      <c r="B13" s="2460"/>
      <c r="C13" s="2460"/>
      <c r="D13" s="2460"/>
      <c r="E13" s="2460"/>
      <c r="F13" s="2460"/>
    </row>
    <row r="14" spans="1:7" ht="9.75" customHeight="1" x14ac:dyDescent="0.2">
      <c r="C14" s="1260"/>
      <c r="D14" s="1260"/>
    </row>
    <row r="15" spans="1:7" ht="13.5" customHeight="1" x14ac:dyDescent="0.2">
      <c r="C15" s="1870" t="s">
        <v>1331</v>
      </c>
      <c r="D15" s="2466" t="s">
        <v>1330</v>
      </c>
      <c r="E15" s="2466"/>
      <c r="F15" s="2466"/>
    </row>
    <row r="16" spans="1:7" ht="13.5" customHeight="1" x14ac:dyDescent="0.2">
      <c r="A16" s="1282"/>
      <c r="B16" s="1276" t="s">
        <v>1329</v>
      </c>
      <c r="C16" s="1870" t="s">
        <v>1328</v>
      </c>
      <c r="D16" s="2467" t="s">
        <v>1669</v>
      </c>
      <c r="E16" s="2467"/>
      <c r="F16" s="2467"/>
    </row>
    <row r="17" spans="1:6" ht="20.45" customHeight="1" x14ac:dyDescent="0.2">
      <c r="A17" s="1283"/>
      <c r="B17" s="1284"/>
      <c r="C17" s="1285"/>
      <c r="D17" s="2465"/>
      <c r="E17" s="2465"/>
      <c r="F17" s="2465"/>
    </row>
    <row r="18" spans="1:6" ht="20.65" customHeight="1" x14ac:dyDescent="0.2">
      <c r="A18" s="1283"/>
      <c r="B18" s="1284"/>
      <c r="C18" s="1285"/>
      <c r="D18" s="2465"/>
      <c r="E18" s="2465"/>
      <c r="F18" s="2465"/>
    </row>
    <row r="19" spans="1:6" ht="20.65" customHeight="1" x14ac:dyDescent="0.2">
      <c r="A19" s="1283"/>
      <c r="B19" s="1284"/>
      <c r="C19" s="1285"/>
      <c r="D19" s="2465"/>
      <c r="E19" s="2465"/>
      <c r="F19" s="2465"/>
    </row>
    <row r="20" spans="1:6" ht="20.65" customHeight="1" x14ac:dyDescent="0.2">
      <c r="A20" s="1283"/>
      <c r="B20" s="1284"/>
      <c r="C20" s="1285"/>
      <c r="D20" s="2465"/>
      <c r="E20" s="2465"/>
      <c r="F20" s="2465"/>
    </row>
    <row r="21" spans="1:6" ht="20.65" customHeight="1" x14ac:dyDescent="0.2">
      <c r="A21" s="1283"/>
      <c r="B21" s="1284"/>
      <c r="C21" s="1285"/>
      <c r="D21" s="2465"/>
      <c r="E21" s="2465"/>
      <c r="F21" s="2465"/>
    </row>
    <row r="22" spans="1:6" ht="20.65" customHeight="1" x14ac:dyDescent="0.2">
      <c r="A22" s="1283"/>
      <c r="B22" s="1284"/>
      <c r="C22" s="1285"/>
      <c r="D22" s="2465"/>
      <c r="E22" s="2465"/>
      <c r="F22" s="2465"/>
    </row>
    <row r="23" spans="1:6" ht="20.65" customHeight="1" x14ac:dyDescent="0.2">
      <c r="A23" s="1283"/>
      <c r="B23" s="1284"/>
      <c r="C23" s="1285"/>
      <c r="D23" s="2465"/>
      <c r="E23" s="2465"/>
      <c r="F23" s="2465"/>
    </row>
    <row r="24" spans="1:6" ht="20.65" customHeight="1" x14ac:dyDescent="0.2">
      <c r="A24" s="1283"/>
      <c r="B24" s="1284"/>
      <c r="C24" s="1285"/>
      <c r="D24" s="2465"/>
      <c r="E24" s="2465"/>
      <c r="F24" s="2465"/>
    </row>
    <row r="25" spans="1:6" ht="20.65" customHeight="1" x14ac:dyDescent="0.2">
      <c r="A25" s="1283"/>
      <c r="B25" s="1284"/>
      <c r="C25" s="1285"/>
      <c r="D25" s="2465"/>
      <c r="E25" s="2465"/>
      <c r="F25" s="2465"/>
    </row>
    <row r="26" spans="1:6" ht="20.65" customHeight="1" x14ac:dyDescent="0.2">
      <c r="A26" s="1283"/>
      <c r="B26" s="1284"/>
      <c r="C26" s="1285"/>
      <c r="D26" s="2465"/>
      <c r="E26" s="2465"/>
      <c r="F26" s="2465"/>
    </row>
    <row r="27" spans="1:6" ht="20.65" customHeight="1" x14ac:dyDescent="0.2">
      <c r="A27" s="1283"/>
      <c r="B27" s="1284"/>
      <c r="C27" s="1285"/>
      <c r="D27" s="2465"/>
      <c r="E27" s="2465"/>
      <c r="F27" s="2465"/>
    </row>
    <row r="28" spans="1:6" ht="20.65" customHeight="1" x14ac:dyDescent="0.2">
      <c r="A28" s="1283"/>
      <c r="B28" s="1284"/>
      <c r="C28" s="1285"/>
      <c r="D28" s="2465"/>
      <c r="E28" s="2465"/>
      <c r="F28" s="2465"/>
    </row>
    <row r="29" spans="1:6" ht="20.65" customHeight="1" x14ac:dyDescent="0.2">
      <c r="A29" s="1283"/>
      <c r="B29" s="1284"/>
      <c r="C29" s="1285"/>
      <c r="D29" s="2465"/>
      <c r="E29" s="2465"/>
      <c r="F29" s="2465"/>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69" t="s">
        <v>1834</v>
      </c>
      <c r="B32" s="2469"/>
      <c r="C32" s="2469"/>
      <c r="D32" s="2469"/>
      <c r="E32" s="2469"/>
      <c r="F32" s="2469"/>
    </row>
    <row r="33" spans="1:6" ht="13.5" customHeight="1" x14ac:dyDescent="0.2">
      <c r="A33" s="328" t="s">
        <v>1508</v>
      </c>
      <c r="B33" s="328"/>
      <c r="C33" s="1288">
        <v>0</v>
      </c>
      <c r="D33" s="1927"/>
      <c r="E33" s="1286"/>
    </row>
    <row r="34" spans="1:6" ht="13.5" customHeight="1" x14ac:dyDescent="0.2">
      <c r="A34" s="328" t="s">
        <v>1948</v>
      </c>
      <c r="B34" s="328"/>
      <c r="C34" s="1289">
        <v>0</v>
      </c>
      <c r="D34" s="1927" t="s">
        <v>1670</v>
      </c>
      <c r="E34" s="2470">
        <f>+C33+C34</f>
        <v>0</v>
      </c>
      <c r="F34" s="2471"/>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c r="D38" s="1927"/>
      <c r="E38" s="1286"/>
    </row>
    <row r="39" spans="1:6" ht="14.25" customHeight="1" x14ac:dyDescent="0.2">
      <c r="A39" s="328"/>
      <c r="B39" s="328" t="s">
        <v>1510</v>
      </c>
      <c r="C39" s="1292"/>
      <c r="D39" s="1927"/>
      <c r="E39" s="1286"/>
    </row>
    <row r="40" spans="1:6" ht="14.25" customHeight="1" x14ac:dyDescent="0.2">
      <c r="A40" s="328"/>
      <c r="B40" s="328" t="s">
        <v>1511</v>
      </c>
      <c r="C40" s="1292"/>
      <c r="D40" s="1927"/>
      <c r="E40" s="1286"/>
    </row>
    <row r="41" spans="1:6" ht="14.25" customHeight="1" x14ac:dyDescent="0.2">
      <c r="A41" s="328"/>
      <c r="B41" s="328" t="s">
        <v>1512</v>
      </c>
      <c r="C41" s="1292"/>
      <c r="D41" s="1927"/>
      <c r="E41" s="1286"/>
    </row>
    <row r="42" spans="1:6" ht="14.25" customHeight="1" x14ac:dyDescent="0.2">
      <c r="A42" s="328" t="s">
        <v>1513</v>
      </c>
      <c r="B42" s="328"/>
      <c r="C42" s="1925"/>
      <c r="D42" s="1927"/>
      <c r="E42" s="1286"/>
    </row>
    <row r="43" spans="1:6" ht="14.25" customHeight="1" x14ac:dyDescent="0.2">
      <c r="A43" s="328" t="s">
        <v>1514</v>
      </c>
      <c r="B43" s="328"/>
      <c r="C43" s="1293"/>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1671</v>
      </c>
      <c r="C49" s="2472"/>
      <c r="D49" s="2472"/>
      <c r="E49" s="1399"/>
    </row>
    <row r="50" spans="1:5" s="1300" customFormat="1" ht="3.75" customHeight="1" x14ac:dyDescent="0.2">
      <c r="A50" s="1299"/>
      <c r="B50" s="1869"/>
      <c r="C50" s="1869"/>
      <c r="D50" s="1869"/>
      <c r="E50" s="1399"/>
    </row>
    <row r="51" spans="1:5" s="1300" customFormat="1" ht="20.25" customHeight="1" x14ac:dyDescent="0.2">
      <c r="A51" s="1301">
        <v>6</v>
      </c>
      <c r="B51" s="2468" t="s">
        <v>1631</v>
      </c>
      <c r="C51" s="2468"/>
      <c r="D51" s="2468"/>
    </row>
    <row r="52" spans="1:5" ht="14.25" customHeight="1" x14ac:dyDescent="0.2">
      <c r="A52" s="1301"/>
      <c r="B52" s="2468"/>
      <c r="C52" s="2468"/>
      <c r="D52" s="246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6" zoomScaleNormal="100" workbookViewId="0">
      <selection activeCell="D14" sqref="D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Kaneland CUSD 302</v>
      </c>
      <c r="C1" s="2473"/>
      <c r="D1" s="2473"/>
      <c r="E1" s="2473"/>
      <c r="F1" s="2473"/>
      <c r="G1" s="2473"/>
      <c r="H1" s="2473"/>
      <c r="I1" s="2473"/>
      <c r="J1" s="2473"/>
      <c r="K1" s="2473"/>
      <c r="L1" s="2473"/>
      <c r="M1" s="2473"/>
    </row>
    <row r="2" spans="2:14" ht="15" x14ac:dyDescent="0.2">
      <c r="B2" s="2462">
        <f>'Single Audit Cover'!E7</f>
        <v>31045302026</v>
      </c>
      <c r="C2" s="2462"/>
      <c r="D2" s="2462"/>
      <c r="E2" s="2462"/>
      <c r="F2" s="2462"/>
      <c r="G2" s="2462"/>
      <c r="H2" s="2462"/>
      <c r="I2" s="2462"/>
      <c r="J2" s="2462"/>
      <c r="K2" s="2462"/>
      <c r="L2" s="2462"/>
      <c r="M2" s="2462"/>
      <c r="N2" s="1302"/>
    </row>
    <row r="3" spans="2:14" ht="15" x14ac:dyDescent="0.2">
      <c r="B3" s="2474" t="s">
        <v>1280</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7" t="s">
        <v>2176</v>
      </c>
      <c r="C11" s="1338"/>
      <c r="D11" s="1339"/>
      <c r="E11" s="1340"/>
      <c r="F11" s="1340"/>
      <c r="G11" s="1340"/>
      <c r="H11" s="1340"/>
      <c r="I11" s="1340"/>
      <c r="J11" s="1340"/>
      <c r="K11" s="1340"/>
      <c r="L11" s="1340">
        <f>+G11+I11+K11</f>
        <v>0</v>
      </c>
      <c r="M11" s="1340"/>
    </row>
    <row r="12" spans="2:14" ht="22.5" x14ac:dyDescent="0.2">
      <c r="B12" s="1337" t="s">
        <v>2177</v>
      </c>
      <c r="C12" s="1341"/>
      <c r="D12" s="1342"/>
      <c r="E12" s="1343"/>
      <c r="F12" s="1343"/>
      <c r="G12" s="1343"/>
      <c r="H12" s="1343"/>
      <c r="I12" s="1343"/>
      <c r="J12" s="1343"/>
      <c r="K12" s="1343"/>
      <c r="L12" s="1340">
        <f t="shared" ref="L12:L27" si="0">+G12+I12+K12</f>
        <v>0</v>
      </c>
      <c r="M12" s="1343"/>
    </row>
    <row r="13" spans="2:14" ht="20.100000000000001" customHeight="1" x14ac:dyDescent="0.2">
      <c r="B13" s="1958" t="s">
        <v>2178</v>
      </c>
      <c r="C13" s="1341"/>
      <c r="D13" s="1342"/>
      <c r="E13" s="1343"/>
      <c r="F13" s="1343"/>
      <c r="G13" s="1343"/>
      <c r="H13" s="1343"/>
      <c r="I13" s="1343"/>
      <c r="J13" s="1343"/>
      <c r="K13" s="1343"/>
      <c r="L13" s="1340">
        <f t="shared" si="0"/>
        <v>0</v>
      </c>
      <c r="M13" s="1343"/>
    </row>
    <row r="14" spans="2:14" ht="20.100000000000001" customHeight="1" x14ac:dyDescent="0.2">
      <c r="B14" s="1959" t="s">
        <v>1117</v>
      </c>
      <c r="C14" s="1341">
        <v>10.555</v>
      </c>
      <c r="D14" s="1342" t="s">
        <v>2179</v>
      </c>
      <c r="E14" s="1343"/>
      <c r="F14" s="1343">
        <v>7965</v>
      </c>
      <c r="G14" s="1343"/>
      <c r="H14" s="1343">
        <f t="shared" ref="H14:H19" si="1">E14</f>
        <v>0</v>
      </c>
      <c r="I14" s="1343">
        <v>7965</v>
      </c>
      <c r="J14" s="1343">
        <v>0</v>
      </c>
      <c r="K14" s="1343"/>
      <c r="L14" s="1340">
        <f t="shared" si="0"/>
        <v>7965</v>
      </c>
      <c r="M14" s="1967"/>
    </row>
    <row r="15" spans="2:14" ht="20.100000000000001" customHeight="1" x14ac:dyDescent="0.2">
      <c r="B15" s="1959" t="s">
        <v>1117</v>
      </c>
      <c r="C15" s="1341">
        <v>10.555</v>
      </c>
      <c r="D15" s="1342" t="s">
        <v>2179</v>
      </c>
      <c r="E15" s="1343">
        <v>39957</v>
      </c>
      <c r="F15" s="1343">
        <v>250</v>
      </c>
      <c r="G15" s="1343">
        <v>39957</v>
      </c>
      <c r="H15" s="1343">
        <f t="shared" si="1"/>
        <v>39957</v>
      </c>
      <c r="I15" s="1343">
        <v>250</v>
      </c>
      <c r="J15" s="1343">
        <v>0</v>
      </c>
      <c r="K15" s="1343"/>
      <c r="L15" s="1340">
        <f t="shared" si="0"/>
        <v>40207</v>
      </c>
      <c r="M15" s="1967"/>
    </row>
    <row r="16" spans="2:14" ht="20.100000000000001" customHeight="1" x14ac:dyDescent="0.2">
      <c r="B16" s="1959" t="s">
        <v>1117</v>
      </c>
      <c r="C16" s="1341">
        <v>10.555</v>
      </c>
      <c r="D16" s="1342" t="s">
        <v>2180</v>
      </c>
      <c r="E16" s="1343"/>
      <c r="F16" s="1343">
        <v>36372</v>
      </c>
      <c r="G16" s="1343"/>
      <c r="H16" s="1343">
        <f t="shared" si="1"/>
        <v>0</v>
      </c>
      <c r="I16" s="1343">
        <v>36372</v>
      </c>
      <c r="J16" s="1343">
        <v>0</v>
      </c>
      <c r="K16" s="1343"/>
      <c r="L16" s="1340">
        <f t="shared" si="0"/>
        <v>36372</v>
      </c>
      <c r="M16" s="1967"/>
    </row>
    <row r="17" spans="2:14" ht="20.100000000000001" customHeight="1" x14ac:dyDescent="0.2">
      <c r="B17" s="1959" t="s">
        <v>1106</v>
      </c>
      <c r="C17" s="1341">
        <v>10.555999999999999</v>
      </c>
      <c r="D17" s="1342" t="s">
        <v>2181</v>
      </c>
      <c r="E17" s="1343"/>
      <c r="F17" s="1343">
        <v>5197</v>
      </c>
      <c r="G17" s="1343"/>
      <c r="H17" s="1343">
        <f t="shared" si="1"/>
        <v>0</v>
      </c>
      <c r="I17" s="1343">
        <v>5197</v>
      </c>
      <c r="J17" s="1343">
        <v>0</v>
      </c>
      <c r="K17" s="1343"/>
      <c r="L17" s="1340">
        <f t="shared" si="0"/>
        <v>5197</v>
      </c>
      <c r="M17" s="1967"/>
    </row>
    <row r="18" spans="2:14" ht="20.100000000000001" customHeight="1" x14ac:dyDescent="0.2">
      <c r="B18" s="1959" t="s">
        <v>1106</v>
      </c>
      <c r="C18" s="1341">
        <v>10.555999999999999</v>
      </c>
      <c r="D18" s="1342" t="s">
        <v>2181</v>
      </c>
      <c r="E18" s="1343">
        <v>29833</v>
      </c>
      <c r="F18" s="1343">
        <v>364</v>
      </c>
      <c r="G18" s="1343">
        <v>29833</v>
      </c>
      <c r="H18" s="1343">
        <f t="shared" si="1"/>
        <v>29833</v>
      </c>
      <c r="I18" s="1343">
        <v>364</v>
      </c>
      <c r="J18" s="1343">
        <v>0</v>
      </c>
      <c r="K18" s="1343"/>
      <c r="L18" s="1340">
        <f t="shared" si="0"/>
        <v>30197</v>
      </c>
      <c r="M18" s="1967"/>
    </row>
    <row r="19" spans="2:14" ht="20.100000000000001" customHeight="1" x14ac:dyDescent="0.2">
      <c r="B19" s="1959" t="s">
        <v>1106</v>
      </c>
      <c r="C19" s="1341">
        <v>10.555999999999999</v>
      </c>
      <c r="D19" s="1342" t="s">
        <v>2182</v>
      </c>
      <c r="E19" s="1343"/>
      <c r="F19" s="1343">
        <v>27474</v>
      </c>
      <c r="G19" s="1343"/>
      <c r="H19" s="1343">
        <f t="shared" si="1"/>
        <v>0</v>
      </c>
      <c r="I19" s="1343">
        <v>27474</v>
      </c>
      <c r="J19" s="1343">
        <v>0</v>
      </c>
      <c r="K19" s="1343"/>
      <c r="L19" s="1340">
        <f t="shared" si="0"/>
        <v>27474</v>
      </c>
      <c r="M19" s="1967"/>
    </row>
    <row r="20" spans="2:14" ht="20.100000000000001" customHeight="1" x14ac:dyDescent="0.2">
      <c r="B20" s="1961" t="s">
        <v>2183</v>
      </c>
      <c r="C20" s="1341"/>
      <c r="D20" s="1342"/>
      <c r="E20" s="1343">
        <f>SUM(E14:E19)</f>
        <v>69790</v>
      </c>
      <c r="F20" s="1343">
        <f>SUM(F14:F19)</f>
        <v>77622</v>
      </c>
      <c r="G20" s="1343">
        <f>SUM(G14:G19)</f>
        <v>69790</v>
      </c>
      <c r="H20" s="1343"/>
      <c r="I20" s="1343">
        <f>SUM(I14:I19)</f>
        <v>77622</v>
      </c>
      <c r="J20" s="1343">
        <v>0</v>
      </c>
      <c r="K20" s="1343"/>
      <c r="L20" s="1340">
        <f t="shared" si="0"/>
        <v>147412</v>
      </c>
      <c r="M20" s="1967"/>
    </row>
    <row r="21" spans="2:14" ht="20.100000000000001" customHeight="1" x14ac:dyDescent="0.2">
      <c r="B21" s="1959"/>
      <c r="C21" s="1341"/>
      <c r="D21" s="1342"/>
      <c r="E21" s="1343"/>
      <c r="F21" s="1343"/>
      <c r="G21" s="1343"/>
      <c r="H21" s="1343"/>
      <c r="I21" s="1343"/>
      <c r="J21" s="1343"/>
      <c r="K21" s="1343"/>
      <c r="L21" s="1340">
        <f t="shared" si="0"/>
        <v>0</v>
      </c>
      <c r="M21" s="1343"/>
    </row>
    <row r="22" spans="2:14" ht="20.100000000000001" customHeight="1" x14ac:dyDescent="0.2">
      <c r="B22" s="1961" t="s">
        <v>2184</v>
      </c>
      <c r="C22" s="1341"/>
      <c r="D22" s="1342"/>
      <c r="E22" s="1963">
        <f>E20</f>
        <v>69790</v>
      </c>
      <c r="F22" s="1963">
        <f>F20</f>
        <v>77622</v>
      </c>
      <c r="G22" s="1963">
        <f>G20</f>
        <v>69790</v>
      </c>
      <c r="H22" s="1963"/>
      <c r="I22" s="1963">
        <f>I20</f>
        <v>77622</v>
      </c>
      <c r="J22" s="1343"/>
      <c r="K22" s="1343"/>
      <c r="L22" s="1340">
        <f t="shared" si="0"/>
        <v>147412</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F94" sqref="F9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1229</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5" t="s">
        <v>1730</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330</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2081</v>
      </c>
      <c r="C53" s="179">
        <v>22</v>
      </c>
      <c r="D53" s="247" t="s">
        <v>1536</v>
      </c>
      <c r="E53" s="248"/>
      <c r="F53" s="249"/>
      <c r="G53" s="249" t="s">
        <v>1535</v>
      </c>
      <c r="H53" s="250">
        <v>33482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1389</v>
      </c>
      <c r="B70" s="2098"/>
      <c r="C70" s="2098"/>
      <c r="D70" s="2098"/>
      <c r="E70" s="2099"/>
      <c r="F70" s="2099"/>
      <c r="G70" s="2099"/>
      <c r="H70" s="2099"/>
      <c r="I70" s="2099"/>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1"/>
      <c r="J77" s="261">
        <v>43311</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1386</v>
      </c>
      <c r="B83" s="2100"/>
      <c r="C83" s="2100"/>
      <c r="D83" s="2101"/>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v>0</v>
      </c>
      <c r="F85" s="276">
        <v>485296</v>
      </c>
      <c r="G85" s="276">
        <v>368207</v>
      </c>
      <c r="H85" s="276">
        <v>170464</v>
      </c>
      <c r="I85" s="276">
        <v>0</v>
      </c>
      <c r="J85" s="277">
        <f>SUM(E85:I85)</f>
        <v>1023967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1023967</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c r="D114" s="209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1396</v>
      </c>
      <c r="D117" s="2093"/>
      <c r="E117" s="2094"/>
      <c r="F117" s="2094"/>
      <c r="G117" s="2094"/>
      <c r="H117" s="209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1" zoomScaleNormal="100" workbookViewId="0">
      <selection activeCell="D14" sqref="D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Kaneland CUSD 302</v>
      </c>
      <c r="C1" s="2473"/>
      <c r="D1" s="2473"/>
      <c r="E1" s="2473"/>
      <c r="F1" s="2473"/>
      <c r="G1" s="2473"/>
      <c r="H1" s="2473"/>
      <c r="I1" s="2473"/>
      <c r="J1" s="2473"/>
      <c r="K1" s="2473"/>
      <c r="L1" s="2473"/>
      <c r="M1" s="2473"/>
    </row>
    <row r="2" spans="2:14" ht="15" x14ac:dyDescent="0.2">
      <c r="B2" s="2462">
        <f>'Single Audit Cover'!E7</f>
        <v>31045302026</v>
      </c>
      <c r="C2" s="2462"/>
      <c r="D2" s="2462"/>
      <c r="E2" s="2462"/>
      <c r="F2" s="2462"/>
      <c r="G2" s="2462"/>
      <c r="H2" s="2462"/>
      <c r="I2" s="2462"/>
      <c r="J2" s="2462"/>
      <c r="K2" s="2462"/>
      <c r="L2" s="2462"/>
      <c r="M2" s="2462"/>
      <c r="N2" s="1302"/>
    </row>
    <row r="3" spans="2:14" ht="15" x14ac:dyDescent="0.2">
      <c r="B3" s="2474" t="s">
        <v>1280</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7" t="s">
        <v>2185</v>
      </c>
      <c r="C11" s="1338"/>
      <c r="D11" s="1339"/>
      <c r="E11" s="1340"/>
      <c r="F11" s="1340"/>
      <c r="G11" s="1340"/>
      <c r="H11" s="1340"/>
      <c r="I11" s="1340"/>
      <c r="J11" s="1340"/>
      <c r="K11" s="1340"/>
      <c r="L11" s="1340">
        <f>+G11+I11+K11</f>
        <v>0</v>
      </c>
      <c r="M11" s="1340"/>
    </row>
    <row r="12" spans="2:14" ht="22.5" x14ac:dyDescent="0.2">
      <c r="B12" s="1337" t="s">
        <v>2177</v>
      </c>
      <c r="C12" s="1341"/>
      <c r="D12" s="1342"/>
      <c r="E12" s="1343"/>
      <c r="F12" s="1343"/>
      <c r="G12" s="1343"/>
      <c r="H12" s="1343"/>
      <c r="I12" s="1343"/>
      <c r="J12" s="1343"/>
      <c r="K12" s="1343"/>
      <c r="L12" s="1340">
        <f t="shared" ref="L12:L27" si="0">+G12+I12+K12</f>
        <v>0</v>
      </c>
      <c r="M12" s="1343"/>
    </row>
    <row r="13" spans="2:14" ht="20.100000000000001" customHeight="1" x14ac:dyDescent="0.2">
      <c r="B13" s="1959" t="s">
        <v>973</v>
      </c>
      <c r="C13" s="1341" t="s">
        <v>2191</v>
      </c>
      <c r="D13" s="1342" t="s">
        <v>2186</v>
      </c>
      <c r="E13" s="1343">
        <v>267165</v>
      </c>
      <c r="F13" s="1343"/>
      <c r="G13" s="1343">
        <v>267165</v>
      </c>
      <c r="H13" s="1343"/>
      <c r="I13" s="1343"/>
      <c r="J13" s="1343"/>
      <c r="K13" s="1343"/>
      <c r="L13" s="1340">
        <f t="shared" si="0"/>
        <v>267165</v>
      </c>
      <c r="M13" s="1343"/>
    </row>
    <row r="14" spans="2:14" ht="20.100000000000001" customHeight="1" x14ac:dyDescent="0.2">
      <c r="B14" s="1959" t="s">
        <v>973</v>
      </c>
      <c r="C14" s="1341" t="s">
        <v>2191</v>
      </c>
      <c r="D14" s="1342" t="s">
        <v>2187</v>
      </c>
      <c r="E14" s="1343"/>
      <c r="F14" s="1343">
        <v>187760</v>
      </c>
      <c r="G14" s="1343"/>
      <c r="H14" s="1343"/>
      <c r="I14" s="1343">
        <v>218590</v>
      </c>
      <c r="J14" s="1343"/>
      <c r="K14" s="1343"/>
      <c r="L14" s="1340">
        <f t="shared" si="0"/>
        <v>218590</v>
      </c>
      <c r="M14" s="1343"/>
    </row>
    <row r="15" spans="2:14" ht="20.100000000000001" customHeight="1" x14ac:dyDescent="0.2">
      <c r="B15" s="1959" t="s">
        <v>2188</v>
      </c>
      <c r="C15" s="1341" t="s">
        <v>2190</v>
      </c>
      <c r="D15" s="1342" t="s">
        <v>2189</v>
      </c>
      <c r="E15" s="1343">
        <v>11311</v>
      </c>
      <c r="F15" s="1343">
        <v>8316</v>
      </c>
      <c r="G15" s="1343">
        <v>11311</v>
      </c>
      <c r="H15" s="1343"/>
      <c r="I15" s="1343">
        <v>8316</v>
      </c>
      <c r="J15" s="1343"/>
      <c r="K15" s="1343"/>
      <c r="L15" s="1340">
        <f t="shared" si="0"/>
        <v>19627</v>
      </c>
      <c r="M15" s="1343"/>
    </row>
    <row r="16" spans="2:14" ht="20.100000000000001" customHeight="1" x14ac:dyDescent="0.2">
      <c r="B16" s="1959" t="s">
        <v>2188</v>
      </c>
      <c r="C16" s="1341" t="s">
        <v>2190</v>
      </c>
      <c r="D16" s="1342" t="s">
        <v>2189</v>
      </c>
      <c r="E16" s="1343"/>
      <c r="F16" s="1343">
        <v>6923</v>
      </c>
      <c r="G16" s="1343"/>
      <c r="H16" s="1343"/>
      <c r="I16" s="1343">
        <v>6923</v>
      </c>
      <c r="J16" s="1343"/>
      <c r="K16" s="1343"/>
      <c r="L16" s="1340">
        <f t="shared" si="0"/>
        <v>6923</v>
      </c>
      <c r="M16" s="1343"/>
    </row>
    <row r="17" spans="2:14" ht="20.100000000000001" customHeight="1" x14ac:dyDescent="0.2">
      <c r="B17" s="1959" t="s">
        <v>781</v>
      </c>
      <c r="C17" s="1341" t="s">
        <v>2192</v>
      </c>
      <c r="D17" s="1342" t="s">
        <v>2193</v>
      </c>
      <c r="E17" s="1343">
        <v>41500</v>
      </c>
      <c r="F17" s="1343"/>
      <c r="G17" s="1343">
        <v>41500</v>
      </c>
      <c r="H17" s="1343"/>
      <c r="I17" s="1343"/>
      <c r="J17" s="1343"/>
      <c r="K17" s="1343"/>
      <c r="L17" s="1340">
        <f t="shared" si="0"/>
        <v>41500</v>
      </c>
      <c r="M17" s="1343"/>
    </row>
    <row r="18" spans="2:14" ht="20.100000000000001" customHeight="1" x14ac:dyDescent="0.2">
      <c r="B18" s="1959" t="s">
        <v>781</v>
      </c>
      <c r="C18" s="1341" t="s">
        <v>2192</v>
      </c>
      <c r="D18" s="1342" t="s">
        <v>2194</v>
      </c>
      <c r="E18" s="1343"/>
      <c r="F18" s="1343">
        <v>57710</v>
      </c>
      <c r="G18" s="1343"/>
      <c r="H18" s="1343"/>
      <c r="I18" s="1343">
        <v>57710</v>
      </c>
      <c r="J18" s="1343"/>
      <c r="K18" s="1343"/>
      <c r="L18" s="1340">
        <f t="shared" si="0"/>
        <v>57710</v>
      </c>
      <c r="M18" s="1343"/>
    </row>
    <row r="19" spans="2:14" ht="20.100000000000001" customHeight="1" x14ac:dyDescent="0.2">
      <c r="B19" s="1960" t="s">
        <v>2195</v>
      </c>
      <c r="C19" s="1341"/>
      <c r="D19" s="1342"/>
      <c r="E19" s="1343">
        <f>SUM(E13:E18)</f>
        <v>319976</v>
      </c>
      <c r="F19" s="1343">
        <f>SUM(F13:F18)</f>
        <v>260709</v>
      </c>
      <c r="G19" s="1343">
        <f>SUM(G13:G18)</f>
        <v>319976</v>
      </c>
      <c r="H19" s="1343"/>
      <c r="I19" s="1343">
        <f>SUM(I13:I18)</f>
        <v>291539</v>
      </c>
      <c r="J19" s="1343"/>
      <c r="K19" s="1343"/>
      <c r="L19" s="1340">
        <f t="shared" si="0"/>
        <v>611515</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2177</v>
      </c>
      <c r="C21" s="1341"/>
      <c r="D21" s="1342"/>
      <c r="E21" s="1343"/>
      <c r="F21" s="1343"/>
      <c r="G21" s="1343"/>
      <c r="H21" s="1343"/>
      <c r="I21" s="1343"/>
      <c r="J21" s="1343"/>
      <c r="K21" s="1343"/>
      <c r="L21" s="1340">
        <f t="shared" si="0"/>
        <v>0</v>
      </c>
      <c r="M21" s="1343"/>
    </row>
    <row r="22" spans="2:14" ht="20.100000000000001" customHeight="1" x14ac:dyDescent="0.2">
      <c r="B22" s="1962" t="s">
        <v>2196</v>
      </c>
      <c r="C22" s="1341"/>
      <c r="D22" s="1342"/>
      <c r="E22" s="1343"/>
      <c r="F22" s="1343"/>
      <c r="G22" s="1343"/>
      <c r="H22" s="1343"/>
      <c r="I22" s="1343"/>
      <c r="J22" s="1343"/>
      <c r="K22" s="1343"/>
      <c r="L22" s="1340">
        <f t="shared" si="0"/>
        <v>0</v>
      </c>
      <c r="M22" s="1343"/>
    </row>
    <row r="23" spans="2:14" ht="20.100000000000001" customHeight="1" x14ac:dyDescent="0.2">
      <c r="B23" s="1959" t="s">
        <v>2197</v>
      </c>
      <c r="C23" s="1341" t="s">
        <v>2198</v>
      </c>
      <c r="D23" s="1342" t="s">
        <v>2199</v>
      </c>
      <c r="E23" s="1343">
        <v>116090</v>
      </c>
      <c r="F23" s="1343">
        <v>31321</v>
      </c>
      <c r="G23" s="1343">
        <v>116090</v>
      </c>
      <c r="H23" s="1343"/>
      <c r="I23" s="1343">
        <v>31321</v>
      </c>
      <c r="J23" s="1343"/>
      <c r="K23" s="1343"/>
      <c r="L23" s="1340">
        <f t="shared" si="0"/>
        <v>147411</v>
      </c>
      <c r="M23" s="1343"/>
    </row>
    <row r="24" spans="2:14" ht="20.100000000000001" customHeight="1" x14ac:dyDescent="0.2">
      <c r="B24" s="1959" t="s">
        <v>2197</v>
      </c>
      <c r="C24" s="1341" t="s">
        <v>2198</v>
      </c>
      <c r="D24" s="1342" t="s">
        <v>2200</v>
      </c>
      <c r="E24" s="1343"/>
      <c r="F24" s="1343">
        <v>5238</v>
      </c>
      <c r="G24" s="1343"/>
      <c r="H24" s="1343"/>
      <c r="I24" s="1343">
        <v>5238</v>
      </c>
      <c r="J24" s="1343"/>
      <c r="K24" s="1343"/>
      <c r="L24" s="1340">
        <f t="shared" si="0"/>
        <v>5238</v>
      </c>
      <c r="M24" s="1343"/>
    </row>
    <row r="25" spans="2:14" ht="20.100000000000001" customHeight="1" x14ac:dyDescent="0.2">
      <c r="B25" s="1960" t="s">
        <v>2195</v>
      </c>
      <c r="C25" s="1341"/>
      <c r="D25" s="1342"/>
      <c r="E25" s="1963">
        <f>SUM(E23:E24)</f>
        <v>116090</v>
      </c>
      <c r="F25" s="1963">
        <f>SUM(F23:F24)</f>
        <v>36559</v>
      </c>
      <c r="G25" s="1963">
        <f>SUM(G23:G24)</f>
        <v>116090</v>
      </c>
      <c r="H25" s="1963"/>
      <c r="I25" s="1963">
        <f>SUM(I23:I24)</f>
        <v>36559</v>
      </c>
      <c r="J25" s="1343"/>
      <c r="K25" s="1343"/>
      <c r="L25" s="1340">
        <f t="shared" si="0"/>
        <v>152649</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D14" sqref="D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Kaneland CUSD 302</v>
      </c>
      <c r="C1" s="2473"/>
      <c r="D1" s="2473"/>
      <c r="E1" s="2473"/>
      <c r="F1" s="2473"/>
      <c r="G1" s="2473"/>
      <c r="H1" s="2473"/>
      <c r="I1" s="2473"/>
      <c r="J1" s="2473"/>
      <c r="K1" s="2473"/>
      <c r="L1" s="2473"/>
      <c r="M1" s="2473"/>
    </row>
    <row r="2" spans="2:14" ht="15" x14ac:dyDescent="0.2">
      <c r="B2" s="2462">
        <f>'Single Audit Cover'!E7</f>
        <v>31045302026</v>
      </c>
      <c r="C2" s="2462"/>
      <c r="D2" s="2462"/>
      <c r="E2" s="2462"/>
      <c r="F2" s="2462"/>
      <c r="G2" s="2462"/>
      <c r="H2" s="2462"/>
      <c r="I2" s="2462"/>
      <c r="J2" s="2462"/>
      <c r="K2" s="2462"/>
      <c r="L2" s="2462"/>
      <c r="M2" s="2462"/>
      <c r="N2" s="1302"/>
    </row>
    <row r="3" spans="2:14" ht="15" x14ac:dyDescent="0.2">
      <c r="B3" s="2474" t="s">
        <v>1280</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7" t="s">
        <v>2201</v>
      </c>
      <c r="C11" s="1338"/>
      <c r="D11" s="1339"/>
      <c r="E11" s="1340"/>
      <c r="F11" s="1340"/>
      <c r="G11" s="1340"/>
      <c r="H11" s="1340"/>
      <c r="I11" s="1340"/>
      <c r="J11" s="1340"/>
      <c r="K11" s="1340"/>
      <c r="L11" s="1340">
        <f>+G11+I11+K11</f>
        <v>0</v>
      </c>
      <c r="M11" s="1340"/>
    </row>
    <row r="12" spans="2:14" ht="20.100000000000001" customHeight="1" x14ac:dyDescent="0.2">
      <c r="B12" s="1337" t="s">
        <v>2202</v>
      </c>
      <c r="C12" s="1341"/>
      <c r="D12" s="1342"/>
      <c r="E12" s="1343"/>
      <c r="F12" s="1343"/>
      <c r="G12" s="1343"/>
      <c r="H12" s="1343"/>
      <c r="I12" s="1343"/>
      <c r="J12" s="1343"/>
      <c r="K12" s="1343"/>
      <c r="L12" s="1340">
        <f t="shared" ref="L12:L27" si="0">+G12+I12+K12</f>
        <v>0</v>
      </c>
      <c r="M12" s="1343"/>
    </row>
    <row r="13" spans="2:14" ht="20.100000000000001" customHeight="1" x14ac:dyDescent="0.2">
      <c r="B13" s="1962" t="s">
        <v>2203</v>
      </c>
      <c r="C13" s="1341"/>
      <c r="D13" s="1342"/>
      <c r="E13" s="1343"/>
      <c r="F13" s="1343"/>
      <c r="G13" s="1343"/>
      <c r="H13" s="1343"/>
      <c r="I13" s="1343"/>
      <c r="J13" s="1343"/>
      <c r="K13" s="1343"/>
      <c r="L13" s="1340">
        <f t="shared" si="0"/>
        <v>0</v>
      </c>
      <c r="M13" s="1343"/>
    </row>
    <row r="14" spans="2:14" ht="20.100000000000001" customHeight="1" x14ac:dyDescent="0.2">
      <c r="B14" s="1959" t="s">
        <v>2204</v>
      </c>
      <c r="C14" s="1341" t="s">
        <v>2205</v>
      </c>
      <c r="D14" s="1342" t="s">
        <v>2209</v>
      </c>
      <c r="E14" s="1343">
        <v>11517</v>
      </c>
      <c r="F14" s="1343"/>
      <c r="G14" s="1343">
        <v>11517</v>
      </c>
      <c r="H14" s="1343"/>
      <c r="I14" s="1343"/>
      <c r="J14" s="1343"/>
      <c r="K14" s="1343"/>
      <c r="L14" s="1340">
        <f t="shared" si="0"/>
        <v>11517</v>
      </c>
      <c r="M14" s="1343"/>
    </row>
    <row r="15" spans="2:14" ht="20.100000000000001" customHeight="1" x14ac:dyDescent="0.2">
      <c r="B15" s="1959" t="s">
        <v>2204</v>
      </c>
      <c r="C15" s="1341" t="s">
        <v>2205</v>
      </c>
      <c r="D15" s="1342" t="s">
        <v>2206</v>
      </c>
      <c r="E15" s="1343"/>
      <c r="F15" s="1343">
        <v>7308</v>
      </c>
      <c r="G15" s="1343"/>
      <c r="H15" s="1343"/>
      <c r="I15" s="1343">
        <v>7308</v>
      </c>
      <c r="J15" s="1343"/>
      <c r="K15" s="1343"/>
      <c r="L15" s="1340">
        <f t="shared" si="0"/>
        <v>7308</v>
      </c>
      <c r="M15" s="1343"/>
    </row>
    <row r="16" spans="2:14" ht="20.100000000000001" customHeight="1" x14ac:dyDescent="0.2">
      <c r="B16" s="1959" t="s">
        <v>2207</v>
      </c>
      <c r="C16" s="1341" t="s">
        <v>2198</v>
      </c>
      <c r="D16" s="1342" t="s">
        <v>2210</v>
      </c>
      <c r="E16" s="1343">
        <v>747072</v>
      </c>
      <c r="F16" s="1343"/>
      <c r="G16" s="1343">
        <v>747072</v>
      </c>
      <c r="H16" s="1343"/>
      <c r="I16" s="1343"/>
      <c r="J16" s="1343"/>
      <c r="K16" s="1343"/>
      <c r="L16" s="1340">
        <f t="shared" si="0"/>
        <v>747072</v>
      </c>
      <c r="M16" s="1343"/>
    </row>
    <row r="17" spans="2:14" ht="20.100000000000001" customHeight="1" x14ac:dyDescent="0.2">
      <c r="B17" s="1959" t="s">
        <v>2207</v>
      </c>
      <c r="C17" s="1341" t="s">
        <v>2198</v>
      </c>
      <c r="D17" s="1342" t="s">
        <v>2208</v>
      </c>
      <c r="E17" s="1343"/>
      <c r="F17" s="1343">
        <v>713447</v>
      </c>
      <c r="G17" s="1343"/>
      <c r="H17" s="1343"/>
      <c r="I17" s="1343">
        <v>713447</v>
      </c>
      <c r="J17" s="1343"/>
      <c r="K17" s="1343"/>
      <c r="L17" s="1340">
        <f t="shared" si="0"/>
        <v>713447</v>
      </c>
      <c r="M17" s="1343"/>
    </row>
    <row r="18" spans="2:14" ht="20.100000000000001" customHeight="1" x14ac:dyDescent="0.2">
      <c r="B18" s="1960" t="s">
        <v>2211</v>
      </c>
      <c r="C18" s="1341"/>
      <c r="D18" s="1342"/>
      <c r="E18" s="1343">
        <f>SUM(E14:E17)</f>
        <v>758589</v>
      </c>
      <c r="F18" s="1343">
        <f>SUM(F14:F17)</f>
        <v>720755</v>
      </c>
      <c r="G18" s="1343">
        <f>SUM(G14:G17)</f>
        <v>758589</v>
      </c>
      <c r="H18" s="1343"/>
      <c r="I18" s="1343">
        <f>SUM(I14:I17)</f>
        <v>720755</v>
      </c>
      <c r="J18" s="1343"/>
      <c r="K18" s="1343"/>
      <c r="L18" s="1340">
        <f t="shared" si="0"/>
        <v>1479344</v>
      </c>
      <c r="M18" s="1343"/>
    </row>
    <row r="19" spans="2:14" ht="20.100000000000001" customHeight="1" x14ac:dyDescent="0.2">
      <c r="B19" s="1966" t="s">
        <v>2212</v>
      </c>
      <c r="C19" s="1341"/>
      <c r="D19" s="1342"/>
      <c r="E19" s="1343">
        <f>E18+' SEFA (PG 2)'!E25</f>
        <v>874679</v>
      </c>
      <c r="F19" s="1343">
        <f>F18+' SEFA (PG 2)'!F25</f>
        <v>757314</v>
      </c>
      <c r="G19" s="1343">
        <f>G18+' SEFA (PG 2)'!G25</f>
        <v>874679</v>
      </c>
      <c r="H19" s="1343"/>
      <c r="I19" s="1343">
        <f>I18+' SEFA (PG 2)'!I25</f>
        <v>757314</v>
      </c>
      <c r="J19" s="1343"/>
      <c r="K19" s="1343"/>
      <c r="L19" s="1340">
        <f t="shared" si="0"/>
        <v>1631993</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2213</v>
      </c>
      <c r="C21" s="1341"/>
      <c r="D21" s="1342"/>
      <c r="E21" s="1343"/>
      <c r="F21" s="1343"/>
      <c r="G21" s="1343"/>
      <c r="H21" s="1343"/>
      <c r="I21" s="1343"/>
      <c r="J21" s="1343"/>
      <c r="K21" s="1343"/>
      <c r="L21" s="1340">
        <f t="shared" si="0"/>
        <v>0</v>
      </c>
      <c r="M21" s="1343"/>
    </row>
    <row r="22" spans="2:14" ht="20.100000000000001" customHeight="1" x14ac:dyDescent="0.2">
      <c r="B22" s="1957" t="s">
        <v>2214</v>
      </c>
      <c r="C22" s="1341" t="s">
        <v>2215</v>
      </c>
      <c r="D22" s="1342" t="s">
        <v>2216</v>
      </c>
      <c r="E22" s="1343">
        <v>23260</v>
      </c>
      <c r="F22" s="1343"/>
      <c r="G22" s="1343">
        <v>23260</v>
      </c>
      <c r="H22" s="1343"/>
      <c r="I22" s="1343"/>
      <c r="J22" s="1343"/>
      <c r="K22" s="1343"/>
      <c r="L22" s="1340">
        <f t="shared" si="0"/>
        <v>23260</v>
      </c>
      <c r="M22" s="1343"/>
    </row>
    <row r="23" spans="2:14" ht="20.100000000000001" customHeight="1" x14ac:dyDescent="0.2">
      <c r="B23" s="1957" t="s">
        <v>2214</v>
      </c>
      <c r="C23" s="1341" t="s">
        <v>2215</v>
      </c>
      <c r="D23" s="1342" t="s">
        <v>2217</v>
      </c>
      <c r="E23" s="1343"/>
      <c r="F23" s="1343">
        <v>17253</v>
      </c>
      <c r="G23" s="1343"/>
      <c r="H23" s="1343"/>
      <c r="I23" s="1343">
        <v>17253</v>
      </c>
      <c r="J23" s="1343"/>
      <c r="K23" s="1343"/>
      <c r="L23" s="1340">
        <f t="shared" si="0"/>
        <v>17253</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965" t="s">
        <v>2218</v>
      </c>
      <c r="C25" s="1341"/>
      <c r="D25" s="1342"/>
      <c r="E25" s="1343">
        <f>E23+E22+E19+' SEFA (PG 2)'!E19</f>
        <v>1217915</v>
      </c>
      <c r="F25" s="1343">
        <f>F23+F22+F19+' SEFA (PG 2)'!F19</f>
        <v>1035276</v>
      </c>
      <c r="G25" s="1343">
        <f>G23+G22+G19+' SEFA (PG 2)'!G19</f>
        <v>1217915</v>
      </c>
      <c r="H25" s="1343"/>
      <c r="I25" s="1343">
        <f>I23+I22+I19+' SEFA (PG 2)'!I19</f>
        <v>1066106</v>
      </c>
      <c r="J25" s="1343"/>
      <c r="K25" s="1343"/>
      <c r="L25" s="1340">
        <f t="shared" si="0"/>
        <v>2284021</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D14" sqref="D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Kaneland CUSD 302</v>
      </c>
      <c r="C1" s="2473"/>
      <c r="D1" s="2473"/>
      <c r="E1" s="2473"/>
      <c r="F1" s="2473"/>
      <c r="G1" s="2473"/>
      <c r="H1" s="2473"/>
      <c r="I1" s="2473"/>
      <c r="J1" s="2473"/>
      <c r="K1" s="2473"/>
      <c r="L1" s="2473"/>
      <c r="M1" s="2473"/>
    </row>
    <row r="2" spans="2:14" ht="15" x14ac:dyDescent="0.2">
      <c r="B2" s="2462">
        <f>'Single Audit Cover'!E7</f>
        <v>31045302026</v>
      </c>
      <c r="C2" s="2462"/>
      <c r="D2" s="2462"/>
      <c r="E2" s="2462"/>
      <c r="F2" s="2462"/>
      <c r="G2" s="2462"/>
      <c r="H2" s="2462"/>
      <c r="I2" s="2462"/>
      <c r="J2" s="2462"/>
      <c r="K2" s="2462"/>
      <c r="L2" s="2462"/>
      <c r="M2" s="2462"/>
      <c r="N2" s="1302"/>
    </row>
    <row r="3" spans="2:14" ht="15" x14ac:dyDescent="0.2">
      <c r="B3" s="2474" t="s">
        <v>1280</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7" t="s">
        <v>2219</v>
      </c>
      <c r="C11" s="1338"/>
      <c r="D11" s="1339"/>
      <c r="E11" s="1340"/>
      <c r="F11" s="1340"/>
      <c r="G11" s="1340"/>
      <c r="H11" s="1340"/>
      <c r="I11" s="1340"/>
      <c r="J11" s="1340"/>
      <c r="K11" s="1340"/>
      <c r="L11" s="1340">
        <f>+G11+I11+K11</f>
        <v>0</v>
      </c>
      <c r="M11" s="1340"/>
    </row>
    <row r="12" spans="2:14" ht="20.100000000000001" customHeight="1" x14ac:dyDescent="0.2">
      <c r="B12" s="1337" t="s">
        <v>2220</v>
      </c>
      <c r="C12" s="1341"/>
      <c r="D12" s="1342"/>
      <c r="E12" s="1343"/>
      <c r="F12" s="1343"/>
      <c r="G12" s="1343"/>
      <c r="H12" s="1343"/>
      <c r="I12" s="1343"/>
      <c r="J12" s="1343"/>
      <c r="K12" s="1343"/>
      <c r="L12" s="1340">
        <f t="shared" ref="L12:L27" si="0">+G12+I12+K12</f>
        <v>0</v>
      </c>
      <c r="M12" s="1343"/>
    </row>
    <row r="13" spans="2:14" ht="20.100000000000001" customHeight="1" x14ac:dyDescent="0.2">
      <c r="B13" s="1957" t="s">
        <v>2221</v>
      </c>
      <c r="C13" s="1341">
        <v>93.778000000000006</v>
      </c>
      <c r="D13" s="1342" t="s">
        <v>2222</v>
      </c>
      <c r="E13" s="1343">
        <v>92036</v>
      </c>
      <c r="F13" s="1343"/>
      <c r="G13" s="1343">
        <v>92036</v>
      </c>
      <c r="H13" s="1343"/>
      <c r="I13" s="1343"/>
      <c r="J13" s="1343"/>
      <c r="K13" s="1343"/>
      <c r="L13" s="1340">
        <f t="shared" si="0"/>
        <v>92036</v>
      </c>
      <c r="M13" s="1343"/>
    </row>
    <row r="14" spans="2:14" ht="20.100000000000001" customHeight="1" x14ac:dyDescent="0.2">
      <c r="B14" s="1957" t="s">
        <v>2221</v>
      </c>
      <c r="C14" s="1341">
        <v>93.778000000000006</v>
      </c>
      <c r="D14" s="1342" t="s">
        <v>2223</v>
      </c>
      <c r="E14" s="1343"/>
      <c r="F14" s="1343">
        <v>85227</v>
      </c>
      <c r="G14" s="1343"/>
      <c r="H14" s="1343"/>
      <c r="I14" s="1343">
        <v>85227</v>
      </c>
      <c r="J14" s="1343"/>
      <c r="K14" s="1343"/>
      <c r="L14" s="1340">
        <f t="shared" si="0"/>
        <v>85227</v>
      </c>
      <c r="M14" s="1343"/>
    </row>
    <row r="15" spans="2:14" ht="20.100000000000001" customHeight="1" x14ac:dyDescent="0.2">
      <c r="B15" s="1965" t="s">
        <v>2224</v>
      </c>
      <c r="C15" s="1341"/>
      <c r="D15" s="1342"/>
      <c r="E15" s="1343">
        <f>SUM(E13:E14)</f>
        <v>92036</v>
      </c>
      <c r="F15" s="1343">
        <f>SUM(F13:F14)</f>
        <v>85227</v>
      </c>
      <c r="G15" s="1343">
        <f>SUM(G13:G14)</f>
        <v>92036</v>
      </c>
      <c r="H15" s="1343"/>
      <c r="I15" s="1343">
        <f>SUM(I13:I14)</f>
        <v>85227</v>
      </c>
      <c r="J15" s="1343"/>
      <c r="K15" s="1343"/>
      <c r="L15" s="1340">
        <f t="shared" si="0"/>
        <v>177263</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964" t="s">
        <v>2225</v>
      </c>
      <c r="C17" s="1341"/>
      <c r="D17" s="1342"/>
      <c r="E17" s="1343">
        <f>E15+' SEFA (PG 3)'!E25+' SEFA'!E22</f>
        <v>1379741</v>
      </c>
      <c r="F17" s="1343">
        <f>F15+' SEFA (PG 3)'!F25+' SEFA'!F22</f>
        <v>1198125</v>
      </c>
      <c r="G17" s="1343">
        <f>G15+' SEFA (PG 3)'!G25+' SEFA'!G22</f>
        <v>1379741</v>
      </c>
      <c r="H17" s="1343"/>
      <c r="I17" s="1343">
        <f>I15+' SEFA (PG 3)'!I25+' SEFA'!I22</f>
        <v>1228955</v>
      </c>
      <c r="J17" s="1343"/>
      <c r="K17" s="1343"/>
      <c r="L17" s="1340">
        <f t="shared" si="0"/>
        <v>2608696</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6" zoomScale="110" zoomScaleNormal="110" workbookViewId="0">
      <selection activeCell="D14" sqref="D14"/>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Kaneland CUSD 302</v>
      </c>
      <c r="C1" s="2481"/>
      <c r="D1" s="2481"/>
      <c r="E1" s="2481"/>
      <c r="F1" s="2481"/>
      <c r="G1" s="2481"/>
      <c r="H1" s="2481"/>
      <c r="I1" s="2481"/>
      <c r="J1" s="1422"/>
    </row>
    <row r="2" spans="2:10" s="317" customFormat="1" ht="12.75" customHeight="1" x14ac:dyDescent="0.2">
      <c r="B2" s="2482">
        <f>'Single Audit Cover'!E7</f>
        <v>31045302026</v>
      </c>
      <c r="C2" s="2483"/>
      <c r="D2" s="2483"/>
      <c r="E2" s="2483"/>
      <c r="F2" s="2483"/>
      <c r="G2" s="2483"/>
      <c r="H2" s="2483"/>
      <c r="I2" s="2483"/>
      <c r="J2" s="1422"/>
    </row>
    <row r="3" spans="2:10" s="317" customFormat="1" ht="12.75" customHeight="1" x14ac:dyDescent="0.2">
      <c r="B3" s="2484" t="s">
        <v>1346</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1345</v>
      </c>
      <c r="C7" s="2485"/>
      <c r="D7" s="2485"/>
      <c r="E7" s="2485"/>
      <c r="F7" s="2485"/>
      <c r="G7" s="2485"/>
      <c r="H7" s="2485"/>
      <c r="I7" s="2485"/>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6" t="s">
        <v>2229</v>
      </c>
      <c r="D11" s="2486"/>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2081</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2081</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2081</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2081</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2081</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7" t="s">
        <v>2229</v>
      </c>
      <c r="E29" s="2487"/>
      <c r="F29" s="2487"/>
      <c r="G29" s="2487"/>
      <c r="H29" s="2487"/>
      <c r="I29" s="2487"/>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2081</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8" t="s">
        <v>1853</v>
      </c>
      <c r="D37" s="2489"/>
      <c r="E37" s="2489"/>
      <c r="F37" s="2490"/>
      <c r="G37" s="2488" t="s">
        <v>1673</v>
      </c>
      <c r="H37" s="2489"/>
      <c r="I37" s="2490"/>
    </row>
    <row r="38" spans="2:9" ht="16.5" customHeight="1" x14ac:dyDescent="0.2">
      <c r="B38" s="1444">
        <v>84.027000000000001</v>
      </c>
      <c r="C38" s="2476" t="s">
        <v>2230</v>
      </c>
      <c r="D38" s="2477"/>
      <c r="E38" s="2477"/>
      <c r="F38" s="2478"/>
      <c r="G38" s="2491">
        <f>36559+713447</f>
        <v>750006</v>
      </c>
      <c r="H38" s="2492"/>
      <c r="I38" s="2493"/>
    </row>
    <row r="39" spans="2:9" ht="16.5" customHeight="1" x14ac:dyDescent="0.2">
      <c r="B39" s="1444">
        <v>84.173000000000002</v>
      </c>
      <c r="C39" s="2476" t="s">
        <v>2231</v>
      </c>
      <c r="D39" s="2477"/>
      <c r="E39" s="2477"/>
      <c r="F39" s="2478"/>
      <c r="G39" s="2479">
        <v>7308</v>
      </c>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94" t="s">
        <v>1674</v>
      </c>
      <c r="D43" s="2495"/>
      <c r="E43" s="2495"/>
      <c r="F43" s="2496"/>
      <c r="G43" s="2497">
        <f>SUM(G38:I42)</f>
        <v>757314</v>
      </c>
      <c r="H43" s="2497"/>
      <c r="I43" s="2497"/>
    </row>
    <row r="44" spans="2:9" ht="12.75" customHeight="1" x14ac:dyDescent="0.2"/>
    <row r="45" spans="2:9" ht="12.75" customHeight="1" x14ac:dyDescent="0.2">
      <c r="B45" s="1435" t="s">
        <v>1951</v>
      </c>
      <c r="D45" s="2498">
        <v>1198125</v>
      </c>
      <c r="E45" s="2499"/>
    </row>
    <row r="46" spans="2:9" ht="5.25" customHeight="1" x14ac:dyDescent="0.2">
      <c r="B46" s="1445"/>
      <c r="D46" s="1446"/>
      <c r="E46" s="1447"/>
    </row>
    <row r="47" spans="2:9" ht="12.75" customHeight="1" x14ac:dyDescent="0.2">
      <c r="B47" s="1300" t="s">
        <v>1675</v>
      </c>
      <c r="C47" s="1300"/>
      <c r="D47" s="1448">
        <f>+G43/D45</f>
        <v>0.63208262910798119</v>
      </c>
      <c r="E47" s="1449"/>
      <c r="F47" s="1450"/>
      <c r="I47" s="1451"/>
    </row>
    <row r="48" spans="2:9" ht="9.9499999999999993" customHeight="1" x14ac:dyDescent="0.2"/>
    <row r="49" spans="1:9" x14ac:dyDescent="0.2">
      <c r="B49" s="1368" t="s">
        <v>1334</v>
      </c>
      <c r="C49" s="1282"/>
      <c r="D49" s="1282"/>
      <c r="E49" s="2500">
        <v>750000</v>
      </c>
      <c r="F49" s="2500"/>
      <c r="G49" s="2500"/>
      <c r="H49" s="322"/>
    </row>
    <row r="51" spans="1:9" ht="13.5" customHeight="1" x14ac:dyDescent="0.2">
      <c r="B51" s="1368" t="s">
        <v>1333</v>
      </c>
      <c r="C51" s="1282"/>
      <c r="E51" s="1438" t="s">
        <v>2081</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4" sqref="D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Kaneland CUSD 302</v>
      </c>
      <c r="C1" s="2480"/>
      <c r="D1" s="2480"/>
      <c r="E1" s="2480"/>
      <c r="F1" s="2480"/>
      <c r="G1" s="2480"/>
      <c r="H1" s="2480"/>
      <c r="I1" s="2480"/>
      <c r="J1" s="2480"/>
      <c r="K1" s="2480"/>
      <c r="L1" s="1374"/>
      <c r="M1" s="1374"/>
    </row>
    <row r="2" spans="1:13" ht="12" customHeight="1" x14ac:dyDescent="0.2">
      <c r="B2" s="2482">
        <f>'Single Audit Cover'!E7</f>
        <v>31045302026</v>
      </c>
      <c r="C2" s="2482"/>
      <c r="D2" s="2482"/>
      <c r="E2" s="2482"/>
      <c r="F2" s="2482"/>
      <c r="G2" s="2482"/>
      <c r="H2" s="2482"/>
      <c r="I2" s="2482"/>
      <c r="J2" s="2482"/>
      <c r="K2" s="2482"/>
      <c r="L2" s="1375"/>
      <c r="M2" s="1376"/>
    </row>
    <row r="3" spans="1:13" ht="10.35" customHeight="1" x14ac:dyDescent="0.2">
      <c r="B3" s="2503" t="s">
        <v>1346</v>
      </c>
      <c r="C3" s="2503"/>
      <c r="D3" s="2503"/>
      <c r="E3" s="2503"/>
      <c r="F3" s="2503"/>
      <c r="G3" s="2503"/>
      <c r="H3" s="2503"/>
      <c r="I3" s="2503"/>
      <c r="J3" s="2503"/>
      <c r="K3" s="2503"/>
      <c r="L3" s="1377"/>
      <c r="M3" s="1377"/>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4" t="s">
        <v>1362</v>
      </c>
      <c r="C7" s="2504"/>
      <c r="D7" s="2505"/>
      <c r="E7" s="2505"/>
      <c r="F7" s="2505"/>
      <c r="G7" s="2505"/>
      <c r="H7" s="2505"/>
      <c r="I7" s="2505"/>
      <c r="J7" s="2505"/>
      <c r="K7" s="250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02"/>
      <c r="C14" s="2502"/>
      <c r="D14" s="2502"/>
      <c r="E14" s="2502"/>
      <c r="F14" s="2502"/>
      <c r="G14" s="2502"/>
      <c r="H14" s="2502"/>
      <c r="I14" s="2502"/>
      <c r="J14" s="2502"/>
      <c r="K14" s="250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02"/>
      <c r="C17" s="2502"/>
      <c r="D17" s="2502"/>
      <c r="E17" s="2502"/>
      <c r="F17" s="2502"/>
      <c r="G17" s="2502"/>
      <c r="H17" s="2502"/>
      <c r="I17" s="2502"/>
      <c r="J17" s="2502"/>
      <c r="K17" s="2502"/>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506"/>
      <c r="C20" s="2506"/>
      <c r="D20" s="2502"/>
      <c r="E20" s="2502"/>
      <c r="F20" s="2502"/>
      <c r="G20" s="2502"/>
      <c r="H20" s="2502"/>
      <c r="I20" s="2502"/>
      <c r="J20" s="2502"/>
      <c r="K20" s="2502"/>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02"/>
      <c r="C23" s="2502"/>
      <c r="D23" s="2502"/>
      <c r="E23" s="2502"/>
      <c r="F23" s="2502"/>
      <c r="G23" s="2502"/>
      <c r="H23" s="2502"/>
      <c r="I23" s="2502"/>
      <c r="J23" s="2502"/>
      <c r="K23" s="2502"/>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02"/>
      <c r="C26" s="2502"/>
      <c r="D26" s="2502"/>
      <c r="E26" s="2502"/>
      <c r="F26" s="2502"/>
      <c r="G26" s="2502"/>
      <c r="H26" s="2502"/>
      <c r="I26" s="2502"/>
      <c r="J26" s="2502"/>
      <c r="K26" s="2502"/>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01"/>
      <c r="C29" s="2501"/>
      <c r="D29" s="2502"/>
      <c r="E29" s="2502"/>
      <c r="F29" s="2502"/>
      <c r="G29" s="2502"/>
      <c r="H29" s="2502"/>
      <c r="I29" s="2502"/>
      <c r="J29" s="2502"/>
      <c r="K29" s="250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501"/>
      <c r="C32" s="2501"/>
      <c r="D32" s="2502"/>
      <c r="E32" s="2502"/>
      <c r="F32" s="2502"/>
      <c r="G32" s="2502"/>
      <c r="H32" s="2502"/>
      <c r="I32" s="2502"/>
      <c r="J32" s="2502"/>
      <c r="K32" s="250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14" sqref="D1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Kaneland CUSD 302</v>
      </c>
      <c r="C1" s="2507"/>
      <c r="D1" s="2507"/>
      <c r="E1" s="2507"/>
      <c r="F1" s="2507"/>
      <c r="G1" s="2507"/>
      <c r="H1" s="2507"/>
      <c r="I1" s="2507"/>
      <c r="J1" s="2507"/>
      <c r="K1" s="2507"/>
      <c r="L1" s="1465"/>
    </row>
    <row r="2" spans="1:12" ht="12.75" customHeight="1" x14ac:dyDescent="0.2">
      <c r="B2" s="2508">
        <f>'Single Audit Cover'!E7</f>
        <v>31045302026</v>
      </c>
      <c r="C2" s="2508"/>
      <c r="D2" s="2508"/>
      <c r="E2" s="2508"/>
      <c r="F2" s="2508"/>
      <c r="G2" s="2508"/>
      <c r="H2" s="2508"/>
      <c r="I2" s="2508"/>
      <c r="J2" s="2508"/>
      <c r="K2" s="2508"/>
      <c r="L2" s="1466"/>
    </row>
    <row r="3" spans="1:12" ht="12.75" customHeight="1" x14ac:dyDescent="0.2">
      <c r="B3" s="2503" t="s">
        <v>1346</v>
      </c>
      <c r="C3" s="2503"/>
      <c r="D3" s="2503"/>
      <c r="E3" s="2503"/>
      <c r="F3" s="2503"/>
      <c r="G3" s="2503"/>
      <c r="H3" s="2503"/>
      <c r="I3" s="2503"/>
      <c r="J3" s="2503"/>
      <c r="K3" s="2503"/>
      <c r="L3" s="1377"/>
    </row>
    <row r="4" spans="1:12" ht="12.75" customHeight="1" x14ac:dyDescent="0.2">
      <c r="B4" s="2503" t="str">
        <f>'Single Audit Cover'!A4</f>
        <v>Year Ending June 30, 2018</v>
      </c>
      <c r="C4" s="2503"/>
      <c r="D4" s="2503"/>
      <c r="E4" s="2503"/>
      <c r="F4" s="2503"/>
      <c r="G4" s="2503"/>
      <c r="H4" s="2503"/>
      <c r="I4" s="2503"/>
      <c r="J4" s="2503"/>
      <c r="K4" s="2503"/>
      <c r="L4" s="1377"/>
    </row>
    <row r="5" spans="1:12" ht="5.25" customHeight="1" x14ac:dyDescent="0.2">
      <c r="B5" s="1260" t="s">
        <v>1230</v>
      </c>
      <c r="C5" s="1260"/>
      <c r="L5" s="322"/>
    </row>
    <row r="6" spans="1:12" ht="30.75" customHeight="1" x14ac:dyDescent="0.2">
      <c r="A6" s="322"/>
      <c r="B6" s="2509" t="s">
        <v>1374</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10"/>
      <c r="E14" s="2510"/>
      <c r="F14" s="2510"/>
      <c r="H14" s="1475" t="s">
        <v>1369</v>
      </c>
      <c r="I14" s="2511"/>
      <c r="J14" s="2511"/>
      <c r="K14" s="251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11"/>
      <c r="E16" s="2511"/>
      <c r="F16" s="2511"/>
      <c r="G16" s="2511"/>
      <c r="H16" s="2511"/>
      <c r="I16" s="2511"/>
      <c r="J16" s="2511"/>
      <c r="K16" s="2511"/>
      <c r="L16" s="322"/>
    </row>
    <row r="17" spans="2:12" ht="13.5" customHeight="1" x14ac:dyDescent="0.2">
      <c r="B17" s="1387" t="s">
        <v>1367</v>
      </c>
      <c r="C17" s="1387"/>
      <c r="D17" s="2512"/>
      <c r="E17" s="2512"/>
      <c r="F17" s="2512"/>
      <c r="G17" s="2512"/>
      <c r="H17" s="2512"/>
      <c r="I17" s="2512"/>
      <c r="J17" s="2512"/>
      <c r="K17" s="251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02"/>
      <c r="C20" s="2502"/>
      <c r="D20" s="2502"/>
      <c r="E20" s="2502"/>
      <c r="F20" s="2502"/>
      <c r="G20" s="2502"/>
      <c r="H20" s="2502"/>
      <c r="I20" s="2502"/>
      <c r="J20" s="2502"/>
      <c r="K20" s="250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4" sqref="D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Kaneland CUSD 302</v>
      </c>
      <c r="C1" s="2480"/>
      <c r="D1" s="2480"/>
      <c r="E1" s="1491"/>
    </row>
    <row r="2" spans="2:5" s="1282" customFormat="1" ht="12.75" customHeight="1" x14ac:dyDescent="0.2">
      <c r="B2" s="2482">
        <f>'Single Audit Cover'!E7</f>
        <v>31045302026</v>
      </c>
      <c r="C2" s="2482"/>
      <c r="D2" s="2482"/>
      <c r="E2" s="1492"/>
    </row>
    <row r="3" spans="2:5" ht="12.75" customHeight="1" x14ac:dyDescent="0.2">
      <c r="B3" s="2503" t="s">
        <v>1868</v>
      </c>
      <c r="C3" s="2503"/>
      <c r="D3" s="2503"/>
      <c r="E3" s="1274"/>
    </row>
    <row r="4" spans="2:5" s="1282" customFormat="1" ht="12.75" customHeight="1" x14ac:dyDescent="0.2">
      <c r="B4" s="2513" t="str">
        <f>'Single Audit Cover'!A4</f>
        <v>Year Ending June 30, 2018</v>
      </c>
      <c r="C4" s="2513"/>
      <c r="D4" s="2513"/>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403</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792944225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4.1065600000000001E-2</v>
      </c>
      <c r="E10" s="356" t="s">
        <v>1061</v>
      </c>
      <c r="F10" s="355">
        <v>6.9300000000000004E-3</v>
      </c>
      <c r="G10" s="356" t="s">
        <v>1061</v>
      </c>
      <c r="H10" s="355">
        <v>1.856E-3</v>
      </c>
      <c r="I10" s="356" t="s">
        <v>1062</v>
      </c>
      <c r="J10" s="1754">
        <f>ROUND(D10+F10+H10,5)</f>
        <v>4.9849999999999998E-2</v>
      </c>
      <c r="K10" s="222"/>
      <c r="L10" s="355">
        <v>1.2400000000000001E-4</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57922479</v>
      </c>
      <c r="E16" s="356"/>
      <c r="F16" s="1755">
        <f>SUM('Acct Summary 7-8'!C17,'Acct Summary 7-8'!D17,'Acct Summary 7-8'!F17)</f>
        <v>56122304</v>
      </c>
      <c r="G16" s="356"/>
      <c r="H16" s="1755">
        <f>SUM(D16-F16)</f>
        <v>1800175</v>
      </c>
      <c r="I16" s="222"/>
      <c r="J16" s="1755">
        <f>SUM('Acct Summary 7-8'!C81,'Acct Summary 7-8'!D81,'Acct Summary 7-8'!F81,'Acct Summary 7-8'!I81)</f>
        <v>8233732</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109426303.05000001</v>
      </c>
      <c r="I31" s="368"/>
      <c r="J31" s="222"/>
      <c r="K31" s="222"/>
      <c r="L31" s="222"/>
      <c r="M31" s="222"/>
    </row>
    <row r="32" spans="1:13" ht="13.35" customHeight="1" x14ac:dyDescent="0.2">
      <c r="B32" s="369" t="s">
        <v>2146</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102970159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576</v>
      </c>
      <c r="B2" s="2130"/>
      <c r="C2" s="2130"/>
      <c r="D2" s="2130"/>
      <c r="E2" s="2130"/>
      <c r="F2" s="2130"/>
      <c r="G2" s="2130"/>
      <c r="H2" s="2130"/>
      <c r="I2" s="2130"/>
      <c r="J2" s="2130"/>
      <c r="K2" s="2130"/>
      <c r="L2" s="2130"/>
      <c r="M2" s="2130"/>
      <c r="N2" s="2130"/>
      <c r="O2" s="2130"/>
      <c r="P2" s="2130"/>
      <c r="Q2" s="2130"/>
      <c r="R2" s="2130"/>
    </row>
    <row r="3" spans="1:18" ht="12.75" x14ac:dyDescent="0.2">
      <c r="A3" s="2131" t="s">
        <v>1479</v>
      </c>
      <c r="B3" s="2131"/>
      <c r="C3" s="2131"/>
      <c r="D3" s="2131"/>
      <c r="E3" s="2131"/>
      <c r="F3" s="2131"/>
      <c r="G3" s="2131"/>
      <c r="H3" s="2131"/>
      <c r="I3" s="2131"/>
      <c r="J3" s="2131"/>
      <c r="K3" s="2131"/>
      <c r="L3" s="2131"/>
      <c r="M3" s="2131"/>
      <c r="N3" s="2131"/>
      <c r="O3" s="2131"/>
      <c r="P3" s="2131"/>
      <c r="Q3" s="2131"/>
      <c r="R3" s="2131"/>
    </row>
    <row r="4" spans="1:18" x14ac:dyDescent="0.2">
      <c r="A4" s="2132" t="s">
        <v>1634</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Kaneland CUSD 302</v>
      </c>
      <c r="E7" s="391"/>
      <c r="G7" s="252"/>
      <c r="H7" s="387"/>
      <c r="I7" s="387"/>
      <c r="J7" s="387"/>
      <c r="K7" s="387"/>
      <c r="L7" s="329"/>
      <c r="M7" s="329"/>
      <c r="N7" s="329"/>
      <c r="O7" s="329"/>
      <c r="P7" s="329"/>
    </row>
    <row r="8" spans="1:18" ht="12.75" x14ac:dyDescent="0.2">
      <c r="A8" s="329"/>
      <c r="B8" s="329"/>
      <c r="C8" s="389" t="s">
        <v>1186</v>
      </c>
      <c r="D8" s="392">
        <f>COVER!A13</f>
        <v>31045302026</v>
      </c>
      <c r="E8" s="393"/>
      <c r="G8" s="329"/>
      <c r="H8" s="329"/>
      <c r="I8" s="329"/>
      <c r="J8" s="329"/>
      <c r="K8" s="329"/>
      <c r="L8" s="329"/>
      <c r="M8" s="329"/>
      <c r="N8" s="329"/>
      <c r="O8" s="329"/>
      <c r="P8" s="329"/>
    </row>
    <row r="9" spans="1:18" ht="12.75" x14ac:dyDescent="0.2">
      <c r="A9" s="329"/>
      <c r="B9" s="329"/>
      <c r="C9" s="389" t="s">
        <v>736</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3</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8233732</v>
      </c>
      <c r="I12" s="404"/>
      <c r="J12" s="404"/>
      <c r="K12" s="405">
        <f>TRUNC((H12/H13*100000),5)/100000</f>
        <v>0.14258169470000001</v>
      </c>
      <c r="L12" s="406"/>
      <c r="M12" s="360" t="s">
        <v>1205</v>
      </c>
      <c r="N12" s="360"/>
      <c r="O12" s="407">
        <v>0.35</v>
      </c>
      <c r="P12" s="218"/>
      <c r="Q12" s="218"/>
    </row>
    <row r="13" spans="1:18" s="408" customFormat="1" ht="12.75" x14ac:dyDescent="0.2">
      <c r="A13" s="218"/>
      <c r="B13" s="401"/>
      <c r="C13" s="2128" t="s">
        <v>1390</v>
      </c>
      <c r="D13" s="2129"/>
      <c r="E13" s="218"/>
      <c r="F13" s="409" t="s">
        <v>825</v>
      </c>
      <c r="G13" s="402"/>
      <c r="H13" s="403">
        <f>SUM('Acct Summary 7-8'!C8+'Acct Summary 7-8'!D8+'Acct Summary 7-8'!F8+'Acct Summary 7-8'!I8)+H14</f>
        <v>57747469</v>
      </c>
      <c r="I13" s="404"/>
      <c r="J13" s="404"/>
      <c r="K13" s="410"/>
      <c r="L13" s="218"/>
      <c r="M13" s="360" t="s">
        <v>1206</v>
      </c>
      <c r="N13" s="360"/>
      <c r="O13" s="411">
        <f>(O11*O12)</f>
        <v>1.0499999999999998</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-175010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56122304</v>
      </c>
      <c r="I17" s="404"/>
      <c r="J17" s="416"/>
      <c r="K17" s="405">
        <f>TRUNC((H17/H18*100000),5)/100000</f>
        <v>0.97185738129999999</v>
      </c>
      <c r="L17" s="406"/>
      <c r="M17" s="417" t="s">
        <v>1232</v>
      </c>
      <c r="O17" s="418" t="str">
        <f>IF(AND(O16="2", J20 &gt; 2),"1",IF(AND(O16 = "1", J20 &gt; 2),"2",IF(AND(O16="1", J20 &gt;1),"1","0")))</f>
        <v>0</v>
      </c>
      <c r="P17" s="218"/>
    </row>
    <row r="18" spans="1:18" s="408" customFormat="1" ht="11.25" x14ac:dyDescent="0.2">
      <c r="A18" s="218"/>
      <c r="B18" s="401"/>
      <c r="C18" s="2128" t="s">
        <v>1383</v>
      </c>
      <c r="D18" s="2129"/>
      <c r="E18" s="218"/>
      <c r="F18" s="419" t="s">
        <v>826</v>
      </c>
      <c r="G18" s="402"/>
      <c r="H18" s="403">
        <f>SUM('Acct Summary 7-8'!C8+'Acct Summary 7-8'!D8+'Acct Summary 7-8'!F8+'Acct Summary 7-8'!I8)+H19</f>
        <v>57747469</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-175010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5" t="s">
        <v>1478</v>
      </c>
      <c r="D24" s="2125"/>
      <c r="E24" s="218"/>
      <c r="F24" s="218" t="s">
        <v>464</v>
      </c>
      <c r="G24" s="402"/>
      <c r="H24" s="403">
        <f>SUM('Assets-Liab 5-6'!C4+'Assets-Liab 5-6'!D4+'Assets-Liab 5-6'!F4+'Assets-Liab 5-6'!I4+'Assets-Liab 5-6'!C5+'Assets-Liab 5-6'!D5+'Assets-Liab 5-6'!F5+'Assets-Liab 5-6'!I5)</f>
        <v>34592433</v>
      </c>
      <c r="I24" s="422"/>
      <c r="J24" s="422"/>
      <c r="K24" s="423">
        <f>TRUNC(((H24/H25*100000)/100000),2)</f>
        <v>221.89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155895.28889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33599029.173809998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102970159</v>
      </c>
      <c r="I32" s="420"/>
      <c r="J32" s="420"/>
      <c r="K32" s="423">
        <f>TRUNC(100-((((H32/H33*100))*100)/100),2)</f>
        <v>5.89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109426303.05000001</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activeCell="A47" sqref="A47"/>
      <selection pane="bottomLeft" activeCell="D39" sqref="D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5" t="s">
        <v>1029</v>
      </c>
      <c r="B3" s="2136"/>
      <c r="C3" s="1581"/>
      <c r="D3" s="1582"/>
      <c r="E3" s="1582"/>
      <c r="F3" s="1582"/>
      <c r="G3" s="1582"/>
      <c r="H3" s="1582"/>
      <c r="I3" s="1582"/>
      <c r="J3" s="1582"/>
      <c r="K3" s="1582"/>
      <c r="L3" s="1582"/>
      <c r="M3" s="1583"/>
      <c r="N3" s="1584"/>
    </row>
    <row r="4" spans="1:14" ht="13.5" customHeight="1" x14ac:dyDescent="0.2">
      <c r="A4" s="463" t="s">
        <v>1749</v>
      </c>
      <c r="B4" s="464"/>
      <c r="C4" s="465">
        <f>1924351+318662+2083940</f>
        <v>4326953</v>
      </c>
      <c r="D4" s="466">
        <f>37103+262716+5385+51754</f>
        <v>356958</v>
      </c>
      <c r="E4" s="466">
        <v>6704</v>
      </c>
      <c r="F4" s="466"/>
      <c r="G4" s="466"/>
      <c r="H4" s="466"/>
      <c r="I4" s="466"/>
      <c r="J4" s="467"/>
      <c r="K4" s="466"/>
      <c r="L4" s="466">
        <v>476370</v>
      </c>
      <c r="M4" s="468"/>
      <c r="N4" s="469"/>
    </row>
    <row r="5" spans="1:14" x14ac:dyDescent="0.2">
      <c r="A5" s="463" t="s">
        <v>1048</v>
      </c>
      <c r="B5" s="470">
        <v>120</v>
      </c>
      <c r="C5" s="465">
        <v>20153882</v>
      </c>
      <c r="D5" s="466">
        <f>5337443+2363</f>
        <v>5339806</v>
      </c>
      <c r="E5" s="466">
        <v>6707032</v>
      </c>
      <c r="F5" s="466">
        <v>3151226</v>
      </c>
      <c r="G5" s="466">
        <v>2021576</v>
      </c>
      <c r="H5" s="466"/>
      <c r="I5" s="466">
        <v>1263608</v>
      </c>
      <c r="J5" s="467"/>
      <c r="K5" s="471">
        <v>74</v>
      </c>
      <c r="L5" s="472"/>
      <c r="M5" s="468"/>
      <c r="N5" s="469"/>
    </row>
    <row r="6" spans="1:14" ht="13.5" customHeight="1" x14ac:dyDescent="0.2">
      <c r="A6" s="473" t="s">
        <v>436</v>
      </c>
      <c r="B6" s="470">
        <v>130</v>
      </c>
      <c r="C6" s="465">
        <v>18240033</v>
      </c>
      <c r="D6" s="466">
        <v>2725001</v>
      </c>
      <c r="E6" s="466">
        <v>5699274</v>
      </c>
      <c r="F6" s="466">
        <v>729816</v>
      </c>
      <c r="G6" s="471">
        <v>444345</v>
      </c>
      <c r="H6" s="471"/>
      <c r="I6" s="466">
        <v>48771</v>
      </c>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236783</v>
      </c>
      <c r="D8" s="467"/>
      <c r="E8" s="467"/>
      <c r="F8" s="467">
        <v>853504</v>
      </c>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42957651</v>
      </c>
      <c r="D13" s="1759">
        <f t="shared" ref="D13:L13" si="0">SUM(D4:D12)</f>
        <v>8421765</v>
      </c>
      <c r="E13" s="1759">
        <f t="shared" si="0"/>
        <v>12413010</v>
      </c>
      <c r="F13" s="1759">
        <f t="shared" si="0"/>
        <v>4734546</v>
      </c>
      <c r="G13" s="1759">
        <f t="shared" si="0"/>
        <v>2465921</v>
      </c>
      <c r="H13" s="1759">
        <f t="shared" si="0"/>
        <v>0</v>
      </c>
      <c r="I13" s="1759">
        <f t="shared" si="0"/>
        <v>1312379</v>
      </c>
      <c r="J13" s="1759">
        <f t="shared" si="0"/>
        <v>0</v>
      </c>
      <c r="K13" s="1759">
        <f t="shared" si="0"/>
        <v>74</v>
      </c>
      <c r="L13" s="1759">
        <f t="shared" si="0"/>
        <v>476370</v>
      </c>
      <c r="M13" s="468"/>
      <c r="N13" s="469"/>
    </row>
    <row r="14" spans="1:14" ht="18" customHeight="1" thickTop="1" x14ac:dyDescent="0.2">
      <c r="A14" s="2137" t="s">
        <v>149</v>
      </c>
      <c r="B14" s="2138"/>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6156988</v>
      </c>
      <c r="N16" s="484"/>
    </row>
    <row r="17" spans="1:14" s="485" customFormat="1" ht="12.75" customHeight="1" x14ac:dyDescent="0.2">
      <c r="A17" s="482" t="s">
        <v>1469</v>
      </c>
      <c r="B17" s="483">
        <v>230</v>
      </c>
      <c r="C17" s="477"/>
      <c r="D17" s="477"/>
      <c r="E17" s="477"/>
      <c r="F17" s="477"/>
      <c r="G17" s="477"/>
      <c r="H17" s="477"/>
      <c r="I17" s="477"/>
      <c r="J17" s="477"/>
      <c r="K17" s="477"/>
      <c r="L17" s="477"/>
      <c r="M17" s="467">
        <v>132799378</v>
      </c>
      <c r="N17" s="484"/>
    </row>
    <row r="18" spans="1:14" s="485" customFormat="1" ht="12.75" customHeight="1" x14ac:dyDescent="0.2">
      <c r="A18" s="482" t="s">
        <v>1470</v>
      </c>
      <c r="B18" s="483">
        <v>240</v>
      </c>
      <c r="C18" s="477"/>
      <c r="D18" s="477"/>
      <c r="E18" s="477"/>
      <c r="F18" s="477"/>
      <c r="G18" s="477"/>
      <c r="H18" s="477"/>
      <c r="I18" s="477"/>
      <c r="J18" s="477"/>
      <c r="K18" s="477"/>
      <c r="L18" s="477"/>
      <c r="M18" s="467">
        <v>10046718</v>
      </c>
      <c r="N18" s="484"/>
    </row>
    <row r="19" spans="1:14" s="485" customFormat="1" ht="12.75" customHeight="1" x14ac:dyDescent="0.2">
      <c r="A19" s="482" t="s">
        <v>1471</v>
      </c>
      <c r="B19" s="483">
        <v>250</v>
      </c>
      <c r="C19" s="477"/>
      <c r="D19" s="477"/>
      <c r="E19" s="477"/>
      <c r="F19" s="477"/>
      <c r="G19" s="477"/>
      <c r="H19" s="477"/>
      <c r="I19" s="477"/>
      <c r="J19" s="477"/>
      <c r="K19" s="477"/>
      <c r="L19" s="477"/>
      <c r="M19" s="467">
        <v>22708435</v>
      </c>
      <c r="N19" s="484"/>
    </row>
    <row r="20" spans="1:14" s="485" customFormat="1" ht="12.75" customHeight="1" x14ac:dyDescent="0.2">
      <c r="A20" s="482" t="s">
        <v>1472</v>
      </c>
      <c r="B20" s="483">
        <v>260</v>
      </c>
      <c r="C20" s="477"/>
      <c r="D20" s="477"/>
      <c r="E20" s="477"/>
      <c r="F20" s="477"/>
      <c r="G20" s="477"/>
      <c r="H20" s="477"/>
      <c r="I20" s="477"/>
      <c r="J20" s="477"/>
      <c r="K20" s="477"/>
      <c r="L20" s="477"/>
      <c r="M20" s="467">
        <v>0</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E38</f>
        <v>920118</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102050041</v>
      </c>
    </row>
    <row r="23" spans="1:14" ht="13.5" customHeight="1" thickBot="1" x14ac:dyDescent="0.25">
      <c r="A23" s="1758" t="s">
        <v>663</v>
      </c>
      <c r="B23" s="1763"/>
      <c r="C23" s="468"/>
      <c r="D23" s="468"/>
      <c r="E23" s="468"/>
      <c r="F23" s="468"/>
      <c r="G23" s="468"/>
      <c r="H23" s="468"/>
      <c r="I23" s="468"/>
      <c r="J23" s="468"/>
      <c r="K23" s="468"/>
      <c r="L23" s="468"/>
      <c r="M23" s="1710">
        <f>SUM(M15:M22)</f>
        <v>171711519</v>
      </c>
      <c r="N23" s="1710">
        <f>SUM(N21:N22)</f>
        <v>102970159</v>
      </c>
    </row>
    <row r="24" spans="1:14" ht="18" customHeight="1" thickTop="1" x14ac:dyDescent="0.2">
      <c r="A24" s="2139" t="s">
        <v>618</v>
      </c>
      <c r="B24" s="2140"/>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v>246320</v>
      </c>
      <c r="D27" s="467">
        <v>43640</v>
      </c>
      <c r="E27" s="467"/>
      <c r="F27" s="467">
        <v>25457</v>
      </c>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3869396</v>
      </c>
      <c r="D31" s="467"/>
      <c r="E31" s="467"/>
      <c r="F31" s="466"/>
      <c r="G31" s="467"/>
      <c r="H31" s="467"/>
      <c r="I31" s="467"/>
      <c r="J31" s="467"/>
      <c r="K31" s="467"/>
      <c r="L31" s="468"/>
      <c r="M31" s="468"/>
      <c r="N31" s="468"/>
    </row>
    <row r="32" spans="1:14" ht="13.5" customHeight="1" x14ac:dyDescent="0.2">
      <c r="A32" s="490" t="s">
        <v>672</v>
      </c>
      <c r="B32" s="491">
        <v>490</v>
      </c>
      <c r="C32" s="492">
        <f>136708+36952451</f>
        <v>37089159</v>
      </c>
      <c r="D32" s="492">
        <v>5495104</v>
      </c>
      <c r="E32" s="474">
        <v>11492892</v>
      </c>
      <c r="F32" s="474">
        <v>2325208</v>
      </c>
      <c r="G32" s="474">
        <v>310041</v>
      </c>
      <c r="H32" s="474"/>
      <c r="I32" s="474">
        <v>98325</v>
      </c>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476370</v>
      </c>
      <c r="M33" s="468"/>
      <c r="N33" s="469"/>
    </row>
    <row r="34" spans="1:14" ht="13.5" customHeight="1" thickBot="1" x14ac:dyDescent="0.25">
      <c r="A34" s="1760" t="s">
        <v>674</v>
      </c>
      <c r="B34" s="1761"/>
      <c r="C34" s="1762">
        <f>SUM(C25:C33)</f>
        <v>41204875</v>
      </c>
      <c r="D34" s="1762">
        <f t="shared" ref="D34:K34" si="1">SUM(D25:D33)</f>
        <v>5538744</v>
      </c>
      <c r="E34" s="1762">
        <f t="shared" si="1"/>
        <v>11492892</v>
      </c>
      <c r="F34" s="1762">
        <f t="shared" si="1"/>
        <v>2350665</v>
      </c>
      <c r="G34" s="1762">
        <f t="shared" si="1"/>
        <v>310041</v>
      </c>
      <c r="H34" s="1762">
        <f t="shared" si="1"/>
        <v>0</v>
      </c>
      <c r="I34" s="1762">
        <f t="shared" si="1"/>
        <v>98325</v>
      </c>
      <c r="J34" s="1762">
        <f t="shared" si="1"/>
        <v>0</v>
      </c>
      <c r="K34" s="1762">
        <f t="shared" si="1"/>
        <v>0</v>
      </c>
      <c r="L34" s="1743">
        <f>SUM(L33)</f>
        <v>476370</v>
      </c>
      <c r="M34" s="468"/>
      <c r="N34" s="480"/>
    </row>
    <row r="35" spans="1:14" ht="18" customHeight="1" thickTop="1" x14ac:dyDescent="0.2">
      <c r="A35" s="2141" t="s">
        <v>549</v>
      </c>
      <c r="B35" s="214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102970159</v>
      </c>
    </row>
    <row r="37" spans="1:14" ht="13.5" thickBot="1" x14ac:dyDescent="0.25">
      <c r="A37" s="1758" t="s">
        <v>673</v>
      </c>
      <c r="B37" s="1763"/>
      <c r="C37" s="477"/>
      <c r="D37" s="477"/>
      <c r="E37" s="477"/>
      <c r="F37" s="477"/>
      <c r="G37" s="477"/>
      <c r="H37" s="477"/>
      <c r="I37" s="477"/>
      <c r="J37" s="477"/>
      <c r="K37" s="477"/>
      <c r="L37" s="480"/>
      <c r="M37" s="468"/>
      <c r="N37" s="1710">
        <f>SUM(N36:N36)</f>
        <v>102970159</v>
      </c>
    </row>
    <row r="38" spans="1:14" s="329" customFormat="1" ht="13.5" customHeight="1" thickTop="1" x14ac:dyDescent="0.2">
      <c r="A38" s="496" t="s">
        <v>439</v>
      </c>
      <c r="B38" s="483">
        <v>714</v>
      </c>
      <c r="C38" s="466"/>
      <c r="D38" s="466">
        <f>2560803</f>
        <v>2560803</v>
      </c>
      <c r="E38" s="466">
        <v>920118</v>
      </c>
      <c r="F38" s="466">
        <v>2383881</v>
      </c>
      <c r="G38" s="466">
        <v>2155880</v>
      </c>
      <c r="H38" s="466"/>
      <c r="I38" s="466"/>
      <c r="J38" s="467"/>
      <c r="K38" s="466">
        <v>74</v>
      </c>
      <c r="L38" s="481"/>
      <c r="M38" s="497"/>
      <c r="N38" s="497"/>
    </row>
    <row r="39" spans="1:14" s="329" customFormat="1" ht="13.5" customHeight="1" x14ac:dyDescent="0.2">
      <c r="A39" s="496" t="s">
        <v>359</v>
      </c>
      <c r="B39" s="483">
        <v>730</v>
      </c>
      <c r="C39" s="466">
        <f>-649826+318662+2083940</f>
        <v>1752776</v>
      </c>
      <c r="D39" s="466">
        <f>265079+5385+51754</f>
        <v>322218</v>
      </c>
      <c r="E39" s="466"/>
      <c r="F39" s="466"/>
      <c r="G39" s="466"/>
      <c r="H39" s="466"/>
      <c r="I39" s="466">
        <v>1214054</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171711519</v>
      </c>
      <c r="N40" s="497"/>
    </row>
    <row r="41" spans="1:14" ht="13.5" customHeight="1" thickBot="1" x14ac:dyDescent="0.25">
      <c r="A41" s="1758" t="s">
        <v>675</v>
      </c>
      <c r="B41" s="1728"/>
      <c r="C41" s="1710">
        <f>(SUM(C34,C37,C38,C39))</f>
        <v>42957651</v>
      </c>
      <c r="D41" s="1710">
        <f t="shared" ref="D41:L41" si="2">SUM(D34,D37,D38:D39)</f>
        <v>8421765</v>
      </c>
      <c r="E41" s="1710">
        <f t="shared" si="2"/>
        <v>12413010</v>
      </c>
      <c r="F41" s="1710">
        <f t="shared" si="2"/>
        <v>4734546</v>
      </c>
      <c r="G41" s="1710">
        <f t="shared" si="2"/>
        <v>2465921</v>
      </c>
      <c r="H41" s="1710">
        <f t="shared" si="2"/>
        <v>0</v>
      </c>
      <c r="I41" s="1710">
        <f t="shared" si="2"/>
        <v>1312379</v>
      </c>
      <c r="J41" s="1710">
        <f t="shared" si="2"/>
        <v>0</v>
      </c>
      <c r="K41" s="1710">
        <f t="shared" si="2"/>
        <v>74</v>
      </c>
      <c r="L41" s="1710">
        <f t="shared" si="2"/>
        <v>476370</v>
      </c>
      <c r="M41" s="1710">
        <f>SUM(M40)</f>
        <v>171711519</v>
      </c>
      <c r="N41" s="1710">
        <f>SUM(N37)</f>
        <v>102970159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47" sqref="A47"/>
      <selection pane="bottomLeft" activeCell="C79" sqref="C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5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3" t="s">
        <v>1236</v>
      </c>
      <c r="B3" s="2164"/>
      <c r="C3" s="1595"/>
      <c r="D3" s="1596"/>
      <c r="E3" s="1596"/>
      <c r="F3" s="1596"/>
      <c r="G3" s="1596"/>
      <c r="H3" s="1596"/>
      <c r="I3" s="1596"/>
      <c r="J3" s="1596"/>
      <c r="K3" s="1597"/>
      <c r="L3" s="506"/>
    </row>
    <row r="4" spans="1:13" ht="15.75" customHeight="1" x14ac:dyDescent="0.2">
      <c r="A4" s="1953" t="s">
        <v>1578</v>
      </c>
      <c r="B4" s="1954">
        <v>1000</v>
      </c>
      <c r="C4" s="1764">
        <f>'Revenues 9-14'!C109</f>
        <v>37409310</v>
      </c>
      <c r="D4" s="1764">
        <f>'Revenues 9-14'!D109</f>
        <v>5988628</v>
      </c>
      <c r="E4" s="1764">
        <f>'Revenues 9-14'!E109</f>
        <v>10995426</v>
      </c>
      <c r="F4" s="1764">
        <f>'Revenues 9-14'!F109</f>
        <v>1573923</v>
      </c>
      <c r="G4" s="1764">
        <f>'Revenues 9-14'!G109</f>
        <v>2535539</v>
      </c>
      <c r="H4" s="1764">
        <f>'Revenues 9-14'!H109</f>
        <v>0</v>
      </c>
      <c r="I4" s="1764">
        <f>'Revenues 9-14'!I109</f>
        <v>114594</v>
      </c>
      <c r="J4" s="1764">
        <f>'Revenues 9-14'!J109</f>
        <v>0</v>
      </c>
      <c r="K4" s="1764">
        <f>'Revenues 9-14'!K109</f>
        <v>8</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8204060</v>
      </c>
      <c r="D6" s="1765">
        <f>'Revenues 9-14'!D173</f>
        <v>0</v>
      </c>
      <c r="E6" s="1765">
        <f>'Revenues 9-14'!E173</f>
        <v>0</v>
      </c>
      <c r="F6" s="1765">
        <f>'Revenues 9-14'!F173</f>
        <v>3260084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1371880</v>
      </c>
      <c r="D7" s="1765">
        <f>'Revenues 9-14'!D274</f>
        <v>0</v>
      </c>
      <c r="E7" s="1765">
        <f>'Revenues 9-14'!E274</f>
        <v>160190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46985250</v>
      </c>
      <c r="D8" s="1710">
        <f t="shared" ref="D8:K8" si="0">SUM(D4:D7)</f>
        <v>5988628</v>
      </c>
      <c r="E8" s="1710">
        <f t="shared" si="0"/>
        <v>11155616</v>
      </c>
      <c r="F8" s="1710">
        <f t="shared" si="0"/>
        <v>4834007</v>
      </c>
      <c r="G8" s="1710">
        <f t="shared" si="0"/>
        <v>2535539</v>
      </c>
      <c r="H8" s="1710">
        <f t="shared" si="0"/>
        <v>0</v>
      </c>
      <c r="I8" s="1710">
        <f t="shared" si="0"/>
        <v>114594</v>
      </c>
      <c r="J8" s="1710">
        <f t="shared" si="0"/>
        <v>0</v>
      </c>
      <c r="K8" s="1710">
        <f t="shared" si="0"/>
        <v>8</v>
      </c>
      <c r="L8" s="347"/>
    </row>
    <row r="9" spans="1:13" ht="15.75" thickTop="1" x14ac:dyDescent="0.2">
      <c r="A9" s="514" t="s">
        <v>1751</v>
      </c>
      <c r="B9" s="515">
        <v>3998</v>
      </c>
      <c r="C9" s="481">
        <v>20399692</v>
      </c>
      <c r="D9" s="516"/>
      <c r="E9" s="481"/>
      <c r="F9" s="481"/>
      <c r="G9" s="517"/>
      <c r="H9" s="481"/>
      <c r="I9" s="509" t="s">
        <v>1230</v>
      </c>
      <c r="J9" s="478"/>
      <c r="K9" s="481"/>
      <c r="L9" s="347"/>
    </row>
    <row r="10" spans="1:13" s="519" customFormat="1" ht="13.5" thickBot="1" x14ac:dyDescent="0.25">
      <c r="A10" s="1758" t="s">
        <v>1234</v>
      </c>
      <c r="B10" s="1731"/>
      <c r="C10" s="1710">
        <f>SUM(C8:C9)</f>
        <v>67384942</v>
      </c>
      <c r="D10" s="1710">
        <f t="shared" ref="D10:K10" si="1">SUM(D8:D9)</f>
        <v>5988628</v>
      </c>
      <c r="E10" s="1710">
        <f t="shared" si="1"/>
        <v>11155616</v>
      </c>
      <c r="F10" s="1710">
        <f t="shared" si="1"/>
        <v>4834007</v>
      </c>
      <c r="G10" s="1710">
        <f t="shared" si="1"/>
        <v>2535539</v>
      </c>
      <c r="H10" s="1710">
        <f t="shared" si="1"/>
        <v>0</v>
      </c>
      <c r="I10" s="1710">
        <f t="shared" si="1"/>
        <v>114594</v>
      </c>
      <c r="J10" s="1710">
        <f t="shared" si="1"/>
        <v>0</v>
      </c>
      <c r="K10" s="1710">
        <f t="shared" si="1"/>
        <v>8</v>
      </c>
      <c r="L10" s="518"/>
    </row>
    <row r="11" spans="1:13" s="519" customFormat="1" ht="16.7" customHeight="1" thickTop="1" x14ac:dyDescent="0.2">
      <c r="A11" s="2137" t="s">
        <v>1237</v>
      </c>
      <c r="B11" s="2138"/>
      <c r="C11" s="1592"/>
      <c r="D11" s="1593"/>
      <c r="E11" s="1593"/>
      <c r="F11" s="1593"/>
      <c r="G11" s="1593"/>
      <c r="H11" s="1593"/>
      <c r="I11" s="1593"/>
      <c r="J11" s="1593"/>
      <c r="K11" s="1594"/>
      <c r="L11" s="518"/>
    </row>
    <row r="12" spans="1:13" ht="15.75" customHeight="1" x14ac:dyDescent="0.2">
      <c r="A12" s="1598" t="s">
        <v>475</v>
      </c>
      <c r="B12" s="1600">
        <v>1000</v>
      </c>
      <c r="C12" s="1764">
        <f>'Expenditures 15-22'!K33</f>
        <v>29688124</v>
      </c>
      <c r="D12" s="520" t="s">
        <v>1230</v>
      </c>
      <c r="E12" s="468" t="s">
        <v>1230</v>
      </c>
      <c r="F12" s="468" t="s">
        <v>1230</v>
      </c>
      <c r="G12" s="1764">
        <f>'Expenditures 15-22'!K229</f>
        <v>609360</v>
      </c>
      <c r="H12" s="521"/>
      <c r="I12" s="468" t="s">
        <v>1230</v>
      </c>
      <c r="J12" s="468" t="s">
        <v>1230</v>
      </c>
      <c r="K12" s="521" t="s">
        <v>1230</v>
      </c>
      <c r="L12" s="347"/>
    </row>
    <row r="13" spans="1:13" ht="15.75" customHeight="1" x14ac:dyDescent="0.2">
      <c r="A13" s="1598" t="s">
        <v>476</v>
      </c>
      <c r="B13" s="1600">
        <v>2000</v>
      </c>
      <c r="C13" s="1765">
        <f>'Expenditures 15-22'!K74</f>
        <v>13915236</v>
      </c>
      <c r="D13" s="1765">
        <f>'Expenditures 15-22'!K129</f>
        <v>5025999</v>
      </c>
      <c r="E13" s="469" t="s">
        <v>1230</v>
      </c>
      <c r="F13" s="1765">
        <f>'Expenditures 15-22'!K184</f>
        <v>4893199</v>
      </c>
      <c r="G13" s="1765">
        <f>'Expenditures 15-22'!K279</f>
        <v>973800</v>
      </c>
      <c r="H13" s="1765">
        <f>'Expenditures 15-22'!K303</f>
        <v>0</v>
      </c>
      <c r="I13" s="468" t="s">
        <v>1230</v>
      </c>
      <c r="J13" s="1765">
        <f>'Expenditures 15-22'!K330</f>
        <v>0</v>
      </c>
      <c r="K13" s="1769">
        <f>'Expenditures 15-22'!K352</f>
        <v>3548</v>
      </c>
      <c r="L13" s="347"/>
    </row>
    <row r="14" spans="1:13" ht="15.75" customHeight="1" x14ac:dyDescent="0.2">
      <c r="A14" s="1598" t="s">
        <v>468</v>
      </c>
      <c r="B14" s="1600">
        <v>3000</v>
      </c>
      <c r="C14" s="1765">
        <f>'Expenditures 15-22'!K75</f>
        <v>19220</v>
      </c>
      <c r="D14" s="1765">
        <f>'Expenditures 15-22'!K130</f>
        <v>0</v>
      </c>
      <c r="E14" s="520" t="s">
        <v>1230</v>
      </c>
      <c r="F14" s="1765">
        <f>'Expenditures 15-22'!K185</f>
        <v>0</v>
      </c>
      <c r="G14" s="1765">
        <f>'Expenditures 15-22'!K280</f>
        <v>820</v>
      </c>
      <c r="H14" s="512"/>
      <c r="I14" s="468" t="s">
        <v>1230</v>
      </c>
      <c r="J14" s="468" t="s">
        <v>1230</v>
      </c>
      <c r="K14" s="512" t="s">
        <v>1230</v>
      </c>
      <c r="L14" s="347"/>
    </row>
    <row r="15" spans="1:13" ht="15.75" customHeight="1" x14ac:dyDescent="0.2">
      <c r="A15" s="1598" t="s">
        <v>109</v>
      </c>
      <c r="B15" s="1600">
        <v>4000</v>
      </c>
      <c r="C15" s="1765">
        <f>'Expenditures 15-22'!K102</f>
        <v>2580526</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11368502</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46203106</v>
      </c>
      <c r="D17" s="1710">
        <f t="shared" si="2"/>
        <v>5025999</v>
      </c>
      <c r="E17" s="1710">
        <f t="shared" si="2"/>
        <v>11368502</v>
      </c>
      <c r="F17" s="1710">
        <f t="shared" si="2"/>
        <v>4893199</v>
      </c>
      <c r="G17" s="1710">
        <f t="shared" si="2"/>
        <v>1583980</v>
      </c>
      <c r="H17" s="1710">
        <f t="shared" si="2"/>
        <v>0</v>
      </c>
      <c r="I17" s="468"/>
      <c r="J17" s="1710">
        <f>SUM(J12:J16)</f>
        <v>0</v>
      </c>
      <c r="K17" s="1710">
        <f>SUM(K12:K16)</f>
        <v>3548</v>
      </c>
      <c r="L17" s="347"/>
    </row>
    <row r="18" spans="1:12" ht="15" customHeight="1" thickTop="1" x14ac:dyDescent="0.2">
      <c r="A18" s="1766" t="s">
        <v>1752</v>
      </c>
      <c r="B18" s="1767">
        <v>4180</v>
      </c>
      <c r="C18" s="1764">
        <f t="shared" ref="C18:H18" si="3">C9</f>
        <v>20399692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66602798</v>
      </c>
      <c r="D19" s="1710">
        <f t="shared" si="4"/>
        <v>5025999</v>
      </c>
      <c r="E19" s="1710">
        <f t="shared" si="4"/>
        <v>11368502</v>
      </c>
      <c r="F19" s="1710">
        <f t="shared" si="4"/>
        <v>4893199</v>
      </c>
      <c r="G19" s="1710">
        <f t="shared" si="4"/>
        <v>1583980</v>
      </c>
      <c r="H19" s="1710">
        <f t="shared" si="4"/>
        <v>0</v>
      </c>
      <c r="I19" s="468"/>
      <c r="J19" s="1710">
        <f>SUM(J17:J18)</f>
        <v>0</v>
      </c>
      <c r="K19" s="1710">
        <f>SUM(K17:K18)</f>
        <v>3548</v>
      </c>
      <c r="L19" s="347"/>
    </row>
    <row r="20" spans="1:12" ht="16.5" thickTop="1" thickBot="1" x14ac:dyDescent="0.25">
      <c r="A20" s="2153" t="s">
        <v>1753</v>
      </c>
      <c r="B20" s="2154"/>
      <c r="C20" s="1768">
        <f>C8-C17</f>
        <v>782144</v>
      </c>
      <c r="D20" s="1768">
        <f t="shared" ref="D20:K20" si="5">D8-D17</f>
        <v>962629</v>
      </c>
      <c r="E20" s="1768">
        <f t="shared" si="5"/>
        <v>-212886</v>
      </c>
      <c r="F20" s="1768">
        <f t="shared" si="5"/>
        <v>-59192</v>
      </c>
      <c r="G20" s="1768">
        <f t="shared" si="5"/>
        <v>951559</v>
      </c>
      <c r="H20" s="1768">
        <f t="shared" si="5"/>
        <v>0</v>
      </c>
      <c r="I20" s="1768">
        <f t="shared" si="5"/>
        <v>114594</v>
      </c>
      <c r="J20" s="1768">
        <f t="shared" si="5"/>
        <v>0</v>
      </c>
      <c r="K20" s="1768">
        <f t="shared" si="5"/>
        <v>-3540</v>
      </c>
      <c r="L20" s="347"/>
    </row>
    <row r="21" spans="1:12" ht="16.7" customHeight="1" thickTop="1" x14ac:dyDescent="0.2">
      <c r="A21" s="2165" t="s">
        <v>615</v>
      </c>
      <c r="B21" s="2166"/>
      <c r="C21" s="1592"/>
      <c r="D21" s="1593"/>
      <c r="E21" s="1593"/>
      <c r="F21" s="1593"/>
      <c r="G21" s="1593"/>
      <c r="H21" s="1593"/>
      <c r="I21" s="1593"/>
      <c r="J21" s="1593"/>
      <c r="K21" s="1594"/>
      <c r="L21" s="524"/>
    </row>
    <row r="22" spans="1:12" ht="15.75" customHeight="1" collapsed="1" x14ac:dyDescent="0.2">
      <c r="A22" s="2161" t="s">
        <v>616</v>
      </c>
      <c r="B22" s="2162"/>
      <c r="C22" s="477"/>
      <c r="D22" s="477"/>
      <c r="E22" s="477"/>
      <c r="F22" s="477"/>
      <c r="G22" s="477"/>
      <c r="H22" s="477"/>
      <c r="I22" s="477"/>
      <c r="J22" s="477"/>
      <c r="K22" s="477"/>
      <c r="L22" s="347"/>
    </row>
    <row r="23" spans="1:12" s="485" customFormat="1" ht="15.75" customHeight="1" x14ac:dyDescent="0.2">
      <c r="A23" s="2157" t="s">
        <v>310</v>
      </c>
      <c r="B23" s="2158"/>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v>3000000</v>
      </c>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9" t="s">
        <v>1037</v>
      </c>
      <c r="B32" s="2160"/>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149810</v>
      </c>
      <c r="F39" s="477"/>
      <c r="G39" s="477"/>
      <c r="H39" s="477"/>
      <c r="I39" s="477"/>
      <c r="J39" s="477"/>
      <c r="K39" s="477"/>
      <c r="L39" s="524"/>
    </row>
    <row r="40" spans="1:12" s="485" customFormat="1" ht="13.5" customHeight="1" x14ac:dyDescent="0.2">
      <c r="A40" s="1511" t="s">
        <v>662</v>
      </c>
      <c r="B40" s="483">
        <v>7700</v>
      </c>
      <c r="C40" s="477"/>
      <c r="D40" s="477"/>
      <c r="E40" s="1765">
        <f>SUM(C66:D69)</f>
        <v>25200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67" t="s">
        <v>391</v>
      </c>
      <c r="B44" s="2168"/>
      <c r="C44" s="1725">
        <f>SUM(C24:C43)</f>
        <v>3000000</v>
      </c>
      <c r="D44" s="1725">
        <f t="shared" ref="D44:K44" si="6">SUM(D24:D43)</f>
        <v>0</v>
      </c>
      <c r="E44" s="1725">
        <f t="shared" si="6"/>
        <v>175010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v>3000000</v>
      </c>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v>149810</v>
      </c>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v>25200</v>
      </c>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43" t="s">
        <v>459</v>
      </c>
      <c r="B76" s="2144"/>
      <c r="C76" s="1725">
        <f t="shared" ref="C76:K76" si="7">SUM(C47:C75)</f>
        <v>0</v>
      </c>
      <c r="D76" s="1725">
        <f t="shared" si="7"/>
        <v>175010</v>
      </c>
      <c r="E76" s="1725">
        <f t="shared" si="7"/>
        <v>0</v>
      </c>
      <c r="F76" s="1725">
        <f t="shared" si="7"/>
        <v>3000000</v>
      </c>
      <c r="G76" s="1725">
        <f t="shared" si="7"/>
        <v>0</v>
      </c>
      <c r="H76" s="1725">
        <f t="shared" si="7"/>
        <v>0</v>
      </c>
      <c r="I76" s="1725">
        <f t="shared" si="7"/>
        <v>0</v>
      </c>
      <c r="J76" s="1725">
        <f t="shared" si="7"/>
        <v>0</v>
      </c>
      <c r="K76" s="1725">
        <f t="shared" si="7"/>
        <v>0</v>
      </c>
      <c r="L76" s="524"/>
    </row>
    <row r="77" spans="1:12" ht="14.25" thickTop="1" thickBot="1" x14ac:dyDescent="0.25">
      <c r="A77" s="2145" t="s">
        <v>1238</v>
      </c>
      <c r="B77" s="2146"/>
      <c r="C77" s="1725">
        <f t="shared" ref="C77:K77" si="8">C44-C76</f>
        <v>3000000</v>
      </c>
      <c r="D77" s="1725">
        <f t="shared" si="8"/>
        <v>-175010</v>
      </c>
      <c r="E77" s="1725">
        <f t="shared" si="8"/>
        <v>175010</v>
      </c>
      <c r="F77" s="1725">
        <f t="shared" si="8"/>
        <v>-3000000</v>
      </c>
      <c r="G77" s="1725">
        <f t="shared" si="8"/>
        <v>0</v>
      </c>
      <c r="H77" s="1725">
        <f t="shared" si="8"/>
        <v>0</v>
      </c>
      <c r="I77" s="1725">
        <f t="shared" si="8"/>
        <v>0</v>
      </c>
      <c r="J77" s="1725">
        <f t="shared" si="8"/>
        <v>0</v>
      </c>
      <c r="K77" s="1725">
        <f t="shared" si="8"/>
        <v>0</v>
      </c>
      <c r="L77" s="347"/>
    </row>
    <row r="78" spans="1:12" ht="21.75" customHeight="1" thickTop="1" thickBot="1" x14ac:dyDescent="0.25">
      <c r="A78" s="2149" t="s">
        <v>617</v>
      </c>
      <c r="B78" s="2150"/>
      <c r="C78" s="1724">
        <f t="shared" ref="C78:K78" si="9">C20+C77</f>
        <v>3782144</v>
      </c>
      <c r="D78" s="1724">
        <f t="shared" si="9"/>
        <v>787619</v>
      </c>
      <c r="E78" s="1724">
        <f t="shared" si="9"/>
        <v>-37876</v>
      </c>
      <c r="F78" s="1724">
        <f t="shared" si="9"/>
        <v>-3059192</v>
      </c>
      <c r="G78" s="1724">
        <f t="shared" si="9"/>
        <v>951559</v>
      </c>
      <c r="H78" s="1724">
        <f t="shared" si="9"/>
        <v>0</v>
      </c>
      <c r="I78" s="1724">
        <f t="shared" si="9"/>
        <v>114594</v>
      </c>
      <c r="J78" s="1724">
        <f t="shared" si="9"/>
        <v>0</v>
      </c>
      <c r="K78" s="1724">
        <f t="shared" si="9"/>
        <v>-3540</v>
      </c>
      <c r="L78" s="533"/>
    </row>
    <row r="79" spans="1:12" ht="13.5" thickTop="1" x14ac:dyDescent="0.2">
      <c r="A79" s="1516" t="s">
        <v>2072</v>
      </c>
      <c r="B79" s="534"/>
      <c r="C79" s="478">
        <f>-4113308+2083940</f>
        <v>-2029368</v>
      </c>
      <c r="D79" s="535">
        <f>1759054+284594+51754</f>
        <v>2095402</v>
      </c>
      <c r="E79" s="535">
        <v>957994</v>
      </c>
      <c r="F79" s="535">
        <v>5443073</v>
      </c>
      <c r="G79" s="535">
        <v>1204321</v>
      </c>
      <c r="H79" s="535"/>
      <c r="I79" s="535">
        <v>1099460</v>
      </c>
      <c r="J79" s="535"/>
      <c r="K79" s="535">
        <v>3614</v>
      </c>
      <c r="L79" s="347"/>
    </row>
    <row r="80" spans="1:12" x14ac:dyDescent="0.2">
      <c r="A80" s="2155" t="s">
        <v>1897</v>
      </c>
      <c r="B80" s="2156"/>
      <c r="C80" s="467"/>
      <c r="D80" s="467"/>
      <c r="E80" s="467"/>
      <c r="F80" s="467"/>
      <c r="G80" s="467"/>
      <c r="H80" s="467"/>
      <c r="I80" s="467"/>
      <c r="J80" s="467"/>
      <c r="K80" s="467"/>
      <c r="L80" s="347"/>
    </row>
    <row r="81" spans="1:12" ht="13.5" thickBot="1" x14ac:dyDescent="0.25">
      <c r="A81" s="2147" t="s">
        <v>2073</v>
      </c>
      <c r="B81" s="2148"/>
      <c r="C81" s="1710">
        <f>(SUM(C78:C80))</f>
        <v>1752776</v>
      </c>
      <c r="D81" s="1710">
        <f>SUM(D78:D80)</f>
        <v>2883021</v>
      </c>
      <c r="E81" s="1710">
        <f t="shared" ref="E81:K81" si="10">SUM(E78:E80)</f>
        <v>920118</v>
      </c>
      <c r="F81" s="1710">
        <f t="shared" si="10"/>
        <v>2383881</v>
      </c>
      <c r="G81" s="1710">
        <f t="shared" si="10"/>
        <v>2155880</v>
      </c>
      <c r="H81" s="1710">
        <f t="shared" si="10"/>
        <v>0</v>
      </c>
      <c r="I81" s="1710">
        <f t="shared" si="10"/>
        <v>1214054</v>
      </c>
      <c r="J81" s="1710">
        <f t="shared" si="10"/>
        <v>0</v>
      </c>
      <c r="K81" s="1710">
        <f t="shared" si="10"/>
        <v>74</v>
      </c>
      <c r="L81" s="347"/>
    </row>
    <row r="82" spans="1:12" ht="0.75" customHeight="1" thickTop="1" thickBot="1" x14ac:dyDescent="0.25">
      <c r="A82" s="536" t="s">
        <v>360</v>
      </c>
      <c r="B82" s="537"/>
      <c r="C82" s="538">
        <f>(C81-C79)</f>
        <v>3782144</v>
      </c>
      <c r="D82" s="538">
        <f t="shared" ref="D82:K82" si="11">(D81-D79)</f>
        <v>787619</v>
      </c>
      <c r="E82" s="538">
        <f t="shared" si="11"/>
        <v>-37876</v>
      </c>
      <c r="F82" s="538">
        <f t="shared" si="11"/>
        <v>-3059192</v>
      </c>
      <c r="G82" s="538">
        <f t="shared" si="11"/>
        <v>951559</v>
      </c>
      <c r="H82" s="538">
        <f t="shared" si="11"/>
        <v>0</v>
      </c>
      <c r="I82" s="538">
        <f t="shared" si="11"/>
        <v>114594</v>
      </c>
      <c r="J82" s="538">
        <f t="shared" si="11"/>
        <v>0</v>
      </c>
      <c r="K82" s="538">
        <f t="shared" si="11"/>
        <v>-3540</v>
      </c>
    </row>
    <row r="83" spans="1:12" ht="14.25" hidden="1" thickTop="1" thickBot="1" x14ac:dyDescent="0.25">
      <c r="A83" s="539" t="s">
        <v>361</v>
      </c>
      <c r="B83" s="464"/>
      <c r="C83" s="540">
        <f>C82/C81</f>
        <v>2.1578022519705882</v>
      </c>
      <c r="D83" s="540">
        <f t="shared" ref="D83:K83" si="12">D82/D81</f>
        <v>0.27319225215494441</v>
      </c>
      <c r="E83" s="540">
        <f t="shared" si="12"/>
        <v>-4.1164285450344409E-2</v>
      </c>
      <c r="F83" s="540">
        <f t="shared" si="12"/>
        <v>-1.2832821772563312</v>
      </c>
      <c r="G83" s="540">
        <f t="shared" si="12"/>
        <v>0.44137846262315156</v>
      </c>
      <c r="H83" s="540" t="e">
        <f t="shared" si="12"/>
        <v>#DIV/0!</v>
      </c>
      <c r="I83" s="540">
        <f t="shared" si="12"/>
        <v>9.4389541157147872E-2</v>
      </c>
      <c r="J83" s="540" t="e">
        <f t="shared" si="12"/>
        <v>#DIV/0!</v>
      </c>
      <c r="K83" s="540">
        <f t="shared" si="12"/>
        <v>-47.837837837837839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1904</v>
      </c>
      <c r="B1" s="452"/>
      <c r="C1" s="453" t="s">
        <v>444</v>
      </c>
      <c r="D1" s="453" t="s">
        <v>445</v>
      </c>
      <c r="E1" s="453" t="s">
        <v>446</v>
      </c>
      <c r="F1" s="453" t="s">
        <v>447</v>
      </c>
      <c r="G1" s="453" t="s">
        <v>448</v>
      </c>
      <c r="H1" s="453" t="s">
        <v>449</v>
      </c>
      <c r="I1" s="453" t="s">
        <v>450</v>
      </c>
      <c r="J1" s="453" t="s">
        <v>451</v>
      </c>
      <c r="K1" s="453" t="s">
        <v>779</v>
      </c>
    </row>
    <row r="2" spans="1:12" ht="36" x14ac:dyDescent="0.2">
      <c r="A2" s="2152"/>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30097046</v>
      </c>
      <c r="D5" s="481">
        <v>5581477</v>
      </c>
      <c r="E5" s="466">
        <v>10940193</v>
      </c>
      <c r="F5" s="548">
        <v>1495078</v>
      </c>
      <c r="G5" s="466">
        <v>747132</v>
      </c>
      <c r="H5" s="466"/>
      <c r="I5" s="466">
        <v>99343</v>
      </c>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v>4299346</v>
      </c>
      <c r="D7" s="466"/>
      <c r="E7" s="468"/>
      <c r="F7" s="467"/>
      <c r="G7" s="467"/>
      <c r="H7" s="467"/>
      <c r="I7" s="468"/>
      <c r="J7" s="468"/>
      <c r="K7" s="468"/>
    </row>
    <row r="8" spans="1:12" x14ac:dyDescent="0.2">
      <c r="A8" s="463" t="s">
        <v>432</v>
      </c>
      <c r="B8" s="470">
        <v>1150</v>
      </c>
      <c r="C8" s="475"/>
      <c r="D8" s="475"/>
      <c r="E8" s="477"/>
      <c r="F8" s="477"/>
      <c r="G8" s="481">
        <v>1552843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34396392</v>
      </c>
      <c r="D12" s="1729">
        <f t="shared" si="0"/>
        <v>5581477</v>
      </c>
      <c r="E12" s="1729">
        <f t="shared" si="0"/>
        <v>10940193</v>
      </c>
      <c r="F12" s="1729">
        <f t="shared" si="0"/>
        <v>1495078</v>
      </c>
      <c r="G12" s="1729">
        <f t="shared" si="0"/>
        <v>2299975</v>
      </c>
      <c r="H12" s="1729">
        <f t="shared" si="0"/>
        <v>0</v>
      </c>
      <c r="I12" s="1729">
        <f t="shared" si="0"/>
        <v>99343</v>
      </c>
      <c r="J12" s="1729">
        <f t="shared" si="0"/>
        <v>0</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57745</v>
      </c>
      <c r="D16" s="466"/>
      <c r="E16" s="466"/>
      <c r="F16" s="466"/>
      <c r="G16" s="466">
        <f>160000+50000</f>
        <v>210000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57745</v>
      </c>
      <c r="D18" s="1732">
        <f t="shared" ref="D18:K18" si="1">SUM(D14:D17)</f>
        <v>0</v>
      </c>
      <c r="E18" s="1732">
        <f t="shared" si="1"/>
        <v>0</v>
      </c>
      <c r="F18" s="1732">
        <f t="shared" si="1"/>
        <v>0</v>
      </c>
      <c r="G18" s="1732">
        <f t="shared" si="1"/>
        <v>210000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408929</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38175</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447104</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v>267</v>
      </c>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36881</v>
      </c>
      <c r="G45" s="468"/>
      <c r="H45" s="468"/>
      <c r="I45" s="468"/>
      <c r="J45" s="468"/>
      <c r="K45" s="468"/>
    </row>
    <row r="46" spans="1:11" ht="12.75" customHeight="1" x14ac:dyDescent="0.2">
      <c r="A46" s="463" t="s">
        <v>1235</v>
      </c>
      <c r="B46" s="470">
        <v>1416</v>
      </c>
      <c r="C46" s="468"/>
      <c r="D46" s="468"/>
      <c r="E46" s="468"/>
      <c r="F46" s="467">
        <v>609</v>
      </c>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37757</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176244</v>
      </c>
      <c r="D65" s="466">
        <f>54654+383</f>
        <v>55037</v>
      </c>
      <c r="E65" s="466">
        <v>55233</v>
      </c>
      <c r="F65" s="467">
        <v>30472</v>
      </c>
      <c r="G65" s="466">
        <v>25564</v>
      </c>
      <c r="H65" s="466"/>
      <c r="I65" s="466">
        <v>15251</v>
      </c>
      <c r="J65" s="467"/>
      <c r="K65" s="466">
        <v>8</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176244</v>
      </c>
      <c r="D67" s="1710">
        <f t="shared" ref="D67:K67" si="2">SUM(D65:D66)</f>
        <v>55037</v>
      </c>
      <c r="E67" s="1710">
        <f t="shared" si="2"/>
        <v>55233</v>
      </c>
      <c r="F67" s="1710">
        <f t="shared" si="2"/>
        <v>30472</v>
      </c>
      <c r="G67" s="1710">
        <f t="shared" si="2"/>
        <v>25564</v>
      </c>
      <c r="H67" s="1710">
        <f t="shared" si="2"/>
        <v>0</v>
      </c>
      <c r="I67" s="1710">
        <f t="shared" si="2"/>
        <v>15251</v>
      </c>
      <c r="J67" s="1710">
        <f t="shared" si="2"/>
        <v>0</v>
      </c>
      <c r="K67" s="1710">
        <f t="shared" si="2"/>
        <v>8</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972945</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39571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1012516</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22801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8975</v>
      </c>
      <c r="D81" s="466"/>
      <c r="E81" s="468"/>
      <c r="F81" s="468"/>
      <c r="G81" s="468"/>
      <c r="H81" s="468"/>
      <c r="I81" s="468"/>
      <c r="J81" s="468"/>
      <c r="K81" s="468"/>
    </row>
    <row r="82" spans="1:11" ht="12.75" customHeight="1" thickBot="1" x14ac:dyDescent="0.25">
      <c r="A82" s="1730" t="s">
        <v>259</v>
      </c>
      <c r="B82" s="1731"/>
      <c r="C82" s="1729">
        <f>SUM(C77:C81)</f>
        <v>31776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760337</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760337</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99513</v>
      </c>
      <c r="E95" s="521"/>
      <c r="F95" s="521"/>
      <c r="G95" s="521"/>
      <c r="H95" s="521"/>
      <c r="I95" s="521"/>
      <c r="J95" s="521"/>
      <c r="K95" s="521"/>
    </row>
    <row r="96" spans="1:11" ht="12.75" customHeight="1" x14ac:dyDescent="0.2">
      <c r="A96" s="463" t="s">
        <v>408</v>
      </c>
      <c r="B96" s="470">
        <v>1920</v>
      </c>
      <c r="C96" s="551">
        <v>536</v>
      </c>
      <c r="D96" s="551"/>
      <c r="E96" s="479"/>
      <c r="F96" s="478"/>
      <c r="G96" s="478"/>
      <c r="H96" s="478"/>
      <c r="I96" s="478"/>
      <c r="J96" s="478"/>
      <c r="K96" s="478"/>
    </row>
    <row r="97" spans="1:12" ht="12.75" customHeight="1" x14ac:dyDescent="0.2">
      <c r="A97" s="1517" t="s">
        <v>262</v>
      </c>
      <c r="B97" s="559">
        <v>1930</v>
      </c>
      <c r="C97" s="489"/>
      <c r="D97" s="467">
        <v>115692</v>
      </c>
      <c r="E97" s="474"/>
      <c r="F97" s="467"/>
      <c r="G97" s="467"/>
      <c r="H97" s="467"/>
      <c r="I97" s="467"/>
      <c r="J97" s="467"/>
      <c r="K97" s="467"/>
    </row>
    <row r="98" spans="1:12" ht="12.75" customHeight="1" x14ac:dyDescent="0.2">
      <c r="A98" s="463" t="s">
        <v>198</v>
      </c>
      <c r="B98" s="470">
        <v>1940</v>
      </c>
      <c r="C98" s="489">
        <v>227860</v>
      </c>
      <c r="D98" s="466">
        <v>20763</v>
      </c>
      <c r="E98" s="512"/>
      <c r="F98" s="466"/>
      <c r="G98" s="512"/>
      <c r="H98" s="512"/>
      <c r="I98" s="510"/>
      <c r="J98" s="512"/>
      <c r="K98" s="512"/>
    </row>
    <row r="99" spans="1:12" ht="12.75" customHeight="1" x14ac:dyDescent="0.2">
      <c r="A99" s="463" t="s">
        <v>874</v>
      </c>
      <c r="B99" s="470">
        <v>1950</v>
      </c>
      <c r="C99" s="489">
        <v>32709</v>
      </c>
      <c r="D99" s="466">
        <v>5424</v>
      </c>
      <c r="E99" s="466"/>
      <c r="F99" s="466">
        <v>10616</v>
      </c>
      <c r="G99" s="466"/>
      <c r="H99" s="466"/>
      <c r="I99" s="468"/>
      <c r="J99" s="467"/>
      <c r="K99" s="466"/>
    </row>
    <row r="100" spans="1:12" ht="12.75" customHeight="1" x14ac:dyDescent="0.2">
      <c r="A100" s="463" t="s">
        <v>263</v>
      </c>
      <c r="B100" s="470">
        <v>1960</v>
      </c>
      <c r="C100" s="489"/>
      <c r="D100" s="489">
        <v>1584</v>
      </c>
      <c r="E100" s="489"/>
      <c r="F100" s="489"/>
      <c r="G100" s="489"/>
      <c r="H100" s="489"/>
      <c r="I100" s="467"/>
      <c r="J100" s="489"/>
      <c r="K100" s="467"/>
    </row>
    <row r="101" spans="1:12" ht="12.75" customHeight="1" x14ac:dyDescent="0.2">
      <c r="A101" s="463" t="s">
        <v>264</v>
      </c>
      <c r="B101" s="470">
        <v>1970</v>
      </c>
      <c r="C101" s="489">
        <v>44295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v>168174</v>
      </c>
      <c r="D106" s="489"/>
      <c r="E106" s="467"/>
      <c r="F106" s="467"/>
      <c r="G106" s="467"/>
      <c r="H106" s="467"/>
      <c r="I106" s="521"/>
      <c r="J106" s="467"/>
      <c r="K106" s="467"/>
    </row>
    <row r="107" spans="1:12" ht="12.75" customHeight="1" x14ac:dyDescent="0.2">
      <c r="A107" s="463" t="s">
        <v>80</v>
      </c>
      <c r="B107" s="470">
        <v>1999</v>
      </c>
      <c r="C107" s="551">
        <v>53622</v>
      </c>
      <c r="D107" s="466">
        <f>51689+19613+37836</f>
        <v>109138</v>
      </c>
      <c r="E107" s="466"/>
      <c r="F107" s="466"/>
      <c r="G107" s="466"/>
      <c r="H107" s="466"/>
      <c r="I107" s="466"/>
      <c r="J107" s="467"/>
      <c r="K107" s="466"/>
    </row>
    <row r="108" spans="1:12" ht="12.75" customHeight="1" thickBot="1" x14ac:dyDescent="0.25">
      <c r="A108" s="1730" t="s">
        <v>507</v>
      </c>
      <c r="B108" s="1734"/>
      <c r="C108" s="1729">
        <f>SUM(C95:C107)</f>
        <v>527196</v>
      </c>
      <c r="D108" s="1729">
        <f t="shared" ref="D108:K108" si="3">SUM(D95:D107)</f>
        <v>352114</v>
      </c>
      <c r="E108" s="1729">
        <f t="shared" si="3"/>
        <v>0</v>
      </c>
      <c r="F108" s="1729">
        <f t="shared" si="3"/>
        <v>10616</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37409310</v>
      </c>
      <c r="D109" s="1737">
        <f t="shared" si="4"/>
        <v>5988628</v>
      </c>
      <c r="E109" s="1737">
        <f t="shared" si="4"/>
        <v>10995426</v>
      </c>
      <c r="F109" s="1737">
        <f t="shared" si="4"/>
        <v>1573923</v>
      </c>
      <c r="G109" s="1737">
        <f t="shared" si="4"/>
        <v>2535539</v>
      </c>
      <c r="H109" s="1737">
        <f t="shared" si="4"/>
        <v>0</v>
      </c>
      <c r="I109" s="1737">
        <f t="shared" si="4"/>
        <v>114594</v>
      </c>
      <c r="J109" s="1737">
        <f t="shared" si="4"/>
        <v>0</v>
      </c>
      <c r="K109" s="1724">
        <f t="shared" si="4"/>
        <v>8</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6819345</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6819345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673199</v>
      </c>
      <c r="D124" s="561"/>
      <c r="E124" s="468"/>
      <c r="F124" s="548"/>
      <c r="G124" s="468"/>
      <c r="H124" s="468"/>
      <c r="I124" s="468"/>
      <c r="J124" s="468"/>
      <c r="K124" s="468"/>
    </row>
    <row r="125" spans="1:11" ht="12.75" customHeight="1" x14ac:dyDescent="0.2">
      <c r="A125" s="463" t="s">
        <v>1520</v>
      </c>
      <c r="B125" s="562">
        <v>3105</v>
      </c>
      <c r="C125" s="466">
        <v>137770</v>
      </c>
      <c r="D125" s="561"/>
      <c r="E125" s="468"/>
      <c r="F125" s="466"/>
      <c r="G125" s="468"/>
      <c r="H125" s="468"/>
      <c r="I125" s="468"/>
      <c r="J125" s="468"/>
      <c r="K125" s="468"/>
    </row>
    <row r="126" spans="1:11" ht="12.75" customHeight="1" x14ac:dyDescent="0.2">
      <c r="A126" s="463" t="s">
        <v>921</v>
      </c>
      <c r="B126" s="562">
        <v>3110</v>
      </c>
      <c r="C126" s="551">
        <v>378102</v>
      </c>
      <c r="D126" s="466"/>
      <c r="E126" s="468"/>
      <c r="F126" s="466"/>
      <c r="G126" s="468"/>
      <c r="H126" s="468"/>
      <c r="I126" s="468"/>
      <c r="J126" s="468"/>
      <c r="K126" s="468"/>
    </row>
    <row r="127" spans="1:11" ht="12.75" customHeight="1" x14ac:dyDescent="0.2">
      <c r="A127" s="463" t="s">
        <v>107</v>
      </c>
      <c r="B127" s="562">
        <v>3120</v>
      </c>
      <c r="C127" s="466">
        <v>43093</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3339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1235503</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15599</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v>70650</v>
      </c>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86249</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16544</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16544</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1373</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38857</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2012894</v>
      </c>
      <c r="G151" s="467"/>
      <c r="H151" s="468"/>
      <c r="I151" s="468"/>
      <c r="J151" s="468"/>
      <c r="K151" s="468"/>
    </row>
    <row r="152" spans="1:11" ht="12.75" customHeight="1" x14ac:dyDescent="0.2">
      <c r="A152" s="463" t="s">
        <v>1116</v>
      </c>
      <c r="B152" s="562">
        <v>3510</v>
      </c>
      <c r="C152" s="551"/>
      <c r="D152" s="466"/>
      <c r="E152" s="561"/>
      <c r="F152" s="466">
        <v>1247190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3260084</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6189</v>
      </c>
      <c r="D171" s="580"/>
      <c r="E171" s="580"/>
      <c r="F171" s="580"/>
      <c r="G171" s="581"/>
      <c r="H171" s="582"/>
      <c r="I171" s="581"/>
      <c r="J171" s="581"/>
      <c r="K171" s="582"/>
    </row>
    <row r="172" spans="1:11" ht="12.75" customHeight="1" thickTop="1" thickBot="1" x14ac:dyDescent="0.25">
      <c r="A172" s="2171" t="s">
        <v>417</v>
      </c>
      <c r="B172" s="2172"/>
      <c r="C172" s="1744">
        <f t="shared" ref="C172:K172" si="6">SUM(C131,C140,C144,C145:C149,C154,C155:C170,C171)</f>
        <v>1384715</v>
      </c>
      <c r="D172" s="1744">
        <f t="shared" si="6"/>
        <v>0</v>
      </c>
      <c r="E172" s="1744">
        <f t="shared" si="6"/>
        <v>0</v>
      </c>
      <c r="F172" s="1744">
        <f t="shared" si="6"/>
        <v>3260084</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8204060</v>
      </c>
      <c r="D173" s="1737">
        <f>SUM(D121,D172)</f>
        <v>0</v>
      </c>
      <c r="E173" s="1737">
        <f>SUM(E121,E172)</f>
        <v>0</v>
      </c>
      <c r="F173" s="1737">
        <f t="shared" ref="F173:K173" si="7">SUM(F121,F172)</f>
        <v>3260084</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73" t="s">
        <v>1571</v>
      </c>
      <c r="B175" s="2174"/>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7" t="s">
        <v>1763</v>
      </c>
      <c r="B178" s="217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1" t="s">
        <v>1762</v>
      </c>
      <c r="B179" s="2182"/>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9" t="s">
        <v>817</v>
      </c>
      <c r="B184" s="218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5" t="s">
        <v>1905</v>
      </c>
      <c r="B185" s="217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44587</v>
      </c>
      <c r="D194" s="468"/>
      <c r="E194" s="561"/>
      <c r="F194" s="468"/>
      <c r="G194" s="585"/>
      <c r="H194" s="468"/>
      <c r="I194" s="468"/>
      <c r="J194" s="468"/>
      <c r="K194" s="468"/>
    </row>
    <row r="195" spans="1:11" ht="12.75" customHeight="1" x14ac:dyDescent="0.2">
      <c r="A195" s="463" t="s">
        <v>1106</v>
      </c>
      <c r="B195" s="470">
        <v>4215</v>
      </c>
      <c r="C195" s="551">
        <v>33035</v>
      </c>
      <c r="D195" s="468"/>
      <c r="E195" s="561"/>
      <c r="F195" s="468"/>
      <c r="G195" s="585"/>
      <c r="H195" s="468"/>
      <c r="I195" s="468"/>
      <c r="J195" s="468"/>
      <c r="K195" s="468"/>
    </row>
    <row r="196" spans="1:11" ht="12.75" customHeight="1" x14ac:dyDescent="0.2">
      <c r="A196" s="463" t="s">
        <v>1118</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77622</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187760</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187760</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7307</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713447</v>
      </c>
      <c r="D220" s="466"/>
      <c r="E220" s="468"/>
      <c r="F220" s="466"/>
      <c r="G220" s="466"/>
      <c r="H220" s="468"/>
      <c r="I220" s="468"/>
      <c r="J220" s="468"/>
      <c r="K220" s="468"/>
    </row>
    <row r="221" spans="1:11" ht="12.75" customHeight="1" x14ac:dyDescent="0.2">
      <c r="A221" s="463" t="s">
        <v>1113</v>
      </c>
      <c r="B221" s="470">
        <v>4625</v>
      </c>
      <c r="C221" s="551">
        <v>36560</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757314</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17253</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17253</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v>160190</v>
      </c>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160190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15239</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57710</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85228</v>
      </c>
      <c r="D270" s="576"/>
      <c r="E270" s="468"/>
      <c r="F270" s="576"/>
      <c r="G270" s="576"/>
      <c r="H270" s="468"/>
      <c r="I270" s="468"/>
      <c r="J270" s="468"/>
      <c r="K270" s="468"/>
    </row>
    <row r="271" spans="1:11" ht="12.75" customHeight="1" thickTop="1" thickBot="1" x14ac:dyDescent="0.25">
      <c r="A271" s="463" t="s">
        <v>394</v>
      </c>
      <c r="B271" s="470">
        <v>4992</v>
      </c>
      <c r="C271" s="575">
        <v>173720</v>
      </c>
      <c r="D271" s="576"/>
      <c r="E271" s="468"/>
      <c r="F271" s="576"/>
      <c r="G271" s="576"/>
      <c r="H271" s="468"/>
      <c r="I271" s="468"/>
      <c r="J271" s="468"/>
      <c r="K271" s="468"/>
    </row>
    <row r="272" spans="1:11" s="594" customFormat="1" ht="12.75" customHeight="1" thickTop="1" thickBot="1" x14ac:dyDescent="0.25">
      <c r="A272" s="563" t="s">
        <v>77</v>
      </c>
      <c r="B272" s="557">
        <v>4999</v>
      </c>
      <c r="C272" s="575">
        <v>34</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1371880</v>
      </c>
      <c r="D273" s="1737">
        <f t="shared" si="10"/>
        <v>0</v>
      </c>
      <c r="E273" s="1737">
        <f t="shared" si="10"/>
        <v>160190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1371880</v>
      </c>
      <c r="D274" s="1737">
        <f>SUM(D178,D184,D273)</f>
        <v>0</v>
      </c>
      <c r="E274" s="1737">
        <f>SUM(E178,E273)</f>
        <v>160190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46985250</v>
      </c>
      <c r="D275" s="1737">
        <f t="shared" si="12"/>
        <v>5988628</v>
      </c>
      <c r="E275" s="1737">
        <f t="shared" si="12"/>
        <v>11155616</v>
      </c>
      <c r="F275" s="1737">
        <f t="shared" si="12"/>
        <v>4834007</v>
      </c>
      <c r="G275" s="1737">
        <f t="shared" si="12"/>
        <v>2535539</v>
      </c>
      <c r="H275" s="1737">
        <f t="shared" si="12"/>
        <v>0</v>
      </c>
      <c r="I275" s="1737">
        <f t="shared" si="12"/>
        <v>114594</v>
      </c>
      <c r="J275" s="1737">
        <f t="shared" si="12"/>
        <v>0</v>
      </c>
      <c r="K275" s="1724">
        <f t="shared" si="12"/>
        <v>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20" zoomScaleNormal="120" workbookViewId="0">
      <pane ySplit="2" topLeftCell="A117" activePane="bottomLeft" state="frozen"/>
      <selection activeCell="A47" sqref="A47"/>
      <selection pane="bottomLeft" activeCell="D125" sqref="D12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91" t="s">
        <v>314</v>
      </c>
      <c r="B3" s="2192"/>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17333473</v>
      </c>
      <c r="D5" s="466">
        <f>3773299-173656</f>
        <v>3599643</v>
      </c>
      <c r="E5" s="466">
        <v>311965</v>
      </c>
      <c r="F5" s="466">
        <v>481580</v>
      </c>
      <c r="G5" s="466">
        <f>11705+8034+3250</f>
        <v>22989</v>
      </c>
      <c r="H5" s="466">
        <v>8348</v>
      </c>
      <c r="I5" s="467">
        <v>26719</v>
      </c>
      <c r="J5" s="467"/>
      <c r="K5" s="1693">
        <f>SUM(C5:J5)</f>
        <v>21784717</v>
      </c>
      <c r="L5" s="466">
        <v>22401613</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c r="D7" s="467"/>
      <c r="E7" s="467"/>
      <c r="F7" s="467"/>
      <c r="G7" s="467"/>
      <c r="H7" s="467"/>
      <c r="I7" s="467"/>
      <c r="J7" s="467"/>
      <c r="K7" s="1693">
        <f t="shared" ref="K7:K32" si="0">SUM(C7:J7)</f>
        <v>0</v>
      </c>
      <c r="L7" s="466"/>
    </row>
    <row r="8" spans="1:14" x14ac:dyDescent="0.2">
      <c r="A8" s="1526" t="s">
        <v>166</v>
      </c>
      <c r="B8" s="615">
        <v>1200</v>
      </c>
      <c r="C8" s="466">
        <v>2892884</v>
      </c>
      <c r="D8" s="466">
        <f>799372-36789</f>
        <v>762583</v>
      </c>
      <c r="E8" s="466">
        <v>28658</v>
      </c>
      <c r="F8" s="466">
        <v>80536</v>
      </c>
      <c r="G8" s="466">
        <f>28662</f>
        <v>28662</v>
      </c>
      <c r="H8" s="466"/>
      <c r="I8" s="467">
        <v>3784</v>
      </c>
      <c r="J8" s="467"/>
      <c r="K8" s="1693">
        <f t="shared" si="0"/>
        <v>3797107</v>
      </c>
      <c r="L8" s="466">
        <v>3997803</v>
      </c>
    </row>
    <row r="9" spans="1:14" x14ac:dyDescent="0.2">
      <c r="A9" s="1526" t="s">
        <v>744</v>
      </c>
      <c r="B9" s="615" t="s">
        <v>1024</v>
      </c>
      <c r="C9" s="467">
        <v>337041</v>
      </c>
      <c r="D9" s="467">
        <f>73282-3373</f>
        <v>69909</v>
      </c>
      <c r="E9" s="467"/>
      <c r="F9" s="467">
        <v>3720</v>
      </c>
      <c r="G9" s="467"/>
      <c r="H9" s="467"/>
      <c r="I9" s="467"/>
      <c r="J9" s="467"/>
      <c r="K9" s="1693">
        <f t="shared" si="0"/>
        <v>410670</v>
      </c>
      <c r="L9" s="466">
        <v>470329</v>
      </c>
    </row>
    <row r="10" spans="1:14" x14ac:dyDescent="0.2">
      <c r="A10" s="1526" t="s">
        <v>745</v>
      </c>
      <c r="B10" s="615">
        <v>1250</v>
      </c>
      <c r="C10" s="466"/>
      <c r="D10" s="466"/>
      <c r="E10" s="466">
        <v>33359</v>
      </c>
      <c r="F10" s="466">
        <v>11524</v>
      </c>
      <c r="G10" s="466"/>
      <c r="H10" s="466"/>
      <c r="I10" s="467"/>
      <c r="J10" s="467"/>
      <c r="K10" s="1693">
        <f t="shared" si="0"/>
        <v>44883</v>
      </c>
      <c r="L10" s="466">
        <v>41200</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157519</v>
      </c>
      <c r="D13" s="466">
        <f>19025-876</f>
        <v>18149</v>
      </c>
      <c r="E13" s="466">
        <v>600</v>
      </c>
      <c r="F13" s="466">
        <v>151</v>
      </c>
      <c r="G13" s="466">
        <f>15024</f>
        <v>15024</v>
      </c>
      <c r="H13" s="466"/>
      <c r="I13" s="467">
        <v>3750</v>
      </c>
      <c r="J13" s="467"/>
      <c r="K13" s="1693">
        <f t="shared" si="0"/>
        <v>195193</v>
      </c>
      <c r="L13" s="466">
        <v>185447</v>
      </c>
    </row>
    <row r="14" spans="1:14" x14ac:dyDescent="0.2">
      <c r="A14" s="1526" t="s">
        <v>1019</v>
      </c>
      <c r="B14" s="615">
        <v>1500</v>
      </c>
      <c r="C14" s="466">
        <v>903800</v>
      </c>
      <c r="D14" s="466">
        <f>49147-2262</f>
        <v>46885</v>
      </c>
      <c r="E14" s="466">
        <v>160413</v>
      </c>
      <c r="F14" s="466">
        <v>89709</v>
      </c>
      <c r="G14" s="466">
        <f>1935+1935+4223</f>
        <v>8093</v>
      </c>
      <c r="H14" s="466">
        <v>27464</v>
      </c>
      <c r="I14" s="467">
        <v>1157</v>
      </c>
      <c r="J14" s="467"/>
      <c r="K14" s="1693">
        <f t="shared" si="0"/>
        <v>1237521</v>
      </c>
      <c r="L14" s="466">
        <f>1325193+133293</f>
        <v>1458486</v>
      </c>
    </row>
    <row r="15" spans="1:14" x14ac:dyDescent="0.2">
      <c r="A15" s="1526" t="s">
        <v>1020</v>
      </c>
      <c r="B15" s="615">
        <v>1600</v>
      </c>
      <c r="C15" s="466">
        <v>34610</v>
      </c>
      <c r="D15" s="466">
        <f>625-29</f>
        <v>596</v>
      </c>
      <c r="E15" s="466"/>
      <c r="F15" s="466">
        <v>943</v>
      </c>
      <c r="G15" s="466"/>
      <c r="H15" s="466"/>
      <c r="I15" s="467"/>
      <c r="J15" s="467"/>
      <c r="K15" s="1693">
        <f t="shared" si="0"/>
        <v>36149</v>
      </c>
      <c r="L15" s="466">
        <v>46575</v>
      </c>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203757</v>
      </c>
      <c r="D17" s="467">
        <f>42825-1971</f>
        <v>40854</v>
      </c>
      <c r="E17" s="467">
        <v>2994</v>
      </c>
      <c r="F17" s="467">
        <v>4129</v>
      </c>
      <c r="G17" s="467">
        <f>24999</f>
        <v>24999</v>
      </c>
      <c r="H17" s="467">
        <v>320</v>
      </c>
      <c r="I17" s="467"/>
      <c r="J17" s="467"/>
      <c r="K17" s="1693">
        <f t="shared" si="0"/>
        <v>277053</v>
      </c>
      <c r="L17" s="466">
        <v>247809</v>
      </c>
    </row>
    <row r="18" spans="1:12" x14ac:dyDescent="0.2">
      <c r="A18" s="1526" t="s">
        <v>1147</v>
      </c>
      <c r="B18" s="615">
        <v>1800</v>
      </c>
      <c r="C18" s="466">
        <v>216816</v>
      </c>
      <c r="D18" s="466">
        <f>57590-2650</f>
        <v>54940</v>
      </c>
      <c r="E18" s="466">
        <v>10545</v>
      </c>
      <c r="F18" s="466">
        <v>2014</v>
      </c>
      <c r="G18" s="466"/>
      <c r="H18" s="466"/>
      <c r="I18" s="467"/>
      <c r="J18" s="467"/>
      <c r="K18" s="1693">
        <f t="shared" si="0"/>
        <v>284315</v>
      </c>
      <c r="L18" s="466">
        <v>309042</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v>1620516</v>
      </c>
      <c r="I23" s="617"/>
      <c r="J23" s="477"/>
      <c r="K23" s="1693">
        <f t="shared" si="0"/>
        <v>1620516</v>
      </c>
      <c r="L23" s="471">
        <v>1400000</v>
      </c>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22079900</v>
      </c>
      <c r="D33" s="1692">
        <f t="shared" ref="D33:L33" si="1">SUM(D5:D32)</f>
        <v>4593559</v>
      </c>
      <c r="E33" s="1692">
        <f t="shared" si="1"/>
        <v>548534</v>
      </c>
      <c r="F33" s="1692">
        <f t="shared" si="1"/>
        <v>674306</v>
      </c>
      <c r="G33" s="1692">
        <f t="shared" si="1"/>
        <v>99767</v>
      </c>
      <c r="H33" s="1692">
        <f t="shared" si="1"/>
        <v>1656648</v>
      </c>
      <c r="I33" s="1692">
        <f t="shared" si="1"/>
        <v>35410</v>
      </c>
      <c r="J33" s="1692">
        <f t="shared" si="1"/>
        <v>0</v>
      </c>
      <c r="K33" s="1692">
        <f t="shared" si="1"/>
        <v>29688124</v>
      </c>
      <c r="L33" s="1692">
        <f t="shared" si="1"/>
        <v>30558304</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636401</v>
      </c>
      <c r="D36" s="481">
        <f>118715-5464</f>
        <v>113251</v>
      </c>
      <c r="E36" s="481">
        <v>19997</v>
      </c>
      <c r="F36" s="481">
        <v>3505</v>
      </c>
      <c r="G36" s="481"/>
      <c r="H36" s="481">
        <v>529</v>
      </c>
      <c r="I36" s="467"/>
      <c r="J36" s="467"/>
      <c r="K36" s="1693">
        <f t="shared" ref="K36:K41" si="2">SUM(C36:J36)</f>
        <v>773683</v>
      </c>
      <c r="L36" s="466">
        <v>821110</v>
      </c>
    </row>
    <row r="37" spans="1:14" x14ac:dyDescent="0.2">
      <c r="A37" s="1526" t="s">
        <v>1150</v>
      </c>
      <c r="B37" s="615">
        <v>2120</v>
      </c>
      <c r="C37" s="466">
        <v>969477</v>
      </c>
      <c r="D37" s="466">
        <f>222431-10237</f>
        <v>212194</v>
      </c>
      <c r="E37" s="466">
        <v>7276</v>
      </c>
      <c r="F37" s="466">
        <v>5721</v>
      </c>
      <c r="G37" s="466"/>
      <c r="H37" s="466"/>
      <c r="I37" s="467"/>
      <c r="J37" s="467"/>
      <c r="K37" s="1693">
        <f t="shared" si="2"/>
        <v>1194668</v>
      </c>
      <c r="L37" s="466">
        <v>1223664</v>
      </c>
    </row>
    <row r="38" spans="1:14" x14ac:dyDescent="0.2">
      <c r="A38" s="1526" t="s">
        <v>207</v>
      </c>
      <c r="B38" s="615">
        <v>2130</v>
      </c>
      <c r="C38" s="466">
        <v>709512</v>
      </c>
      <c r="D38" s="466">
        <f>115452-5313</f>
        <v>110139</v>
      </c>
      <c r="E38" s="466">
        <v>2679</v>
      </c>
      <c r="F38" s="466">
        <v>16720</v>
      </c>
      <c r="G38" s="466"/>
      <c r="H38" s="466"/>
      <c r="I38" s="467"/>
      <c r="J38" s="467"/>
      <c r="K38" s="1693">
        <f t="shared" si="2"/>
        <v>839050</v>
      </c>
      <c r="L38" s="466">
        <v>1033331</v>
      </c>
    </row>
    <row r="39" spans="1:14" x14ac:dyDescent="0.2">
      <c r="A39" s="1526" t="s">
        <v>208</v>
      </c>
      <c r="B39" s="615">
        <v>2140</v>
      </c>
      <c r="C39" s="466">
        <v>435834</v>
      </c>
      <c r="D39" s="466">
        <f>103028-4742</f>
        <v>98286</v>
      </c>
      <c r="E39" s="466">
        <v>1417</v>
      </c>
      <c r="F39" s="466">
        <v>4811</v>
      </c>
      <c r="G39" s="466"/>
      <c r="H39" s="466"/>
      <c r="I39" s="467"/>
      <c r="J39" s="467"/>
      <c r="K39" s="1693">
        <f t="shared" si="2"/>
        <v>540348</v>
      </c>
      <c r="L39" s="466">
        <v>554783</v>
      </c>
    </row>
    <row r="40" spans="1:14" x14ac:dyDescent="0.2">
      <c r="A40" s="1526" t="s">
        <v>209</v>
      </c>
      <c r="B40" s="615">
        <v>2150</v>
      </c>
      <c r="C40" s="466">
        <v>675665</v>
      </c>
      <c r="D40" s="466">
        <f>165865-7634</f>
        <v>158231</v>
      </c>
      <c r="E40" s="466">
        <v>3520</v>
      </c>
      <c r="F40" s="466">
        <v>6659</v>
      </c>
      <c r="G40" s="466"/>
      <c r="H40" s="466"/>
      <c r="I40" s="467"/>
      <c r="J40" s="467"/>
      <c r="K40" s="1693">
        <f t="shared" si="2"/>
        <v>844075</v>
      </c>
      <c r="L40" s="466">
        <v>859445</v>
      </c>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580</v>
      </c>
      <c r="B42" s="1691" t="s">
        <v>739</v>
      </c>
      <c r="C42" s="1692">
        <f>SUM(C36:C41)</f>
        <v>3426889</v>
      </c>
      <c r="D42" s="1692">
        <f t="shared" ref="D42:L42" si="3">SUM(D36:D41)</f>
        <v>692101</v>
      </c>
      <c r="E42" s="1692">
        <f t="shared" si="3"/>
        <v>34889</v>
      </c>
      <c r="F42" s="1692">
        <f t="shared" si="3"/>
        <v>37416</v>
      </c>
      <c r="G42" s="1692">
        <f t="shared" si="3"/>
        <v>0</v>
      </c>
      <c r="H42" s="1692">
        <f t="shared" si="3"/>
        <v>529</v>
      </c>
      <c r="I42" s="1692">
        <f t="shared" si="3"/>
        <v>0</v>
      </c>
      <c r="J42" s="1692">
        <f t="shared" si="3"/>
        <v>0</v>
      </c>
      <c r="K42" s="1692">
        <f t="shared" si="3"/>
        <v>4191824</v>
      </c>
      <c r="L42" s="1692">
        <f t="shared" si="3"/>
        <v>4492333</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1606419</v>
      </c>
      <c r="D44" s="481">
        <f>308332-14190</f>
        <v>294142</v>
      </c>
      <c r="E44" s="481">
        <v>126440</v>
      </c>
      <c r="F44" s="481">
        <v>32431</v>
      </c>
      <c r="G44" s="481"/>
      <c r="H44" s="481">
        <v>4007</v>
      </c>
      <c r="I44" s="467">
        <v>7204</v>
      </c>
      <c r="J44" s="467"/>
      <c r="K44" s="1694">
        <f>SUM(C44:J44)</f>
        <v>2070643</v>
      </c>
      <c r="L44" s="481">
        <v>2151829</v>
      </c>
    </row>
    <row r="45" spans="1:14" x14ac:dyDescent="0.2">
      <c r="A45" s="1526" t="s">
        <v>868</v>
      </c>
      <c r="B45" s="615">
        <v>2220</v>
      </c>
      <c r="C45" s="466">
        <v>811486</v>
      </c>
      <c r="D45" s="466">
        <f>179371-8255</f>
        <v>171116</v>
      </c>
      <c r="E45" s="466">
        <v>259000</v>
      </c>
      <c r="F45" s="466">
        <v>164894</v>
      </c>
      <c r="G45" s="466">
        <f>24111</f>
        <v>24111</v>
      </c>
      <c r="H45" s="466">
        <v>1089</v>
      </c>
      <c r="I45" s="467">
        <v>266097</v>
      </c>
      <c r="J45" s="467"/>
      <c r="K45" s="1694">
        <f>SUM(C45:J45)</f>
        <v>1697793</v>
      </c>
      <c r="L45" s="466">
        <v>1707345</v>
      </c>
    </row>
    <row r="46" spans="1:14" x14ac:dyDescent="0.2">
      <c r="A46" s="1526" t="s">
        <v>869</v>
      </c>
      <c r="B46" s="615">
        <v>2230</v>
      </c>
      <c r="C46" s="466">
        <v>31483</v>
      </c>
      <c r="D46" s="466">
        <f>3755-173</f>
        <v>3582</v>
      </c>
      <c r="E46" s="466">
        <v>119192</v>
      </c>
      <c r="F46" s="466">
        <v>422</v>
      </c>
      <c r="G46" s="466"/>
      <c r="H46" s="466"/>
      <c r="I46" s="467"/>
      <c r="J46" s="467"/>
      <c r="K46" s="1694">
        <f>SUM(C46:J46)</f>
        <v>154679</v>
      </c>
      <c r="L46" s="466">
        <v>152492</v>
      </c>
    </row>
    <row r="47" spans="1:14" ht="12.75" customHeight="1" thickBot="1" x14ac:dyDescent="0.25">
      <c r="A47" s="1690" t="s">
        <v>581</v>
      </c>
      <c r="B47" s="1691" t="s">
        <v>32</v>
      </c>
      <c r="C47" s="1692">
        <f>SUM(C44:C46)</f>
        <v>2449388</v>
      </c>
      <c r="D47" s="1692">
        <f t="shared" ref="D47:K47" si="4">SUM(D44:D46)</f>
        <v>468840</v>
      </c>
      <c r="E47" s="1692">
        <f t="shared" si="4"/>
        <v>504632</v>
      </c>
      <c r="F47" s="1692">
        <f t="shared" si="4"/>
        <v>197747</v>
      </c>
      <c r="G47" s="1692">
        <f t="shared" si="4"/>
        <v>24111</v>
      </c>
      <c r="H47" s="1692">
        <f t="shared" si="4"/>
        <v>5096</v>
      </c>
      <c r="I47" s="1692">
        <f t="shared" si="4"/>
        <v>273301</v>
      </c>
      <c r="J47" s="1692">
        <f t="shared" si="4"/>
        <v>0</v>
      </c>
      <c r="K47" s="1692">
        <f t="shared" si="4"/>
        <v>3923115</v>
      </c>
      <c r="L47" s="1692">
        <f>SUM(L44:L46)</f>
        <v>4011666</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0</v>
      </c>
      <c r="D49" s="481"/>
      <c r="E49" s="481">
        <v>135110</v>
      </c>
      <c r="F49" s="481">
        <v>9689</v>
      </c>
      <c r="G49" s="481"/>
      <c r="H49" s="481">
        <v>8670</v>
      </c>
      <c r="I49" s="467"/>
      <c r="J49" s="467"/>
      <c r="K49" s="1694">
        <f>SUM(C49:J49)</f>
        <v>153469</v>
      </c>
      <c r="L49" s="481">
        <v>188040</v>
      </c>
    </row>
    <row r="50" spans="1:14" x14ac:dyDescent="0.2">
      <c r="A50" s="1526" t="s">
        <v>871</v>
      </c>
      <c r="B50" s="615">
        <v>2320</v>
      </c>
      <c r="C50" s="466">
        <v>275581</v>
      </c>
      <c r="D50" s="466">
        <f>38968-1793</f>
        <v>37175</v>
      </c>
      <c r="E50" s="466">
        <v>6308</v>
      </c>
      <c r="F50" s="466">
        <v>935</v>
      </c>
      <c r="G50" s="466"/>
      <c r="H50" s="466">
        <v>3150</v>
      </c>
      <c r="I50" s="467"/>
      <c r="J50" s="467"/>
      <c r="K50" s="1694">
        <f>SUM(C50:J50)</f>
        <v>323149</v>
      </c>
      <c r="L50" s="466">
        <v>333786</v>
      </c>
    </row>
    <row r="51" spans="1:14" x14ac:dyDescent="0.2">
      <c r="A51" s="1526" t="s">
        <v>44</v>
      </c>
      <c r="B51" s="615">
        <v>2330</v>
      </c>
      <c r="C51" s="466">
        <v>270925</v>
      </c>
      <c r="D51" s="466">
        <f>57483-2646</f>
        <v>54837</v>
      </c>
      <c r="E51" s="466">
        <v>2975</v>
      </c>
      <c r="F51" s="466">
        <v>524</v>
      </c>
      <c r="G51" s="466"/>
      <c r="H51" s="466">
        <v>490</v>
      </c>
      <c r="I51" s="467"/>
      <c r="J51" s="467"/>
      <c r="K51" s="1694">
        <f>SUM(C51:J51)</f>
        <v>329751</v>
      </c>
      <c r="L51" s="466">
        <v>321599</v>
      </c>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546506</v>
      </c>
      <c r="D53" s="1692">
        <f t="shared" ref="D53:L53" si="5">SUM(D49:D52)</f>
        <v>92012</v>
      </c>
      <c r="E53" s="1692">
        <f t="shared" si="5"/>
        <v>144393</v>
      </c>
      <c r="F53" s="1692">
        <f t="shared" si="5"/>
        <v>11148</v>
      </c>
      <c r="G53" s="1692">
        <f t="shared" si="5"/>
        <v>0</v>
      </c>
      <c r="H53" s="1692">
        <f t="shared" si="5"/>
        <v>12310</v>
      </c>
      <c r="I53" s="1692">
        <f t="shared" si="5"/>
        <v>0</v>
      </c>
      <c r="J53" s="1692">
        <f t="shared" si="5"/>
        <v>0</v>
      </c>
      <c r="K53" s="1692">
        <f t="shared" si="5"/>
        <v>806369</v>
      </c>
      <c r="L53" s="1692">
        <f t="shared" si="5"/>
        <v>843425</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1602114</v>
      </c>
      <c r="D55" s="481">
        <f>454119-20900</f>
        <v>433219</v>
      </c>
      <c r="E55" s="481">
        <v>36010</v>
      </c>
      <c r="F55" s="481">
        <v>45639</v>
      </c>
      <c r="G55" s="481">
        <f>2200</f>
        <v>2200</v>
      </c>
      <c r="H55" s="481">
        <v>8846</v>
      </c>
      <c r="I55" s="467">
        <v>4301</v>
      </c>
      <c r="J55" s="467" t="s">
        <v>1230</v>
      </c>
      <c r="K55" s="1694">
        <f>SUM(C55:J55)</f>
        <v>2132329</v>
      </c>
      <c r="L55" s="481">
        <v>2222798</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1602114</v>
      </c>
      <c r="D57" s="1696">
        <f t="shared" ref="D57:K57" si="6">SUM(D55:D56)</f>
        <v>433219</v>
      </c>
      <c r="E57" s="1696">
        <f t="shared" si="6"/>
        <v>36010</v>
      </c>
      <c r="F57" s="1696">
        <f t="shared" si="6"/>
        <v>45639</v>
      </c>
      <c r="G57" s="1696">
        <f t="shared" si="6"/>
        <v>2200</v>
      </c>
      <c r="H57" s="1696">
        <f t="shared" si="6"/>
        <v>8846</v>
      </c>
      <c r="I57" s="1696">
        <f t="shared" si="6"/>
        <v>4301</v>
      </c>
      <c r="J57" s="1696">
        <f t="shared" si="6"/>
        <v>0</v>
      </c>
      <c r="K57" s="1696">
        <f t="shared" si="6"/>
        <v>2132329</v>
      </c>
      <c r="L57" s="1692">
        <f>SUM(L55:L56)</f>
        <v>2222798</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155389</v>
      </c>
      <c r="D59" s="481">
        <f>29018-1335</f>
        <v>27683</v>
      </c>
      <c r="E59" s="481"/>
      <c r="F59" s="481"/>
      <c r="G59" s="481"/>
      <c r="H59" s="481"/>
      <c r="I59" s="467"/>
      <c r="J59" s="467"/>
      <c r="K59" s="1694">
        <f t="shared" ref="K59:K64" si="7">SUM(C59:J59)</f>
        <v>183072</v>
      </c>
      <c r="L59" s="481">
        <v>184340</v>
      </c>
      <c r="M59" s="610"/>
      <c r="N59" s="610"/>
    </row>
    <row r="60" spans="1:14" s="343" customFormat="1" x14ac:dyDescent="0.2">
      <c r="A60" s="1526" t="s">
        <v>482</v>
      </c>
      <c r="B60" s="615">
        <v>2520</v>
      </c>
      <c r="C60" s="466">
        <v>318005</v>
      </c>
      <c r="D60" s="466">
        <f>107233-4935</f>
        <v>102298</v>
      </c>
      <c r="E60" s="466">
        <v>20456</v>
      </c>
      <c r="F60" s="466">
        <v>6396</v>
      </c>
      <c r="G60" s="466">
        <f>2199</f>
        <v>2199</v>
      </c>
      <c r="H60" s="466">
        <v>73198</v>
      </c>
      <c r="I60" s="467">
        <v>607</v>
      </c>
      <c r="J60" s="467"/>
      <c r="K60" s="1694">
        <f t="shared" si="7"/>
        <v>523159</v>
      </c>
      <c r="L60" s="466">
        <v>527765</v>
      </c>
      <c r="M60" s="610"/>
      <c r="N60" s="610"/>
    </row>
    <row r="61" spans="1:14" s="343" customFormat="1" x14ac:dyDescent="0.2">
      <c r="A61" s="1526" t="s">
        <v>206</v>
      </c>
      <c r="B61" s="615">
        <v>2540</v>
      </c>
      <c r="C61" s="466">
        <v>152518</v>
      </c>
      <c r="D61" s="466">
        <f>37575-1729</f>
        <v>35846</v>
      </c>
      <c r="E61" s="466">
        <v>73210</v>
      </c>
      <c r="F61" s="466">
        <v>14516</v>
      </c>
      <c r="G61" s="466"/>
      <c r="H61" s="466"/>
      <c r="I61" s="467">
        <v>9475</v>
      </c>
      <c r="J61" s="467"/>
      <c r="K61" s="1694">
        <f t="shared" si="7"/>
        <v>285565</v>
      </c>
      <c r="L61" s="466">
        <v>329984</v>
      </c>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291327</v>
      </c>
      <c r="D63" s="466">
        <f>123906-5702</f>
        <v>118204</v>
      </c>
      <c r="E63" s="466">
        <v>72596</v>
      </c>
      <c r="F63" s="466">
        <v>604619</v>
      </c>
      <c r="G63" s="466">
        <f>6412+2021</f>
        <v>8433</v>
      </c>
      <c r="H63" s="466">
        <v>3334</v>
      </c>
      <c r="I63" s="467">
        <v>764</v>
      </c>
      <c r="J63" s="467"/>
      <c r="K63" s="1694">
        <f t="shared" si="7"/>
        <v>1099277</v>
      </c>
      <c r="L63" s="466">
        <v>1242773</v>
      </c>
    </row>
    <row r="64" spans="1:14" s="610" customFormat="1" x14ac:dyDescent="0.2">
      <c r="A64" s="1531" t="s">
        <v>103</v>
      </c>
      <c r="B64" s="631">
        <v>2570</v>
      </c>
      <c r="C64" s="481"/>
      <c r="D64" s="481"/>
      <c r="E64" s="481"/>
      <c r="F64" s="481">
        <v>40670</v>
      </c>
      <c r="G64" s="481"/>
      <c r="H64" s="481"/>
      <c r="I64" s="467"/>
      <c r="J64" s="467"/>
      <c r="K64" s="1694">
        <f t="shared" si="7"/>
        <v>40670</v>
      </c>
      <c r="L64" s="481">
        <v>2387</v>
      </c>
    </row>
    <row r="65" spans="1:14" s="343" customFormat="1" ht="12.75" customHeight="1" thickBot="1" x14ac:dyDescent="0.25">
      <c r="A65" s="1690" t="s">
        <v>742</v>
      </c>
      <c r="B65" s="1691" t="s">
        <v>35</v>
      </c>
      <c r="C65" s="1692">
        <f>SUM(C59:C64)</f>
        <v>917239</v>
      </c>
      <c r="D65" s="1692">
        <f t="shared" ref="D65:L65" si="8">SUM(D59:D64)</f>
        <v>284031</v>
      </c>
      <c r="E65" s="1692">
        <f t="shared" si="8"/>
        <v>166262</v>
      </c>
      <c r="F65" s="1692">
        <f t="shared" si="8"/>
        <v>666201</v>
      </c>
      <c r="G65" s="1692">
        <f t="shared" si="8"/>
        <v>10632</v>
      </c>
      <c r="H65" s="1692">
        <f t="shared" si="8"/>
        <v>76532</v>
      </c>
      <c r="I65" s="1692">
        <f t="shared" si="8"/>
        <v>10846</v>
      </c>
      <c r="J65" s="1692">
        <f t="shared" si="8"/>
        <v>0</v>
      </c>
      <c r="K65" s="1692">
        <f t="shared" si="8"/>
        <v>2131743</v>
      </c>
      <c r="L65" s="1692">
        <f t="shared" si="8"/>
        <v>2287249</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v>15014</v>
      </c>
      <c r="D68" s="466">
        <f>344-16</f>
        <v>328</v>
      </c>
      <c r="E68" s="466"/>
      <c r="F68" s="466"/>
      <c r="G68" s="466"/>
      <c r="H68" s="466"/>
      <c r="I68" s="467"/>
      <c r="J68" s="467"/>
      <c r="K68" s="1694">
        <f>SUM(C68:J68)</f>
        <v>15342</v>
      </c>
      <c r="L68" s="466">
        <v>27000</v>
      </c>
      <c r="M68" s="610"/>
      <c r="N68" s="610"/>
    </row>
    <row r="69" spans="1:14" s="343" customFormat="1" x14ac:dyDescent="0.2">
      <c r="A69" s="1526" t="s">
        <v>1120</v>
      </c>
      <c r="B69" s="615">
        <v>2630</v>
      </c>
      <c r="C69" s="466">
        <v>5000</v>
      </c>
      <c r="D69" s="466"/>
      <c r="E69" s="466">
        <v>9513</v>
      </c>
      <c r="F69" s="466"/>
      <c r="G69" s="466"/>
      <c r="H69" s="466"/>
      <c r="I69" s="467"/>
      <c r="J69" s="467"/>
      <c r="K69" s="1694">
        <f>SUM(C69:J69)</f>
        <v>14513</v>
      </c>
      <c r="L69" s="466">
        <v>17610</v>
      </c>
      <c r="M69" s="610"/>
      <c r="N69" s="610"/>
    </row>
    <row r="70" spans="1:14" s="343" customFormat="1" x14ac:dyDescent="0.2">
      <c r="A70" s="1526" t="s">
        <v>422</v>
      </c>
      <c r="B70" s="615">
        <v>2640</v>
      </c>
      <c r="C70" s="466">
        <v>167932</v>
      </c>
      <c r="D70" s="466">
        <f>43153-1986</f>
        <v>41167</v>
      </c>
      <c r="E70" s="466">
        <v>22689</v>
      </c>
      <c r="F70" s="466">
        <v>1661</v>
      </c>
      <c r="G70" s="466"/>
      <c r="H70" s="466">
        <v>575</v>
      </c>
      <c r="I70" s="467"/>
      <c r="J70" s="467"/>
      <c r="K70" s="1694">
        <f>SUM(C70:J70)</f>
        <v>234024</v>
      </c>
      <c r="L70" s="466">
        <v>258566</v>
      </c>
      <c r="M70" s="610"/>
      <c r="N70" s="610"/>
    </row>
    <row r="71" spans="1:14" s="343" customFormat="1" x14ac:dyDescent="0.2">
      <c r="A71" s="1526" t="s">
        <v>423</v>
      </c>
      <c r="B71" s="615">
        <v>2660</v>
      </c>
      <c r="C71" s="466">
        <v>24115</v>
      </c>
      <c r="D71" s="466"/>
      <c r="E71" s="466"/>
      <c r="F71" s="466"/>
      <c r="G71" s="466"/>
      <c r="H71" s="466"/>
      <c r="I71" s="467"/>
      <c r="J71" s="467"/>
      <c r="K71" s="1694">
        <f>SUM(C71:J71)</f>
        <v>24115</v>
      </c>
      <c r="L71" s="466">
        <v>28150</v>
      </c>
      <c r="M71" s="610"/>
      <c r="N71" s="610"/>
    </row>
    <row r="72" spans="1:14" s="343" customFormat="1" ht="12.75" customHeight="1" thickBot="1" x14ac:dyDescent="0.25">
      <c r="A72" s="1690" t="s">
        <v>37</v>
      </c>
      <c r="B72" s="1697" t="s">
        <v>36</v>
      </c>
      <c r="C72" s="1692">
        <f>SUM(C67:C71)</f>
        <v>212061</v>
      </c>
      <c r="D72" s="1692">
        <f t="shared" ref="D72:K72" si="9">SUM(D67:D71)</f>
        <v>41495</v>
      </c>
      <c r="E72" s="1692">
        <f t="shared" si="9"/>
        <v>32202</v>
      </c>
      <c r="F72" s="1692">
        <f t="shared" si="9"/>
        <v>1661</v>
      </c>
      <c r="G72" s="1692">
        <f t="shared" si="9"/>
        <v>0</v>
      </c>
      <c r="H72" s="1692">
        <f t="shared" si="9"/>
        <v>575</v>
      </c>
      <c r="I72" s="1692">
        <f t="shared" si="9"/>
        <v>0</v>
      </c>
      <c r="J72" s="1692">
        <f t="shared" si="9"/>
        <v>0</v>
      </c>
      <c r="K72" s="1692">
        <f t="shared" si="9"/>
        <v>287994</v>
      </c>
      <c r="L72" s="1692">
        <f>SUM(L67:L71)</f>
        <v>331326</v>
      </c>
      <c r="M72" s="610"/>
      <c r="N72" s="610"/>
    </row>
    <row r="73" spans="1:14" s="343" customFormat="1" ht="14.25" thickTop="1" thickBot="1" x14ac:dyDescent="0.25">
      <c r="A73" s="1532" t="s">
        <v>1036</v>
      </c>
      <c r="B73" s="633" t="s">
        <v>594</v>
      </c>
      <c r="C73" s="573">
        <v>113563</v>
      </c>
      <c r="D73" s="573"/>
      <c r="E73" s="573">
        <v>328299</v>
      </c>
      <c r="F73" s="573"/>
      <c r="G73" s="573"/>
      <c r="H73" s="573"/>
      <c r="I73" s="531"/>
      <c r="J73" s="531"/>
      <c r="K73" s="1692">
        <f>SUM(C73:J73)</f>
        <v>441862</v>
      </c>
      <c r="L73" s="576">
        <v>446696</v>
      </c>
      <c r="M73" s="610"/>
      <c r="N73" s="610"/>
    </row>
    <row r="74" spans="1:14" ht="12.75" customHeight="1" thickTop="1" thickBot="1" x14ac:dyDescent="0.25">
      <c r="A74" s="1690" t="s">
        <v>864</v>
      </c>
      <c r="B74" s="1698">
        <v>2000</v>
      </c>
      <c r="C74" s="1699">
        <f>SUM(C42,C47,C53,C57,C65,C72,C73)</f>
        <v>9267760</v>
      </c>
      <c r="D74" s="1699">
        <f t="shared" ref="D74:K74" si="10">SUM(D42,D47,D53,D57,D65,D72,D73)</f>
        <v>2011698</v>
      </c>
      <c r="E74" s="1699">
        <f t="shared" si="10"/>
        <v>1246687</v>
      </c>
      <c r="F74" s="1699">
        <f t="shared" si="10"/>
        <v>959812</v>
      </c>
      <c r="G74" s="1699">
        <f t="shared" si="10"/>
        <v>36943</v>
      </c>
      <c r="H74" s="1699">
        <f t="shared" si="10"/>
        <v>103888</v>
      </c>
      <c r="I74" s="1699">
        <f t="shared" si="10"/>
        <v>288448</v>
      </c>
      <c r="J74" s="1699">
        <f t="shared" si="10"/>
        <v>0</v>
      </c>
      <c r="K74" s="1699">
        <f t="shared" si="10"/>
        <v>13915236</v>
      </c>
      <c r="L74" s="1699">
        <f>SUM(L42,L47,L53,L57,L65,L72,L73)</f>
        <v>14635493</v>
      </c>
    </row>
    <row r="75" spans="1:14" s="259" customFormat="1" ht="15.75" customHeight="1" thickTop="1" thickBot="1" x14ac:dyDescent="0.25">
      <c r="A75" s="1632" t="s">
        <v>49</v>
      </c>
      <c r="B75" s="1633" t="s">
        <v>595</v>
      </c>
      <c r="C75" s="573">
        <v>10319</v>
      </c>
      <c r="D75" s="573">
        <f>138-6</f>
        <v>132</v>
      </c>
      <c r="E75" s="573">
        <v>3538</v>
      </c>
      <c r="F75" s="573">
        <v>5231</v>
      </c>
      <c r="G75" s="573"/>
      <c r="H75" s="573"/>
      <c r="I75" s="531"/>
      <c r="J75" s="531"/>
      <c r="K75" s="1692">
        <f>SUM(C75:J75)</f>
        <v>19220</v>
      </c>
      <c r="L75" s="576">
        <v>22143</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v>534963</v>
      </c>
      <c r="F79" s="617"/>
      <c r="G79" s="617"/>
      <c r="H79" s="466"/>
      <c r="I79" s="477"/>
      <c r="J79" s="477"/>
      <c r="K79" s="1693">
        <f t="shared" si="11"/>
        <v>534963</v>
      </c>
      <c r="L79" s="466">
        <v>537351</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534963</v>
      </c>
      <c r="F84" s="617"/>
      <c r="G84" s="617"/>
      <c r="H84" s="1692">
        <f>SUM(H78:H83)</f>
        <v>0</v>
      </c>
      <c r="I84" s="477"/>
      <c r="J84" s="477"/>
      <c r="K84" s="1692">
        <f>SUM(K78:K83)</f>
        <v>534963</v>
      </c>
      <c r="L84" s="1692">
        <f>SUM(L78:L83)</f>
        <v>537351</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1484672</v>
      </c>
      <c r="I86" s="477"/>
      <c r="J86" s="477"/>
      <c r="K86" s="1699">
        <f t="shared" ref="K86:K98" si="12">H86</f>
        <v>1484672</v>
      </c>
      <c r="L86" s="530">
        <v>1333216</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v>555442</v>
      </c>
      <c r="I88" s="477"/>
      <c r="J88" s="477"/>
      <c r="K88" s="1699">
        <f t="shared" si="12"/>
        <v>555442</v>
      </c>
      <c r="L88" s="530">
        <v>600000</v>
      </c>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2040114</v>
      </c>
      <c r="I92" s="477"/>
      <c r="J92" s="477"/>
      <c r="K92" s="1699">
        <f t="shared" si="12"/>
        <v>2040114</v>
      </c>
      <c r="L92" s="1692">
        <f>SUM(L85:L91)</f>
        <v>1933216</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v>5449</v>
      </c>
      <c r="F99" s="617"/>
      <c r="G99" s="617"/>
      <c r="H99" s="467"/>
      <c r="I99" s="477"/>
      <c r="J99" s="477"/>
      <c r="K99" s="1699">
        <f>SUM(E99,H99)</f>
        <v>5449</v>
      </c>
      <c r="L99" s="530">
        <v>11679</v>
      </c>
    </row>
    <row r="100" spans="1:14" ht="14.25" thickTop="1" thickBot="1" x14ac:dyDescent="0.25">
      <c r="A100" s="1702" t="s">
        <v>1565</v>
      </c>
      <c r="B100" s="1703">
        <v>4300</v>
      </c>
      <c r="C100" s="617"/>
      <c r="D100" s="617"/>
      <c r="E100" s="1699">
        <f>SUM(E93:E99)</f>
        <v>5449</v>
      </c>
      <c r="F100" s="617"/>
      <c r="G100" s="617"/>
      <c r="H100" s="1699">
        <f>SUM(H93:H99)</f>
        <v>0</v>
      </c>
      <c r="I100" s="477"/>
      <c r="J100" s="477"/>
      <c r="K100" s="1699">
        <f>SUM(K93:K99)</f>
        <v>5449</v>
      </c>
      <c r="L100" s="1699">
        <f>SUM(L93:L99)</f>
        <v>11679</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540412</v>
      </c>
      <c r="F102" s="617"/>
      <c r="G102" s="617"/>
      <c r="H102" s="1699">
        <f>SUM(H84,H92,H100,H101)</f>
        <v>2040114</v>
      </c>
      <c r="I102" s="477"/>
      <c r="J102" s="477"/>
      <c r="K102" s="1699">
        <f>SUM(K84,K92,K100,K101)</f>
        <v>2580526</v>
      </c>
      <c r="L102" s="1699">
        <f>SUM(L84,L92,L100,L101)</f>
        <v>2482246</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31357979</v>
      </c>
      <c r="D114" s="1692">
        <f t="shared" ref="D114:K114" si="13">SUM(D33,D74,D75,D102,D112,D113)</f>
        <v>6605389</v>
      </c>
      <c r="E114" s="1692">
        <f t="shared" si="13"/>
        <v>2339171</v>
      </c>
      <c r="F114" s="1692">
        <f t="shared" si="13"/>
        <v>1639349</v>
      </c>
      <c r="G114" s="1692">
        <f t="shared" si="13"/>
        <v>136710</v>
      </c>
      <c r="H114" s="1692">
        <f>SUM(H33,H74,H75,H102,H112,H113)</f>
        <v>3800650</v>
      </c>
      <c r="I114" s="1692">
        <f t="shared" si="13"/>
        <v>323858</v>
      </c>
      <c r="J114" s="1692">
        <f t="shared" si="13"/>
        <v>0</v>
      </c>
      <c r="K114" s="1692">
        <f t="shared" si="13"/>
        <v>46203106</v>
      </c>
      <c r="L114" s="1692">
        <f>SUM(L33,L74,L75,L102,L112,L113)</f>
        <v>47698186</v>
      </c>
    </row>
    <row r="115" spans="1:14" ht="13.5" thickTop="1" x14ac:dyDescent="0.2">
      <c r="A115" s="2183" t="s">
        <v>1052</v>
      </c>
      <c r="B115" s="2184"/>
      <c r="C115" s="619"/>
      <c r="D115" s="619"/>
      <c r="E115" s="619"/>
      <c r="F115" s="619"/>
      <c r="G115" s="619"/>
      <c r="H115" s="619"/>
      <c r="I115" s="619"/>
      <c r="J115" s="619"/>
      <c r="K115" s="1706">
        <f>'Revenues 9-14'!C275-'Expenditures 15-22'!K114</f>
        <v>782144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8" t="s">
        <v>313</v>
      </c>
      <c r="B117" s="2189"/>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26234</v>
      </c>
      <c r="F123" s="466"/>
      <c r="G123" s="466"/>
      <c r="H123" s="466"/>
      <c r="I123" s="467"/>
      <c r="J123" s="467"/>
      <c r="K123" s="1692">
        <f>SUM(C123:J123)</f>
        <v>26234</v>
      </c>
      <c r="L123" s="466">
        <v>43150</v>
      </c>
    </row>
    <row r="124" spans="1:14" ht="14.25" thickTop="1" thickBot="1" x14ac:dyDescent="0.25">
      <c r="A124" s="1526" t="s">
        <v>206</v>
      </c>
      <c r="B124" s="615">
        <v>2540</v>
      </c>
      <c r="C124" s="466">
        <v>525979</v>
      </c>
      <c r="D124" s="466">
        <f>117148-130-5385</f>
        <v>111633</v>
      </c>
      <c r="E124" s="466">
        <f>2292656-4702-347-2360-1555-5409-852-3956-125-2169-299</f>
        <v>2270882</v>
      </c>
      <c r="F124" s="466">
        <f>1140586-15702-4295-4130-8044-9934-531-7795-5256</f>
        <v>1084899</v>
      </c>
      <c r="G124" s="466">
        <v>884371</v>
      </c>
      <c r="H124" s="466">
        <v>6876</v>
      </c>
      <c r="I124" s="467">
        <v>27847</v>
      </c>
      <c r="J124" s="467"/>
      <c r="K124" s="1692">
        <f>SUM(C124:J124)</f>
        <v>4912487</v>
      </c>
      <c r="L124" s="466">
        <f>4332222+1047217</f>
        <v>5379439</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525979</v>
      </c>
      <c r="D127" s="1692">
        <f t="shared" ref="D127:L127" si="14">SUM(D122:D126)</f>
        <v>111633</v>
      </c>
      <c r="E127" s="1692">
        <f t="shared" si="14"/>
        <v>2297116</v>
      </c>
      <c r="F127" s="1692">
        <f t="shared" si="14"/>
        <v>1084899</v>
      </c>
      <c r="G127" s="1692">
        <f t="shared" si="14"/>
        <v>884371</v>
      </c>
      <c r="H127" s="1692">
        <f t="shared" si="14"/>
        <v>6876</v>
      </c>
      <c r="I127" s="1692">
        <f t="shared" si="14"/>
        <v>27847</v>
      </c>
      <c r="J127" s="1692">
        <f t="shared" si="14"/>
        <v>0</v>
      </c>
      <c r="K127" s="1692">
        <f t="shared" si="14"/>
        <v>4938721</v>
      </c>
      <c r="L127" s="1692">
        <f t="shared" si="14"/>
        <v>5422589</v>
      </c>
    </row>
    <row r="128" spans="1:14" ht="12.75" customHeight="1" thickTop="1" x14ac:dyDescent="0.2">
      <c r="A128" s="1533" t="s">
        <v>1036</v>
      </c>
      <c r="B128" s="656" t="s">
        <v>594</v>
      </c>
      <c r="C128" s="657"/>
      <c r="D128" s="657"/>
      <c r="E128" s="657">
        <v>87278</v>
      </c>
      <c r="F128" s="657"/>
      <c r="G128" s="657"/>
      <c r="H128" s="657"/>
      <c r="I128" s="535"/>
      <c r="J128" s="535"/>
      <c r="K128" s="1707">
        <f>SUM(C128:J128)</f>
        <v>87278</v>
      </c>
      <c r="L128" s="657">
        <f>87278+1000</f>
        <v>88278</v>
      </c>
    </row>
    <row r="129" spans="1:14" ht="12.75" customHeight="1" thickBot="1" x14ac:dyDescent="0.25">
      <c r="A129" s="1708" t="s">
        <v>864</v>
      </c>
      <c r="B129" s="1709" t="s">
        <v>589</v>
      </c>
      <c r="C129" s="1699">
        <f>SUM(C120,C127,C128)</f>
        <v>525979</v>
      </c>
      <c r="D129" s="1699">
        <f t="shared" ref="D129:L129" si="15">SUM(D120,D127,D128)</f>
        <v>111633</v>
      </c>
      <c r="E129" s="1699">
        <f t="shared" si="15"/>
        <v>2384394</v>
      </c>
      <c r="F129" s="1699">
        <f t="shared" si="15"/>
        <v>1084899</v>
      </c>
      <c r="G129" s="1699">
        <f t="shared" si="15"/>
        <v>884371</v>
      </c>
      <c r="H129" s="1699">
        <f t="shared" si="15"/>
        <v>6876</v>
      </c>
      <c r="I129" s="1699">
        <f t="shared" si="15"/>
        <v>27847</v>
      </c>
      <c r="J129" s="1699">
        <f t="shared" si="15"/>
        <v>0</v>
      </c>
      <c r="K129" s="1699">
        <f t="shared" si="15"/>
        <v>5025999</v>
      </c>
      <c r="L129" s="1699">
        <f t="shared" si="15"/>
        <v>5510867</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1956</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200" t="s">
        <v>640</v>
      </c>
      <c r="B151" s="2180"/>
      <c r="C151" s="1692">
        <f>SUM(C129,C130,C139,C149,C150)</f>
        <v>525979</v>
      </c>
      <c r="D151" s="1692">
        <f t="shared" ref="D151:K151" si="16">SUM(D129,D130,D139,D149,D150)</f>
        <v>111633</v>
      </c>
      <c r="E151" s="1692">
        <f t="shared" si="16"/>
        <v>2384394</v>
      </c>
      <c r="F151" s="1692">
        <f t="shared" si="16"/>
        <v>1084899</v>
      </c>
      <c r="G151" s="1692">
        <f t="shared" si="16"/>
        <v>884371</v>
      </c>
      <c r="H151" s="1692">
        <f t="shared" si="16"/>
        <v>6876</v>
      </c>
      <c r="I151" s="1692">
        <f t="shared" si="16"/>
        <v>27847</v>
      </c>
      <c r="J151" s="1692">
        <f t="shared" si="16"/>
        <v>0</v>
      </c>
      <c r="K151" s="1692">
        <f t="shared" si="16"/>
        <v>5025999</v>
      </c>
      <c r="L151" s="1692">
        <f>SUM(L129,L130,L139,L149,L150)</f>
        <v>5510867</v>
      </c>
    </row>
    <row r="152" spans="1:14" ht="12.75" customHeight="1" thickTop="1" x14ac:dyDescent="0.2">
      <c r="A152" s="2203" t="s">
        <v>1239</v>
      </c>
      <c r="B152" s="2204"/>
      <c r="C152" s="619"/>
      <c r="D152" s="619"/>
      <c r="E152" s="619"/>
      <c r="F152" s="619"/>
      <c r="G152" s="619"/>
      <c r="H152" s="619"/>
      <c r="I152" s="619"/>
      <c r="J152" s="617"/>
      <c r="K152" s="1706">
        <f>'Revenues 9-14'!D275-'Expenditures 15-22'!K151</f>
        <v>962629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8" t="s">
        <v>641</v>
      </c>
      <c r="B154" s="219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f>5685916-2537761</f>
        <v>3148155</v>
      </c>
      <c r="I169" s="617"/>
      <c r="J169" s="617"/>
      <c r="K169" s="1693">
        <f>SUM(C169:H169)</f>
        <v>3148155</v>
      </c>
      <c r="L169" s="657">
        <v>3148155</v>
      </c>
    </row>
    <row r="170" spans="1:14" ht="33.75" customHeight="1" x14ac:dyDescent="0.2">
      <c r="A170" s="670" t="s">
        <v>1768</v>
      </c>
      <c r="B170" s="672" t="s">
        <v>31</v>
      </c>
      <c r="C170" s="617"/>
      <c r="D170" s="617"/>
      <c r="E170" s="617"/>
      <c r="F170" s="617"/>
      <c r="G170" s="617"/>
      <c r="H170" s="569">
        <f>5677239+2537761</f>
        <v>8215000</v>
      </c>
      <c r="I170" s="617"/>
      <c r="J170" s="617"/>
      <c r="K170" s="1693">
        <f>SUM(C170:J170)</f>
        <v>8215000</v>
      </c>
      <c r="L170" s="569">
        <v>8215000</v>
      </c>
    </row>
    <row r="171" spans="1:14" ht="15.75" customHeight="1" x14ac:dyDescent="0.2">
      <c r="A171" s="622" t="s">
        <v>789</v>
      </c>
      <c r="B171" s="673" t="s">
        <v>86</v>
      </c>
      <c r="C171" s="617"/>
      <c r="D171" s="617"/>
      <c r="E171" s="466"/>
      <c r="F171" s="617"/>
      <c r="G171" s="617"/>
      <c r="H171" s="569">
        <v>5347</v>
      </c>
      <c r="I171" s="477"/>
      <c r="J171" s="617"/>
      <c r="K171" s="1693">
        <f>SUM(C171:J171)</f>
        <v>5347</v>
      </c>
      <c r="L171" s="569">
        <v>5500</v>
      </c>
    </row>
    <row r="172" spans="1:14" ht="12.75" customHeight="1" thickBot="1" x14ac:dyDescent="0.25">
      <c r="A172" s="1690" t="s">
        <v>658</v>
      </c>
      <c r="B172" s="1691" t="s">
        <v>512</v>
      </c>
      <c r="C172" s="617"/>
      <c r="D172" s="617"/>
      <c r="E172" s="1699">
        <f>SUM(E168,E169,E170,E171)</f>
        <v>0</v>
      </c>
      <c r="F172" s="617"/>
      <c r="G172" s="617"/>
      <c r="H172" s="1699">
        <f>SUM(H168,H169,H170,H171)</f>
        <v>11368502</v>
      </c>
      <c r="I172" s="639"/>
      <c r="J172" s="617"/>
      <c r="K172" s="1699">
        <f>SUM(K168,K169,K170,K171)</f>
        <v>11368502</v>
      </c>
      <c r="L172" s="1699">
        <f>SUM(L168,L169,L170,L171)</f>
        <v>11368655</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11368502</v>
      </c>
      <c r="I174" s="639"/>
      <c r="J174" s="617"/>
      <c r="K174" s="1699">
        <f>SUM(K160,K172,K173)</f>
        <v>11368502</v>
      </c>
      <c r="L174" s="1699">
        <f>SUM(L160,L172,L173)</f>
        <v>11368655</v>
      </c>
    </row>
    <row r="175" spans="1:14" ht="13.5" thickTop="1" x14ac:dyDescent="0.2">
      <c r="A175" s="2183" t="s">
        <v>1052</v>
      </c>
      <c r="B175" s="2184"/>
      <c r="C175" s="617"/>
      <c r="D175" s="617"/>
      <c r="E175" s="617"/>
      <c r="F175" s="617"/>
      <c r="G175" s="617"/>
      <c r="H175" s="619"/>
      <c r="I175" s="617"/>
      <c r="J175" s="617"/>
      <c r="K175" s="1706">
        <f>'Revenues 9-14'!E275-'Expenditures 15-22'!K174</f>
        <v>-212886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1615915</v>
      </c>
      <c r="D182" s="466">
        <v>137953</v>
      </c>
      <c r="E182" s="466">
        <v>2030752</v>
      </c>
      <c r="F182" s="466">
        <v>489876</v>
      </c>
      <c r="G182" s="466">
        <v>585396</v>
      </c>
      <c r="H182" s="466">
        <v>720</v>
      </c>
      <c r="I182" s="467">
        <v>32587</v>
      </c>
      <c r="J182" s="467"/>
      <c r="K182" s="1693">
        <f>SUM(C182:J182)</f>
        <v>4893199</v>
      </c>
      <c r="L182" s="466">
        <f>4554836+602430</f>
        <v>5157266</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1615915</v>
      </c>
      <c r="D184" s="1699">
        <f t="shared" ref="D184:J184" si="17">SUM(D180,D182,D183)</f>
        <v>137953</v>
      </c>
      <c r="E184" s="1699">
        <f t="shared" si="17"/>
        <v>2030752</v>
      </c>
      <c r="F184" s="1699">
        <f t="shared" si="17"/>
        <v>489876</v>
      </c>
      <c r="G184" s="1699">
        <f t="shared" si="17"/>
        <v>585396</v>
      </c>
      <c r="H184" s="1699">
        <f t="shared" si="17"/>
        <v>720</v>
      </c>
      <c r="I184" s="1699">
        <f t="shared" si="17"/>
        <v>32587</v>
      </c>
      <c r="J184" s="1699">
        <f t="shared" si="17"/>
        <v>0</v>
      </c>
      <c r="K184" s="1699">
        <f>SUM(K180,K182,K183)</f>
        <v>4893199</v>
      </c>
      <c r="L184" s="1699">
        <f>SUM(L180, L182:L183)</f>
        <v>5157266</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1615915</v>
      </c>
      <c r="D210" s="1692">
        <f>SUM(D184,D185)</f>
        <v>137953</v>
      </c>
      <c r="E210" s="1692">
        <f>SUM(E184,E185,E196)</f>
        <v>2030752</v>
      </c>
      <c r="F210" s="1692">
        <f>SUM(F184,F185)</f>
        <v>489876</v>
      </c>
      <c r="G210" s="1692">
        <f>SUM(G184,G185)</f>
        <v>585396</v>
      </c>
      <c r="H210" s="1692">
        <f>SUM(H184,H185,H196,H208,H209)</f>
        <v>720</v>
      </c>
      <c r="I210" s="1692">
        <f>SUM(I184,I185)</f>
        <v>32587</v>
      </c>
      <c r="J210" s="1692">
        <f>SUM(J184,J185)</f>
        <v>0</v>
      </c>
      <c r="K210" s="1693">
        <f>SUM(K184,K185,K196,K208,K209)</f>
        <v>4893199</v>
      </c>
      <c r="L210" s="1692">
        <f>SUM(L184,L185,L196,L208,L209)</f>
        <v>5157266</v>
      </c>
    </row>
    <row r="211" spans="1:14" ht="13.5" thickTop="1" x14ac:dyDescent="0.2">
      <c r="A211" s="2183" t="s">
        <v>1052</v>
      </c>
      <c r="B211" s="2184"/>
      <c r="C211" s="619"/>
      <c r="D211" s="619"/>
      <c r="E211" s="619"/>
      <c r="F211" s="619"/>
      <c r="G211" s="619"/>
      <c r="H211" s="619"/>
      <c r="I211" s="617"/>
      <c r="J211" s="617"/>
      <c r="K211" s="1706">
        <f>'Revenues 9-14'!F275-'Expenditures 15-22'!K210</f>
        <v>-59192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5" t="s">
        <v>1021</v>
      </c>
      <c r="B213" s="2206"/>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296801</v>
      </c>
      <c r="E215" s="617"/>
      <c r="F215" s="617"/>
      <c r="G215" s="617"/>
      <c r="H215" s="617"/>
      <c r="I215" s="617"/>
      <c r="J215" s="617"/>
      <c r="K215" s="1693">
        <f>D215</f>
        <v>296801</v>
      </c>
      <c r="L215" s="466">
        <v>312292</v>
      </c>
    </row>
    <row r="216" spans="1:14" x14ac:dyDescent="0.2">
      <c r="A216" s="1526" t="s">
        <v>165</v>
      </c>
      <c r="B216" s="615" t="s">
        <v>1023</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237938</v>
      </c>
      <c r="E217" s="617"/>
      <c r="F217" s="617"/>
      <c r="G217" s="617"/>
      <c r="H217" s="617"/>
      <c r="I217" s="617"/>
      <c r="J217" s="617"/>
      <c r="K217" s="1693">
        <f t="shared" si="19"/>
        <v>237938</v>
      </c>
      <c r="L217" s="466">
        <v>232069</v>
      </c>
    </row>
    <row r="218" spans="1:14" x14ac:dyDescent="0.2">
      <c r="A218" s="1526" t="s">
        <v>295</v>
      </c>
      <c r="B218" s="615" t="s">
        <v>1024</v>
      </c>
      <c r="C218" s="617"/>
      <c r="D218" s="467">
        <v>20237</v>
      </c>
      <c r="E218" s="617"/>
      <c r="F218" s="617"/>
      <c r="G218" s="617"/>
      <c r="H218" s="617"/>
      <c r="I218" s="617"/>
      <c r="J218" s="617"/>
      <c r="K218" s="1693">
        <f t="shared" si="19"/>
        <v>20237</v>
      </c>
      <c r="L218" s="466">
        <v>25102</v>
      </c>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v>14435</v>
      </c>
      <c r="E221" s="617"/>
      <c r="F221" s="617"/>
      <c r="G221" s="617"/>
      <c r="H221" s="617"/>
      <c r="I221" s="617"/>
      <c r="J221" s="617"/>
      <c r="K221" s="1693">
        <f t="shared" si="19"/>
        <v>14435</v>
      </c>
      <c r="L221" s="466">
        <v>14517</v>
      </c>
    </row>
    <row r="222" spans="1:14" x14ac:dyDescent="0.2">
      <c r="A222" s="1526" t="s">
        <v>746</v>
      </c>
      <c r="B222" s="615">
        <v>1400</v>
      </c>
      <c r="C222" s="617"/>
      <c r="D222" s="466"/>
      <c r="E222" s="617"/>
      <c r="F222" s="617"/>
      <c r="G222" s="617"/>
      <c r="H222" s="617"/>
      <c r="I222" s="617"/>
      <c r="J222" s="617"/>
      <c r="K222" s="1693">
        <f t="shared" si="19"/>
        <v>0</v>
      </c>
      <c r="L222" s="466"/>
    </row>
    <row r="223" spans="1:14" x14ac:dyDescent="0.2">
      <c r="A223" s="1526" t="s">
        <v>1019</v>
      </c>
      <c r="B223" s="615">
        <v>1500</v>
      </c>
      <c r="C223" s="617"/>
      <c r="D223" s="466">
        <v>33405</v>
      </c>
      <c r="E223" s="617"/>
      <c r="F223" s="617"/>
      <c r="G223" s="617"/>
      <c r="H223" s="617"/>
      <c r="I223" s="617"/>
      <c r="J223" s="617"/>
      <c r="K223" s="1693">
        <f t="shared" si="19"/>
        <v>33405</v>
      </c>
      <c r="L223" s="466">
        <v>35196</v>
      </c>
    </row>
    <row r="224" spans="1:14" x14ac:dyDescent="0.2">
      <c r="A224" s="1526" t="s">
        <v>1020</v>
      </c>
      <c r="B224" s="615">
        <v>1600</v>
      </c>
      <c r="C224" s="617"/>
      <c r="D224" s="466">
        <v>761</v>
      </c>
      <c r="E224" s="617"/>
      <c r="F224" s="617"/>
      <c r="G224" s="617"/>
      <c r="H224" s="617"/>
      <c r="I224" s="617"/>
      <c r="J224" s="617"/>
      <c r="K224" s="1693">
        <f t="shared" si="19"/>
        <v>761</v>
      </c>
      <c r="L224" s="466">
        <v>1568</v>
      </c>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2814</v>
      </c>
      <c r="E226" s="617"/>
      <c r="F226" s="617"/>
      <c r="G226" s="617"/>
      <c r="H226" s="617"/>
      <c r="I226" s="617"/>
      <c r="J226" s="617"/>
      <c r="K226" s="1693">
        <f t="shared" si="19"/>
        <v>2814</v>
      </c>
      <c r="L226" s="466">
        <v>2899</v>
      </c>
    </row>
    <row r="227" spans="1:12" x14ac:dyDescent="0.2">
      <c r="A227" s="1526" t="s">
        <v>1147</v>
      </c>
      <c r="B227" s="615">
        <v>1800</v>
      </c>
      <c r="C227" s="617"/>
      <c r="D227" s="466">
        <v>2969</v>
      </c>
      <c r="E227" s="617"/>
      <c r="F227" s="617"/>
      <c r="G227" s="617"/>
      <c r="H227" s="617"/>
      <c r="I227" s="617"/>
      <c r="J227" s="617"/>
      <c r="K227" s="1693">
        <f t="shared" si="19"/>
        <v>2969</v>
      </c>
      <c r="L227" s="466">
        <v>3629</v>
      </c>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609360</v>
      </c>
      <c r="E229" s="617"/>
      <c r="F229" s="617"/>
      <c r="G229" s="617"/>
      <c r="H229" s="617"/>
      <c r="I229" s="617"/>
      <c r="J229" s="617"/>
      <c r="K229" s="1692">
        <f>SUM(K215:K228)</f>
        <v>609360</v>
      </c>
      <c r="L229" s="1692">
        <f>SUM(L215:L228)</f>
        <v>627272</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22206</v>
      </c>
      <c r="E232" s="617"/>
      <c r="F232" s="617"/>
      <c r="G232" s="617"/>
      <c r="H232" s="617"/>
      <c r="I232" s="617"/>
      <c r="J232" s="617"/>
      <c r="K232" s="1693">
        <f t="shared" ref="K232:K237" si="20">D232</f>
        <v>22206</v>
      </c>
      <c r="L232" s="466">
        <v>23212</v>
      </c>
    </row>
    <row r="233" spans="1:12" x14ac:dyDescent="0.2">
      <c r="A233" s="1526" t="s">
        <v>1150</v>
      </c>
      <c r="B233" s="615">
        <v>2120</v>
      </c>
      <c r="C233" s="617"/>
      <c r="D233" s="466">
        <v>34439</v>
      </c>
      <c r="E233" s="617"/>
      <c r="F233" s="617"/>
      <c r="G233" s="617"/>
      <c r="H233" s="617"/>
      <c r="I233" s="617"/>
      <c r="J233" s="617"/>
      <c r="K233" s="1693">
        <f t="shared" si="20"/>
        <v>34439</v>
      </c>
      <c r="L233" s="466">
        <v>35650</v>
      </c>
    </row>
    <row r="234" spans="1:12" x14ac:dyDescent="0.2">
      <c r="A234" s="1526" t="s">
        <v>207</v>
      </c>
      <c r="B234" s="615">
        <v>2130</v>
      </c>
      <c r="C234" s="617"/>
      <c r="D234" s="466">
        <v>99273</v>
      </c>
      <c r="E234" s="617"/>
      <c r="F234" s="617"/>
      <c r="G234" s="617"/>
      <c r="H234" s="617"/>
      <c r="I234" s="617"/>
      <c r="J234" s="617"/>
      <c r="K234" s="1693">
        <f t="shared" si="20"/>
        <v>99273</v>
      </c>
      <c r="L234" s="466">
        <v>112457</v>
      </c>
    </row>
    <row r="235" spans="1:12" x14ac:dyDescent="0.2">
      <c r="A235" s="1526" t="s">
        <v>208</v>
      </c>
      <c r="B235" s="615">
        <v>2140</v>
      </c>
      <c r="C235" s="617"/>
      <c r="D235" s="466">
        <v>5977</v>
      </c>
      <c r="E235" s="617"/>
      <c r="F235" s="617"/>
      <c r="G235" s="617"/>
      <c r="H235" s="617"/>
      <c r="I235" s="617"/>
      <c r="J235" s="617"/>
      <c r="K235" s="1693">
        <f t="shared" si="20"/>
        <v>5977</v>
      </c>
      <c r="L235" s="466">
        <v>6448</v>
      </c>
    </row>
    <row r="236" spans="1:12" x14ac:dyDescent="0.2">
      <c r="A236" s="1526" t="s">
        <v>209</v>
      </c>
      <c r="B236" s="615">
        <v>2150</v>
      </c>
      <c r="C236" s="617"/>
      <c r="D236" s="466">
        <v>9281</v>
      </c>
      <c r="E236" s="617"/>
      <c r="F236" s="617"/>
      <c r="G236" s="617"/>
      <c r="H236" s="617"/>
      <c r="I236" s="617"/>
      <c r="J236" s="617"/>
      <c r="K236" s="1693">
        <f t="shared" si="20"/>
        <v>9281</v>
      </c>
      <c r="L236" s="466">
        <v>9480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580</v>
      </c>
      <c r="B238" s="1697" t="s">
        <v>739</v>
      </c>
      <c r="C238" s="617"/>
      <c r="D238" s="1692">
        <f>SUM(D232:D237)</f>
        <v>171176</v>
      </c>
      <c r="E238" s="617"/>
      <c r="F238" s="617"/>
      <c r="G238" s="617"/>
      <c r="H238" s="617"/>
      <c r="I238" s="617"/>
      <c r="J238" s="617"/>
      <c r="K238" s="1692">
        <f>SUM(K232:K237)</f>
        <v>171176</v>
      </c>
      <c r="L238" s="1692">
        <f>SUM(L232:L237)</f>
        <v>187247</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23937</v>
      </c>
      <c r="E240" s="617"/>
      <c r="F240" s="617"/>
      <c r="G240" s="617"/>
      <c r="H240" s="617"/>
      <c r="I240" s="617"/>
      <c r="J240" s="617"/>
      <c r="K240" s="1694">
        <f>D240</f>
        <v>23937</v>
      </c>
      <c r="L240" s="481">
        <v>26917</v>
      </c>
    </row>
    <row r="241" spans="1:12" x14ac:dyDescent="0.2">
      <c r="A241" s="1526" t="s">
        <v>868</v>
      </c>
      <c r="B241" s="615">
        <v>2220</v>
      </c>
      <c r="C241" s="617"/>
      <c r="D241" s="466">
        <v>110578</v>
      </c>
      <c r="E241" s="617"/>
      <c r="F241" s="617"/>
      <c r="G241" s="617"/>
      <c r="H241" s="617"/>
      <c r="I241" s="617"/>
      <c r="J241" s="617"/>
      <c r="K241" s="1694">
        <f>D241</f>
        <v>110578</v>
      </c>
      <c r="L241" s="466">
        <v>113939</v>
      </c>
    </row>
    <row r="242" spans="1:12" x14ac:dyDescent="0.2">
      <c r="A242" s="1526" t="s">
        <v>869</v>
      </c>
      <c r="B242" s="615">
        <v>2230</v>
      </c>
      <c r="C242" s="617"/>
      <c r="D242" s="466">
        <v>704</v>
      </c>
      <c r="E242" s="617"/>
      <c r="F242" s="617"/>
      <c r="G242" s="617"/>
      <c r="H242" s="617"/>
      <c r="I242" s="617"/>
      <c r="J242" s="617"/>
      <c r="K242" s="1694">
        <f>D242</f>
        <v>704</v>
      </c>
      <c r="L242" s="466">
        <v>509</v>
      </c>
    </row>
    <row r="243" spans="1:12" ht="12.75" customHeight="1" thickBot="1" x14ac:dyDescent="0.25">
      <c r="A243" s="1716" t="s">
        <v>581</v>
      </c>
      <c r="B243" s="1717">
        <v>2200</v>
      </c>
      <c r="C243" s="617"/>
      <c r="D243" s="1692">
        <f>SUM(D240:D242)</f>
        <v>135219</v>
      </c>
      <c r="E243" s="617"/>
      <c r="F243" s="617"/>
      <c r="G243" s="617"/>
      <c r="H243" s="617"/>
      <c r="I243" s="617"/>
      <c r="J243" s="617"/>
      <c r="K243" s="1692">
        <f>SUM(K240:K242)</f>
        <v>135219</v>
      </c>
      <c r="L243" s="1692">
        <f>SUM(L240:L242)</f>
        <v>141365</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v>46</v>
      </c>
    </row>
    <row r="246" spans="1:12" x14ac:dyDescent="0.2">
      <c r="A246" s="1526" t="s">
        <v>871</v>
      </c>
      <c r="B246" s="615">
        <v>2320</v>
      </c>
      <c r="C246" s="617"/>
      <c r="D246" s="466">
        <v>14593</v>
      </c>
      <c r="E246" s="617"/>
      <c r="F246" s="617"/>
      <c r="G246" s="617"/>
      <c r="H246" s="617"/>
      <c r="I246" s="617"/>
      <c r="J246" s="617"/>
      <c r="K246" s="1694">
        <f t="shared" ref="K246:K256" si="21">D246</f>
        <v>14593</v>
      </c>
      <c r="L246" s="466">
        <v>14822</v>
      </c>
    </row>
    <row r="247" spans="1:12" x14ac:dyDescent="0.2">
      <c r="A247" s="1526" t="s">
        <v>872</v>
      </c>
      <c r="B247" s="615">
        <v>2330</v>
      </c>
      <c r="C247" s="617"/>
      <c r="D247" s="466">
        <v>13922</v>
      </c>
      <c r="E247" s="617"/>
      <c r="F247" s="617"/>
      <c r="G247" s="617"/>
      <c r="H247" s="617"/>
      <c r="I247" s="617"/>
      <c r="J247" s="617"/>
      <c r="K247" s="1694">
        <f t="shared" si="21"/>
        <v>13922</v>
      </c>
      <c r="L247" s="466">
        <v>15969</v>
      </c>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28515</v>
      </c>
      <c r="E257" s="617"/>
      <c r="F257" s="617"/>
      <c r="G257" s="617"/>
      <c r="H257" s="617"/>
      <c r="I257" s="617"/>
      <c r="J257" s="617"/>
      <c r="K257" s="1692">
        <f>SUM(K245:K256)</f>
        <v>28515</v>
      </c>
      <c r="L257" s="1692">
        <f>SUM(L245:L256)</f>
        <v>30837</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89305</v>
      </c>
      <c r="E259" s="617"/>
      <c r="F259" s="617"/>
      <c r="G259" s="617"/>
      <c r="H259" s="617"/>
      <c r="I259" s="617"/>
      <c r="J259" s="617"/>
      <c r="K259" s="1694">
        <f>D259</f>
        <v>89305</v>
      </c>
      <c r="L259" s="481">
        <v>93086</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89305</v>
      </c>
      <c r="E261" s="617"/>
      <c r="F261" s="617"/>
      <c r="G261" s="617"/>
      <c r="H261" s="617"/>
      <c r="I261" s="617"/>
      <c r="J261" s="617"/>
      <c r="K261" s="1692">
        <f>SUM(K259:K260)</f>
        <v>89305</v>
      </c>
      <c r="L261" s="1692">
        <f>SUM(L259:L260)</f>
        <v>93086</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2236</v>
      </c>
      <c r="E263" s="617"/>
      <c r="F263" s="617"/>
      <c r="G263" s="617"/>
      <c r="H263" s="617"/>
      <c r="I263" s="617"/>
      <c r="J263" s="617"/>
      <c r="K263" s="1694">
        <f>D263</f>
        <v>2236</v>
      </c>
      <c r="L263" s="481">
        <v>2254</v>
      </c>
    </row>
    <row r="264" spans="1:14" x14ac:dyDescent="0.2">
      <c r="A264" s="1526" t="s">
        <v>482</v>
      </c>
      <c r="B264" s="686">
        <v>2520</v>
      </c>
      <c r="C264" s="617"/>
      <c r="D264" s="466">
        <v>55130</v>
      </c>
      <c r="E264" s="617"/>
      <c r="F264" s="617"/>
      <c r="G264" s="617"/>
      <c r="H264" s="617"/>
      <c r="I264" s="617"/>
      <c r="J264" s="617"/>
      <c r="K264" s="1694">
        <f t="shared" ref="K264:K269" si="22">D264</f>
        <v>55130</v>
      </c>
      <c r="L264" s="466">
        <v>58146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114344</v>
      </c>
      <c r="E266" s="617"/>
      <c r="F266" s="617"/>
      <c r="G266" s="617"/>
      <c r="H266" s="617"/>
      <c r="I266" s="617"/>
      <c r="J266" s="617"/>
      <c r="K266" s="1694">
        <f t="shared" si="22"/>
        <v>114344</v>
      </c>
      <c r="L266" s="466">
        <v>118680</v>
      </c>
    </row>
    <row r="267" spans="1:14" x14ac:dyDescent="0.2">
      <c r="A267" s="1526" t="s">
        <v>1009</v>
      </c>
      <c r="B267" s="615">
        <v>2550</v>
      </c>
      <c r="C267" s="617"/>
      <c r="D267" s="466">
        <v>309981</v>
      </c>
      <c r="E267" s="617"/>
      <c r="F267" s="617"/>
      <c r="G267" s="617"/>
      <c r="H267" s="617"/>
      <c r="I267" s="617"/>
      <c r="J267" s="617"/>
      <c r="K267" s="1694">
        <f t="shared" si="22"/>
        <v>309981</v>
      </c>
      <c r="L267" s="466">
        <v>317383</v>
      </c>
    </row>
    <row r="268" spans="1:14" x14ac:dyDescent="0.2">
      <c r="A268" s="1526" t="s">
        <v>102</v>
      </c>
      <c r="B268" s="615">
        <v>2560</v>
      </c>
      <c r="C268" s="617"/>
      <c r="D268" s="466">
        <v>52872</v>
      </c>
      <c r="E268" s="617"/>
      <c r="F268" s="617"/>
      <c r="G268" s="617"/>
      <c r="H268" s="617"/>
      <c r="I268" s="617"/>
      <c r="J268" s="617"/>
      <c r="K268" s="1694">
        <f t="shared" si="22"/>
        <v>52872</v>
      </c>
      <c r="L268" s="466">
        <v>55892</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534563</v>
      </c>
      <c r="E270" s="617"/>
      <c r="F270" s="617"/>
      <c r="G270" s="617"/>
      <c r="H270" s="617"/>
      <c r="I270" s="617"/>
      <c r="J270" s="617"/>
      <c r="K270" s="1692">
        <f>SUM(K263:K269)</f>
        <v>534563</v>
      </c>
      <c r="L270" s="1692">
        <f>SUM(L263:L269)</f>
        <v>552355</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v>210</v>
      </c>
      <c r="E273" s="617"/>
      <c r="F273" s="617"/>
      <c r="G273" s="617"/>
      <c r="H273" s="617"/>
      <c r="I273" s="617"/>
      <c r="J273" s="617"/>
      <c r="K273" s="1694">
        <f>D273</f>
        <v>210</v>
      </c>
      <c r="L273" s="466">
        <v>384</v>
      </c>
    </row>
    <row r="274" spans="1:12" ht="12" customHeight="1" x14ac:dyDescent="0.2">
      <c r="A274" s="1526" t="s">
        <v>1120</v>
      </c>
      <c r="B274" s="615">
        <v>2630</v>
      </c>
      <c r="C274" s="617"/>
      <c r="D274" s="466">
        <v>847</v>
      </c>
      <c r="E274" s="617"/>
      <c r="F274" s="617"/>
      <c r="G274" s="617"/>
      <c r="H274" s="617"/>
      <c r="I274" s="617"/>
      <c r="J274" s="617"/>
      <c r="K274" s="1694">
        <f>D274</f>
        <v>847</v>
      </c>
      <c r="L274" s="466">
        <v>899</v>
      </c>
    </row>
    <row r="275" spans="1:12" x14ac:dyDescent="0.2">
      <c r="A275" s="1526" t="s">
        <v>422</v>
      </c>
      <c r="B275" s="615">
        <v>2640</v>
      </c>
      <c r="C275" s="617"/>
      <c r="D275" s="466">
        <v>9668</v>
      </c>
      <c r="E275" s="617"/>
      <c r="F275" s="617"/>
      <c r="G275" s="617"/>
      <c r="H275" s="617"/>
      <c r="I275" s="617"/>
      <c r="J275" s="617"/>
      <c r="K275" s="1694">
        <f>D275</f>
        <v>9668</v>
      </c>
      <c r="L275" s="466">
        <v>10019</v>
      </c>
    </row>
    <row r="276" spans="1:12" x14ac:dyDescent="0.2">
      <c r="A276" s="1526" t="s">
        <v>423</v>
      </c>
      <c r="B276" s="615">
        <v>2660</v>
      </c>
      <c r="C276" s="617"/>
      <c r="D276" s="466">
        <v>4297</v>
      </c>
      <c r="E276" s="617"/>
      <c r="F276" s="617"/>
      <c r="G276" s="617"/>
      <c r="H276" s="617"/>
      <c r="I276" s="617"/>
      <c r="J276" s="617"/>
      <c r="K276" s="1694">
        <f>D276</f>
        <v>4297</v>
      </c>
      <c r="L276" s="466">
        <v>2901</v>
      </c>
    </row>
    <row r="277" spans="1:12" ht="12.75" customHeight="1" thickBot="1" x14ac:dyDescent="0.25">
      <c r="A277" s="1713" t="s">
        <v>37</v>
      </c>
      <c r="B277" s="1691" t="s">
        <v>36</v>
      </c>
      <c r="C277" s="617"/>
      <c r="D277" s="1692">
        <f>SUM(D272:D276)</f>
        <v>15022</v>
      </c>
      <c r="E277" s="617"/>
      <c r="F277" s="617"/>
      <c r="G277" s="617"/>
      <c r="H277" s="617"/>
      <c r="I277" s="617"/>
      <c r="J277" s="617"/>
      <c r="K277" s="1692">
        <f>SUM(K272:K276)</f>
        <v>15022</v>
      </c>
      <c r="L277" s="1692">
        <f>SUM(L272:L276)</f>
        <v>14203</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973800</v>
      </c>
      <c r="E279" s="617"/>
      <c r="F279" s="617"/>
      <c r="G279" s="617"/>
      <c r="H279" s="617"/>
      <c r="I279" s="617"/>
      <c r="J279" s="617"/>
      <c r="K279" s="1699">
        <f>SUM(K238,K243,K257,K261,K270,K277,K278)</f>
        <v>973800</v>
      </c>
      <c r="L279" s="1699">
        <f>SUM(L238,L243,L257,L261,L270,L277,L278)</f>
        <v>1019093</v>
      </c>
    </row>
    <row r="280" spans="1:12" ht="15.75" customHeight="1" thickTop="1" thickBot="1" x14ac:dyDescent="0.25">
      <c r="A280" s="1646" t="s">
        <v>929</v>
      </c>
      <c r="B280" s="1635">
        <v>3000</v>
      </c>
      <c r="C280" s="617"/>
      <c r="D280" s="576">
        <v>820</v>
      </c>
      <c r="E280" s="617"/>
      <c r="F280" s="617"/>
      <c r="G280" s="617"/>
      <c r="H280" s="617"/>
      <c r="I280" s="617"/>
      <c r="J280" s="617"/>
      <c r="K280" s="1701">
        <f>D280</f>
        <v>820</v>
      </c>
      <c r="L280" s="576">
        <v>168</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1956</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201" t="s">
        <v>525</v>
      </c>
      <c r="B295" s="2202"/>
      <c r="C295" s="617"/>
      <c r="D295" s="1692">
        <f>SUM(D229,D279,D280,D285)</f>
        <v>1583980</v>
      </c>
      <c r="E295" s="617"/>
      <c r="F295" s="617"/>
      <c r="G295" s="617"/>
      <c r="H295" s="1692">
        <f>H293</f>
        <v>0</v>
      </c>
      <c r="I295" s="617"/>
      <c r="J295" s="617"/>
      <c r="K295" s="1692">
        <f>SUM(K229,K279,K280,K285,K293,K294)</f>
        <v>1583980</v>
      </c>
      <c r="L295" s="1692">
        <f>SUM(L229,L279,L280,L285,L293,L294)</f>
        <v>1646533</v>
      </c>
    </row>
    <row r="296" spans="1:14" ht="13.5" thickTop="1" x14ac:dyDescent="0.2">
      <c r="A296" s="2183" t="s">
        <v>1052</v>
      </c>
      <c r="B296" s="2184"/>
      <c r="C296" s="617"/>
      <c r="D296" s="619"/>
      <c r="E296" s="617"/>
      <c r="F296" s="617"/>
      <c r="G296" s="617"/>
      <c r="H296" s="688"/>
      <c r="I296" s="617"/>
      <c r="J296" s="617"/>
      <c r="K296" s="1706">
        <f>'Revenues 9-14'!G275-'Expenditures 15-22'!K295</f>
        <v>951559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3" t="s">
        <v>145</v>
      </c>
      <c r="B298" s="2187"/>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c r="H301" s="466"/>
      <c r="I301" s="467"/>
      <c r="J301" s="467"/>
      <c r="K301" s="1693">
        <f>SUM(C301:J301)</f>
        <v>0</v>
      </c>
      <c r="L301" s="467"/>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98" t="s">
        <v>294</v>
      </c>
      <c r="B312" s="219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4" t="s">
        <v>1052</v>
      </c>
      <c r="B313" s="219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7" t="s">
        <v>151</v>
      </c>
      <c r="B315" s="220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9" t="s">
        <v>953</v>
      </c>
      <c r="B317" s="2208"/>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6" t="s">
        <v>1052</v>
      </c>
      <c r="B343" s="219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6" t="s">
        <v>1022</v>
      </c>
      <c r="B345" s="2187"/>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3548</v>
      </c>
      <c r="F349" s="466"/>
      <c r="G349" s="466"/>
      <c r="H349" s="466"/>
      <c r="I349" s="467"/>
      <c r="J349" s="467"/>
      <c r="K349" s="1693">
        <f>SUM(C349:J349)</f>
        <v>3548</v>
      </c>
      <c r="L349" s="466">
        <v>3619</v>
      </c>
    </row>
    <row r="350" spans="1:14" ht="12.75" customHeight="1" thickBot="1" x14ac:dyDescent="0.25">
      <c r="A350" s="1690" t="s">
        <v>742</v>
      </c>
      <c r="B350" s="1691" t="s">
        <v>35</v>
      </c>
      <c r="C350" s="1692">
        <f>SUM(C348:C349)</f>
        <v>0</v>
      </c>
      <c r="D350" s="1692">
        <f t="shared" ref="D350:L350" si="26">SUM(D348:D349)</f>
        <v>0</v>
      </c>
      <c r="E350" s="1692">
        <f t="shared" si="26"/>
        <v>3548</v>
      </c>
      <c r="F350" s="1692">
        <f t="shared" si="26"/>
        <v>0</v>
      </c>
      <c r="G350" s="1692">
        <f t="shared" si="26"/>
        <v>0</v>
      </c>
      <c r="H350" s="1692">
        <f t="shared" si="26"/>
        <v>0</v>
      </c>
      <c r="I350" s="1692">
        <f t="shared" si="26"/>
        <v>0</v>
      </c>
      <c r="J350" s="1692">
        <f t="shared" si="26"/>
        <v>0</v>
      </c>
      <c r="K350" s="1692">
        <f t="shared" si="26"/>
        <v>3548</v>
      </c>
      <c r="L350" s="1692">
        <f t="shared" si="26"/>
        <v>3619</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3548</v>
      </c>
      <c r="F352" s="1692">
        <f t="shared" si="27"/>
        <v>0</v>
      </c>
      <c r="G352" s="1692">
        <f t="shared" si="27"/>
        <v>0</v>
      </c>
      <c r="H352" s="1692">
        <f t="shared" si="27"/>
        <v>0</v>
      </c>
      <c r="I352" s="1692">
        <f t="shared" si="27"/>
        <v>0</v>
      </c>
      <c r="J352" s="1692">
        <f t="shared" si="27"/>
        <v>0</v>
      </c>
      <c r="K352" s="1692">
        <f t="shared" si="27"/>
        <v>3548</v>
      </c>
      <c r="L352" s="1692">
        <f t="shared" si="27"/>
        <v>3619</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3548</v>
      </c>
      <c r="F367" s="1692">
        <f t="shared" si="28"/>
        <v>0</v>
      </c>
      <c r="G367" s="1692">
        <f t="shared" si="28"/>
        <v>0</v>
      </c>
      <c r="H367" s="1692">
        <f t="shared" si="28"/>
        <v>0</v>
      </c>
      <c r="I367" s="1692">
        <f t="shared" si="28"/>
        <v>0</v>
      </c>
      <c r="J367" s="1692">
        <f t="shared" si="28"/>
        <v>0</v>
      </c>
      <c r="K367" s="1692">
        <f t="shared" si="28"/>
        <v>3548</v>
      </c>
      <c r="L367" s="1692">
        <f t="shared" si="28"/>
        <v>3619</v>
      </c>
    </row>
    <row r="368" spans="1:14" ht="13.5" thickTop="1" x14ac:dyDescent="0.2">
      <c r="A368" s="2183" t="s">
        <v>1052</v>
      </c>
      <c r="B368" s="2184"/>
      <c r="C368" s="655"/>
      <c r="D368" s="655"/>
      <c r="E368" s="627"/>
      <c r="F368" s="627"/>
      <c r="G368" s="627"/>
      <c r="H368" s="627"/>
      <c r="I368" s="627"/>
      <c r="J368" s="624"/>
      <c r="K368" s="1693">
        <f>'Revenues 9-14'!K275-'Expenditures 15-22'!K367</f>
        <v>-3540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d21dc803-237d-4c68-8692-8d731fd29118"/>
    <ds:schemaRef ds:uri="http://schemas.microsoft.com/office/2006/metadata/properties"/>
    <ds:schemaRef ds:uri="http://schemas.microsoft.com/office/2006/documentManagement/types"/>
    <ds:schemaRef ds:uri="6ce3111e-7420-4802-b50a-75d4e9a0b980"/>
    <ds:schemaRef ds:uri="http://purl.org/dc/terms/"/>
    <ds:schemaRef ds:uri="http://schemas.microsoft.com/office/infopath/2007/PartnerControls"/>
    <ds:schemaRef ds:uri="4d435f69-8686-490b-bd6d-b153bf22ab50"/>
    <ds:schemaRef ds:uri="http://purl.org/dc/elements/1.1/"/>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(PG 2)</vt:lpstr>
      <vt:lpstr> SEFA (PG 3)</vt:lpstr>
      <vt:lpstr> SEFA (PG 4)</vt:lpstr>
      <vt:lpstr>SF&amp;QC Sec-1</vt:lpstr>
      <vt:lpstr>SF&amp;QC Sec-2</vt:lpstr>
      <vt:lpstr>SF&amp;QC Sec-3</vt:lpstr>
      <vt:lpstr>SSPAF</vt:lpstr>
      <vt:lpstr>' SEFA'!Print_Area</vt:lpstr>
      <vt:lpstr>' SEFA (PG 2)'!Print_Area</vt:lpstr>
      <vt:lpstr>' SEFA (PG 3)'!Print_Area</vt:lpstr>
      <vt:lpstr>' SEFA (PG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2018-12-10T15:02:12Z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