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5" i="29" l="1"/>
  <c r="F182" i="29" l="1"/>
  <c r="E182" i="29"/>
  <c r="G124" i="29"/>
  <c r="F124" i="29"/>
  <c r="E124" i="29"/>
  <c r="F63" i="29"/>
  <c r="D55" i="29"/>
  <c r="D14" i="29"/>
  <c r="F10" i="29"/>
  <c r="E10" i="29"/>
  <c r="D10" i="29"/>
  <c r="C10" i="29"/>
  <c r="D8" i="29"/>
  <c r="F7" i="29"/>
  <c r="E7" i="29"/>
  <c r="D7" i="29"/>
  <c r="C7" i="29"/>
  <c r="E5" i="29"/>
  <c r="D5" i="29"/>
  <c r="C4" i="3"/>
  <c r="M19" i="3" l="1"/>
  <c r="L10" i="37" l="1"/>
  <c r="H10" i="37"/>
  <c r="F10" i="37"/>
  <c r="D10" i="3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B5246" i="106" s="1"/>
  <c r="D5246" i="106" s="1"/>
  <c r="C211" i="5"/>
  <c r="B5260" i="106" s="1"/>
  <c r="D5260" i="106" s="1"/>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s="1"/>
  <c r="D1865" i="106" s="1"/>
  <c r="B1866" i="106"/>
  <c r="D1866" i="106" s="1"/>
  <c r="F6" i="8"/>
  <c r="F7" i="8"/>
  <c r="B1868" i="106"/>
  <c r="D1868" i="106" s="1"/>
  <c r="F12" i="8"/>
  <c r="B1869" i="106" s="1"/>
  <c r="D1869" i="106" s="1"/>
  <c r="F11" i="8"/>
  <c r="H28" i="118"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E28" i="108"/>
  <c r="F28" i="108"/>
  <c r="F31" i="108"/>
  <c r="F36" i="108"/>
  <c r="F37" i="108"/>
  <c r="G28" i="108"/>
  <c r="E29" i="108"/>
  <c r="G29"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9" i="118"/>
  <c r="H33" i="118"/>
  <c r="D11" i="37"/>
  <c r="J22" i="37"/>
  <c r="D24" i="37"/>
  <c r="B4270" i="106" s="1"/>
  <c r="D4270" i="106" s="1"/>
  <c r="D4" i="7"/>
  <c r="B1760" i="106" s="1"/>
  <c r="D1760" i="106" s="1"/>
  <c r="D5" i="7"/>
  <c r="B1761" i="106" s="1"/>
  <c r="D1761" i="106" s="1"/>
  <c r="D9" i="7"/>
  <c r="B1767" i="106" s="1"/>
  <c r="D1767" i="106" s="1"/>
  <c r="F136" i="34"/>
  <c r="F128" i="34"/>
  <c r="F127" i="34"/>
  <c r="F111" i="34"/>
  <c r="B5847" i="106"/>
  <c r="D5847" i="106" s="1"/>
  <c r="B5752" i="106"/>
  <c r="D5752" i="106" s="1"/>
  <c r="B5599" i="106"/>
  <c r="D5599" i="106" s="1"/>
  <c r="K274" i="5"/>
  <c r="C172" i="5"/>
  <c r="B5214" i="106" s="1"/>
  <c r="D5214" i="106" s="1"/>
  <c r="F106" i="34"/>
  <c r="D12" i="7"/>
  <c r="B1769" i="106" s="1"/>
  <c r="D1769" i="106" s="1"/>
  <c r="G173" i="5" l="1"/>
  <c r="B5778" i="106" s="1"/>
  <c r="D5778" i="106" s="1"/>
  <c r="B5770" i="106"/>
  <c r="D5770" i="106" s="1"/>
  <c r="B7041" i="106"/>
  <c r="D7041" i="106" s="1"/>
  <c r="D15" i="7"/>
  <c r="B1772" i="106" s="1"/>
  <c r="D1772" i="106" s="1"/>
  <c r="D17" i="7"/>
  <c r="B4104" i="106" s="1"/>
  <c r="D4104" i="106" s="1"/>
  <c r="D7" i="7"/>
  <c r="B1763" i="106" s="1"/>
  <c r="D1763" i="106" s="1"/>
  <c r="D109" i="5"/>
  <c r="B5356" i="106" s="1"/>
  <c r="D5356" i="106" s="1"/>
  <c r="H173" i="5"/>
  <c r="F131" i="34"/>
  <c r="D13" i="7"/>
  <c r="B3726" i="106" s="1"/>
  <c r="D3726" i="106" s="1"/>
  <c r="F172" i="5"/>
  <c r="B5644" i="106" s="1"/>
  <c r="D5644" i="106" s="1"/>
  <c r="E109" i="5"/>
  <c r="E4" i="4" s="1"/>
  <c r="B2630" i="106" s="1"/>
  <c r="D2630" i="106" s="1"/>
  <c r="L367" i="29"/>
  <c r="F36" i="34"/>
  <c r="B7235" i="106"/>
  <c r="D7235" i="106" s="1"/>
  <c r="D6103" i="106"/>
  <c r="K350" i="29"/>
  <c r="B3670" i="106" s="1"/>
  <c r="D3670" i="106" s="1"/>
  <c r="B3647" i="106"/>
  <c r="D3647" i="106" s="1"/>
  <c r="C352" i="29"/>
  <c r="K41" i="3"/>
  <c r="B3568" i="106" s="1"/>
  <c r="D3568" i="106" s="1"/>
  <c r="I24" i="12"/>
  <c r="I26" i="12" s="1"/>
  <c r="B7741" i="106" s="1"/>
  <c r="D7741" i="106" s="1"/>
  <c r="G210" i="29"/>
  <c r="E174" i="29"/>
  <c r="B1309" i="106" s="1"/>
  <c r="D1309" i="106" s="1"/>
  <c r="C129" i="29"/>
  <c r="K173" i="5"/>
  <c r="K6" i="4" s="1"/>
  <c r="B3570" i="106" s="1"/>
  <c r="D3570" i="106" s="1"/>
  <c r="B3649" i="106"/>
  <c r="D3649" i="106" s="1"/>
  <c r="G367" i="29"/>
  <c r="K352" i="29"/>
  <c r="K13" i="4" s="1"/>
  <c r="B3572" i="106" s="1"/>
  <c r="D3572" i="106" s="1"/>
  <c r="D11" i="7"/>
  <c r="B1768" i="106" s="1"/>
  <c r="D1768" i="106" s="1"/>
  <c r="H109" i="5"/>
  <c r="B1410" i="106"/>
  <c r="D1410" i="106" s="1"/>
  <c r="G109" i="5"/>
  <c r="B6024" i="106" s="1"/>
  <c r="D6024" i="106" s="1"/>
  <c r="B1329" i="106"/>
  <c r="D1329" i="106" s="1"/>
  <c r="F61" i="34"/>
  <c r="B1746" i="106"/>
  <c r="D1746" i="106" s="1"/>
  <c r="D4" i="4"/>
  <c r="B2564" i="106" s="1"/>
  <c r="D2564" i="106" s="1"/>
  <c r="E30" i="108"/>
  <c r="F34" i="34"/>
  <c r="F130" i="34"/>
  <c r="C173" i="5"/>
  <c r="B5223" i="106" s="1"/>
  <c r="D5223" i="106" s="1"/>
  <c r="C109" i="5"/>
  <c r="B5121" i="106" s="1"/>
  <c r="D5121" i="106" s="1"/>
  <c r="F94" i="34"/>
  <c r="N22" i="3"/>
  <c r="B283" i="106" s="1"/>
  <c r="D283" i="106" s="1"/>
  <c r="D52" i="36"/>
  <c r="D54" i="36"/>
  <c r="L15" i="11"/>
  <c r="B3459" i="106" s="1"/>
  <c r="D3459" i="106" s="1"/>
  <c r="L5" i="11"/>
  <c r="B2056" i="106" s="1"/>
  <c r="D2056" i="106" s="1"/>
  <c r="D68" i="36"/>
  <c r="L13" i="11"/>
  <c r="B2060" i="106" s="1"/>
  <c r="D2060" i="106" s="1"/>
  <c r="K24" i="12"/>
  <c r="B1990" i="106"/>
  <c r="D1990" i="106" s="1"/>
  <c r="B1996" i="106"/>
  <c r="D1996" i="106" s="1"/>
  <c r="J23" i="12"/>
  <c r="B7730" i="106" s="1"/>
  <c r="D7730" i="106" s="1"/>
  <c r="H76" i="4"/>
  <c r="B3298" i="106" s="1"/>
  <c r="D3298" i="106" s="1"/>
  <c r="K76" i="4"/>
  <c r="B3586" i="106" s="1"/>
  <c r="D3586" i="106" s="1"/>
  <c r="J77" i="4"/>
  <c r="B6262" i="106" s="1"/>
  <c r="D6262" i="106" s="1"/>
  <c r="F21" i="8"/>
  <c r="B1870" i="106"/>
  <c r="D1870" i="106" s="1"/>
  <c r="K28" i="118"/>
  <c r="O27" i="118" s="1"/>
  <c r="O29" i="118" s="1"/>
  <c r="D22" i="37"/>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H275" i="5"/>
  <c r="B5914" i="106"/>
  <c r="D5914" i="106" s="1"/>
  <c r="J7" i="4"/>
  <c r="B2657" i="106"/>
  <c r="D2657" i="106" s="1"/>
  <c r="D274" i="5"/>
  <c r="B7270" i="106"/>
  <c r="B3621" i="106" l="1"/>
  <c r="D3621" i="106" s="1"/>
  <c r="C367" i="29"/>
  <c r="B3622" i="106" s="1"/>
  <c r="D3622" i="106" s="1"/>
  <c r="H367" i="29"/>
  <c r="B3660" i="106" s="1"/>
  <c r="D3660" i="106" s="1"/>
  <c r="B5906" i="106"/>
  <c r="D5906" i="106" s="1"/>
  <c r="H6" i="4"/>
  <c r="B2656" i="106" s="1"/>
  <c r="D2656" i="106" s="1"/>
  <c r="L114" i="29"/>
  <c r="B1365" i="106"/>
  <c r="D1365" i="106" s="1"/>
  <c r="F65" i="34"/>
  <c r="K342" i="29"/>
  <c r="F13" i="34" s="1"/>
  <c r="B6025" i="106"/>
  <c r="D6025" i="106" s="1"/>
  <c r="H4" i="4"/>
  <c r="G4" i="4"/>
  <c r="B2603" i="106" s="1"/>
  <c r="D2603" i="106" s="1"/>
  <c r="F6" i="4"/>
  <c r="B2593" i="106" s="1"/>
  <c r="D2593" i="106" s="1"/>
  <c r="F275" i="5"/>
  <c r="B1317" i="106"/>
  <c r="D1317" i="106" s="1"/>
  <c r="C6" i="4"/>
  <c r="B2553" i="106" s="1"/>
  <c r="D2553" i="106" s="1"/>
  <c r="C4" i="4"/>
  <c r="B2551" i="106" s="1"/>
  <c r="D2551" i="106" s="1"/>
  <c r="D44" i="36"/>
  <c r="L16" i="11"/>
  <c r="B2061" i="106" s="1"/>
  <c r="D2061" i="106" s="1"/>
  <c r="B7733" i="106"/>
  <c r="D7733" i="106" s="1"/>
  <c r="K26" i="12"/>
  <c r="B7743" i="106" s="1"/>
  <c r="D7743" i="106" s="1"/>
  <c r="J24" i="12"/>
  <c r="B7732" i="106" s="1"/>
  <c r="D7732" i="106" s="1"/>
  <c r="H77" i="4"/>
  <c r="B3299" i="106" s="1"/>
  <c r="D3299" i="106" s="1"/>
  <c r="B2031" i="106"/>
  <c r="D2031" i="106" s="1"/>
  <c r="B1879" i="106"/>
  <c r="D1879" i="106" s="1"/>
  <c r="H22" i="37"/>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5" i="106" l="1"/>
  <c r="D2655" i="106" s="1"/>
  <c r="H8" i="4"/>
  <c r="F8" i="4"/>
  <c r="D8" i="146" s="1"/>
  <c r="B1145" i="106"/>
  <c r="D1145" i="106" s="1"/>
  <c r="G41" i="108"/>
  <c r="G44" i="108" s="1"/>
  <c r="G45" i="108" s="1"/>
  <c r="E41" i="108"/>
  <c r="E44" i="108" s="1"/>
  <c r="E45" i="108" s="1"/>
  <c r="J26" i="12"/>
  <c r="B7742" i="106" s="1"/>
  <c r="D7742" i="106" s="1"/>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<sst xmlns="http://schemas.openxmlformats.org/spreadsheetml/2006/main" count="5034" uniqueCount="2101">
  <si>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</si>
  <si>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</si>
  <si>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</si>
  <si>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</si>
  <si>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</si>
  <si>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</si>
  <si>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</si>
  <si>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</si>
  <si>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</si>
  <si>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</si>
  <si>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</si>
  <si>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</si>
  <si>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</si>
  <si>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</si>
  <si>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</si>
  <si>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</si>
  <si>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</si>
  <si>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</si>
  <si>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</si>
  <si>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</si>
  <si>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</si>
  <si>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</si>
  <si>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</si>
  <si>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</si>
  <si>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</si>
  <si>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</si>
  <si>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</si>
  <si>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</si>
  <si>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</si>
  <si>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</si>
  <si>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</si>
  <si>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</si>
  <si>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</si>
  <si>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</si>
  <si>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</si>
  <si>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</si>
  <si>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</si>
  <si>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</si>
  <si>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</si>
  <si>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</si>
  <si>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</si>
  <si>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</si>
  <si>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</si>
  <si>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</si>
  <si>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</si>
  <si>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</si>
  <si>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</si>
  <si>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</si>
  <si>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</si>
  <si>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</si>
  <si>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</si>
  <si>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</si>
  <si>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</si>
  <si>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</si>
  <si>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</si>
  <si>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</si>
  <si>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</si>
  <si>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</si>
  <si>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</si>
  <si>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</si>
  <si>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</si>
  <si>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</si>
  <si>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</si>
  <si>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</si>
  <si>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</si>
  <si>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</si>
  <si>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</si>
  <si>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</si>
  <si>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</si>
  <si>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</si>
  <si>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</si>
  <si>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</si>
  <si>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</si>
  <si>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</si>
  <si>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</si>
  <si>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</si>
  <si>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</si>
  <si>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</si>
  <si>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</si>
  <si>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</si>
  <si>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</si>
  <si>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</si>
  <si>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</si>
  <si>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</si>
  <si>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</si>
  <si>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</si>
  <si>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</si>
  <si>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</si>
  <si>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</si>
  <si>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</si>
  <si>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</si>
  <si>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</si>
  <si>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</si>
  <si>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</si>
  <si>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</si>
  <si>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</si>
  <si>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</si>
  <si>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</si>
  <si>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</si>
  <si>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</si>
  <si>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</si>
  <si>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</si>
  <si>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</si>
  <si>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</si>
  <si>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</si>
  <si>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</si>
  <si>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</si>
  <si>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</si>
  <si>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</si>
  <si>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</si>
  <si>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</si>
  <si>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</si>
  <si>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</si>
  <si>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</si>
  <si>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</si>
  <si>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</si>
  <si>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</si>
  <si>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</si>
  <si>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</si>
  <si>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</si>
  <si>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</si>
  <si>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</si>
  <si>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</si>
  <si>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</si>
  <si>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</si>
  <si>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</si>
  <si>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</si>
  <si>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</si>
  <si>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</si>
  <si>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</si>
  <si>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</si>
  <si>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</si>
  <si>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</si>
  <si>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</si>
  <si>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</si>
  <si>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</si>
  <si>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</si>
  <si>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</si>
  <si>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</si>
  <si>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</si>
  <si>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</si>
  <si>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</si>
  <si>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</si>
  <si>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</si>
  <si>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</si>
  <si>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</si>
  <si>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</si>
  <si>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</si>
  <si>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</si>
  <si>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</si>
  <si>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</si>
  <si>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</si>
  <si>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</si>
  <si>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</si>
  <si>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</si>
  <si>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</si>
  <si>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</si>
  <si>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</si>
  <si>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</si>
  <si>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</si>
  <si>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</si>
  <si>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</si>
  <si>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</si>
  <si>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</si>
  <si>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</si>
  <si>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</si>
  <si>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</si>
  <si>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</si>
  <si>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</si>
  <si>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</si>
  <si>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</si>
  <si>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</si>
  <si>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</si>
  <si>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</si>
  <si>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</si>
  <si>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</si>
  <si>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</si>
  <si>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</si>
  <si>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</si>
  <si>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</si>
  <si>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</si>
  <si>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</si>
  <si>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</si>
  <si>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</si>
  <si>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</si>
  <si>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</si>
  <si>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</si>
  <si>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</si>
  <si>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</si>
  <si>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</si>
  <si>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</si>
  <si>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</si>
  <si>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</si>
  <si>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</si>
  <si>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</si>
  <si>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</si>
  <si>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</si>
  <si>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</si>
  <si>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</si>
  <si>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</si>
  <si>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</si>
  <si>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</si>
  <si>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</si>
  <si>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</si>
  <si>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</si>
  <si>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</si>
  <si>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</si>
  <si>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</si>
  <si>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</si>
  <si>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</si>
  <si>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</si>
  <si>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</si>
  <si>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</si>
  <si>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</si>
  <si>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</si>
  <si>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</si>
  <si>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</si>
  <si>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</si>
  <si>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</si>
  <si>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</si>
  <si>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</si>
  <si>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</si>
  <si>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</si>
  <si>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</si>
  <si>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</si>
  <si>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</si>
  <si>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</si>
  <si>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</si>
  <si>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</si>
  <si>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</si>
  <si>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</si>
  <si>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</si>
  <si>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</si>
  <si>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</si>
  <si>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</si>
  <si>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</si>
  <si>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</si>
  <si>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</si>
  <si>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</si>
  <si>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</si>
  <si>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</si>
  <si>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</si>
  <si>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</si>
  <si>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</si>
  <si>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</si>
  <si>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</si>
  <si>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</si>
  <si>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</si>
  <si>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</si>
  <si>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</si>
  <si>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</si>
  <si>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</si>
  <si>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</si>
  <si>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</si>
  <si>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</si>
  <si>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</si>
  <si>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</si>
  <si>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</si>
  <si>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</si>
  <si>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</si>
  <si>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</si>
  <si>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</si>
  <si>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</si>
  <si>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</si>
  <si>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</si>
  <si>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</si>
  <si>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</si>
  <si>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</si>
  <si>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</si>
  <si>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</si>
  <si>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</si>
  <si>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</si>
  <si>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</si>
  <si>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</si>
  <si>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</si>
  <si>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</si>
  <si>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</si>
  <si>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</si>
  <si>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</si>
  <si>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</si>
  <si>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</si>
  <si>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</si>
  <si>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</si>
  <si>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</si>
  <si>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</si>
  <si>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</si>
  <si>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</si>
  <si>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</si>
  <si>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</si>
  <si>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</si>
  <si>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</si>
  <si>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</si>
  <si>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</si>
  <si>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</si>
  <si>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</si>
  <si>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</si>
  <si>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</si>
  <si>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</si>
  <si>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</si>
  <si>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</si>
  <si>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</si>
  <si>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</si>
  <si>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</si>
  <si>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</si>
  <si>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</si>
  <si>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</si>
  <si>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</si>
  <si>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</si>
  <si>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</si>
  <si>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</si>
  <si>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</si>
  <si>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</si>
  <si>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</si>
  <si>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</si>
  <si>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</si>
  <si>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</si>
  <si>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</si>
  <si>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</si>
  <si>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</si>
  <si>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</si>
  <si>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</si>
  <si>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</si>
  <si>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</si>
  <si>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</si>
  <si>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</si>
  <si>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</si>
  <si>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</si>
  <si>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</si>
  <si>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</si>
  <si>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</si>
  <si>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</si>
  <si>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</si>
  <si>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</si>
  <si>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</si>
  <si>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</si>
  <si>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</si>
  <si>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</si>
  <si>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</si>
  <si>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</si>
  <si>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</si>
  <si>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</si>
  <si>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</si>
  <si>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</si>
  <si>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</si>
  <si>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</si>
  <si>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</si>
  <si>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</si>
  <si>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</si>
  <si>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</si>
  <si>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</si>
  <si>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</si>
  <si>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</si>
  <si>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</si>
  <si>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</si>
  <si>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</si>
  <si>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</si>
  <si>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</si>
  <si>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</si>
  <si>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</si>
  <si>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</si>
  <si>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</si>
  <si>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</si>
  <si>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</si>
  <si>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</si>
  <si>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</si>
  <si>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</si>
  <si>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</si>
  <si>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</si>
  <si>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</si>
  <si>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</si>
  <si>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</si>
  <si>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</si>
  <si>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</si>
  <si>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</si>
  <si>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</si>
  <si>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</si>
  <si>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</si>
  <si>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</si>
  <si>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</si>
  <si>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</si>
  <si>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</si>
  <si>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</si>
  <si>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</si>
  <si>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</si>
  <si>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</si>
  <si>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</si>
  <si>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</si>
  <si>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</si>
  <si>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</si>
  <si>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</si>
  <si>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</si>
  <si>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</si>
  <si>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</si>
  <si>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</si>
  <si>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</si>
  <si>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</si>
  <si>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</si>
  <si>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</si>
  <si>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</si>
  <si>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</si>
  <si>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</si>
  <si>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</si>
  <si>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</si>
  <si>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</si>
  <si>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</si>
  <si>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</si>
  <si>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</si>
  <si>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</si>
  <si>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</si>
  <si>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</si>
  <si>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</si>
  <si>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</si>
  <si>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</si>
  <si>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</si>
  <si>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</si>
  <si>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</si>
  <si>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</si>
  <si>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</si>
  <si>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</si>
  <si>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</si>
  <si>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</si>
  <si>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</si>
  <si>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</si>
  <si>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</si>
  <si>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</si>
  <si>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</si>
  <si>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</si>
  <si>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</si>
  <si>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</si>
  <si>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</si>
  <si>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</si>
  <si>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</si>
  <si>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</si>
  <si>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</si>
  <si>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</si>
  <si>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</si>
  <si>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</si>
  <si>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</si>
  <si>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</si>
  <si>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</si>
  <si>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</si>
  <si>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</si>
  <si>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</si>
  <si>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</si>
  <si>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</si>
  <si>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</si>
  <si>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</si>
  <si>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</si>
  <si>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</si>
  <si>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</si>
  <si>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</si>
  <si>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</si>
  <si>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</si>
  <si>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</si>
  <si>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</si>
  <si>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</si>
  <si>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</si>
  <si>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</si>
  <si>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</si>
  <si>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</si>
  <si>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</si>
  <si>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</si>
  <si>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</si>
  <si>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</si>
  <si>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</si>
  <si>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</si>
  <si>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</si>
  <si>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</si>
  <si>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</si>
  <si>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</si>
  <si>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</si>
  <si>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</si>
  <si>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</si>
  <si>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</si>
  <si>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</si>
  <si>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</si>
  <si>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</si>
  <si>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</si>
  <si>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</si>
  <si>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</si>
  <si>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</si>
  <si>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</si>
  <si>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</si>
  <si>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</si>
  <si>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</si>
  <si>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</si>
  <si>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</si>
  <si>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</si>
  <si>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</si>
  <si>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</si>
  <si>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</si>
  <si>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</si>
  <si>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</si>
  <si>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</si>
  <si>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</si>
  <si>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</si>
  <si>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</si>
  <si>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</si>
  <si>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</si>
  <si>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</si>
  <si>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</si>
  <si>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</si>
  <si>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</si>
  <si>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</si>
  <si>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</si>
  <si>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</si>
  <si>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</si>
  <si>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</si>
  <si>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</si>
  <si>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</si>
  <si>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</si>
  <si>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</si>
  <si>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</si>
  <si>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</si>
  <si>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</si>
  <si>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</si>
  <si>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</si>
  <si>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</si>
  <si>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</si>
  <si>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</si>
  <si>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</si>
  <si>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</si>
  <si>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</si>
  <si>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</si>
  <si>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</si>
  <si>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</si>
  <si>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</si>
  <si>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</si>
  <si>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</si>
  <si>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</si>
  <si>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</si>
  <si>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</si>
  <si>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</si>
  <si>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</si>
  <si>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</si>
  <si>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</si>
  <si>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</si>
  <si>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</si>
  <si>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</si>
  <si>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</si>
  <si>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</si>
  <si>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</si>
  <si>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</si>
  <si>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</si>
  <si>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</si>
  <si>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</si>
  <si>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</si>
  <si>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</si>
  <si>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</si>
  <si>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</si>
  <si>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</si>
  <si>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</si>
  <si>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</si>
  <si>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</si>
  <si>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</si>
  <si>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</si>
  <si>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</si>
  <si>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</si>
  <si>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</si>
  <si>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</si>
  <si>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</si>
  <si>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</si>
  <si>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</si>
  <si>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</si>
  <si>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</si>
  <si>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</si>
  <si>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</si>
  <si>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</si>
  <si>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</si>
  <si>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</si>
  <si>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</si>
  <si>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</si>
  <si>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</si>
  <si>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</si>
  <si>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</si>
  <si>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</si>
  <si>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</si>
  <si>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</si>
  <si>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</si>
  <si>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</si>
  <si>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</si>
  <si>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</si>
  <si>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</si>
  <si>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</si>
  <si>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</si>
  <si>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</si>
  <si>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</si>
  <si>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</si>
  <si>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</si>
  <si>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</si>
  <si>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</si>
  <si>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</si>
  <si>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</si>
  <si>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</si>
  <si>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</si>
  <si>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</si>
  <si>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</si>
  <si>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</si>
  <si>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</si>
  <si>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</si>
  <si>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</si>
  <si>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</si>
  <si>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</si>
  <si>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</si>
  <si>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</si>
  <si>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</si>
  <si>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</si>
  <si>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</si>
  <si>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</si>
  <si>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</si>
  <si>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</si>
  <si>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</si>
  <si>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</si>
  <si>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</si>
  <si>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</si>
  <si>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</si>
  <si>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</si>
  <si>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</si>
  <si>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</si>
  <si>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</si>
  <si>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</si>
  <si>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</si>
  <si>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</si>
  <si>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</si>
  <si>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</si>
  <si>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</si>
  <si>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</si>
  <si>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</si>
  <si>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</si>
  <si>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</si>
  <si>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</si>
  <si>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</si>
  <si>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</si>
  <si>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</si>
  <si>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</si>
  <si>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</si>
  <si>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</si>
  <si>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</si>
  <si>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</si>
  <si>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</si>
  <si>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</si>
  <si>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</si>
  <si>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</si>
  <si>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</si>
  <si>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</si>
  <si>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</si>
  <si>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</si>
  <si>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</si>
  <si>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</si>
  <si>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</si>
  <si>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</si>
  <si>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</si>
  <si>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</si>
  <si>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</si>
  <si>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</si>
  <si>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</si>
  <si>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</si>
  <si>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</si>
  <si>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</si>
  <si>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</si>
  <si>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</si>
  <si>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</si>
  <si>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</si>
  <si>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</si>
  <si>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</si>
  <si>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</si>
  <si>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</si>
  <si>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</si>
  <si>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</si>
  <si>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</si>
  <si>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</si>
  <si>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</si>
  <si>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</si>
  <si>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</si>
  <si>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</si>
  <si>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</si>
  <si>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</si>
  <si>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</si>
  <si>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</si>
  <si>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</si>
  <si>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</si>
  <si>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</si>
  <si>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</si>
  <si>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</si>
  <si>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</si>
  <si>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</si>
  <si>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</si>
  <si>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</si>
  <si>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</si>
  <si>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</si>
  <si>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</si>
  <si>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</si>
  <si>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</si>
  <si>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</si>
  <si>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</si>
  <si>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</si>
  <si>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</si>
  <si>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</si>
  <si>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</si>
  <si>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</si>
  <si>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</si>
  <si>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</si>
  <si>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</si>
  <si>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</si>
  <si>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</si>
  <si>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</si>
  <si>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</si>
  <si>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</si>
  <si>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</si>
  <si>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</si>
  <si>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</si>
  <si>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</si>
  <si>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</si>
  <si>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</si>
  <si>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</si>
  <si>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</si>
  <si>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</si>
  <si>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</si>
  <si>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</si>
  <si>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</si>
  <si>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</si>
  <si>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</si>
  <si>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</si>
  <si>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</si>
  <si>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</si>
  <si>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</si>
  <si>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</si>
  <si>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</si>
  <si>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</si>
  <si>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</si>
  <si>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</si>
  <si>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</si>
  <si>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</si>
  <si>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</si>
  <si>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</si>
  <si>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</si>
  <si>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</si>
  <si>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</si>
  <si>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</si>
  <si>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</si>
  <si>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</si>
  <si>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</si>
  <si>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</si>
  <si>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</si>
  <si>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</si>
  <si>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</si>
  <si>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</si>
  <si>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</si>
  <si>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</si>
  <si>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</si>
  <si>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</si>
  <si>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</si>
  <si>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</si>
  <si>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</si>
  <si>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</si>
  <si>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</si>
  <si>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</si>
  <si>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</si>
  <si>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</si>
  <si>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</si>
  <si>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</si>
  <si>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</si>
  <si>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</si>
  <si>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</si>
  <si>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</si>
  <si>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</si>
  <si>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</si>
  <si>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</si>
  <si>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</si>
  <si>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</si>
  <si>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</si>
  <si>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</si>
  <si>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</si>
  <si>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</si>
  <si>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</si>
  <si>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</si>
  <si>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</si>
  <si>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</si>
  <si>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</si>
  <si>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</si>
  <si>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</si>
  <si>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</si>
  <si>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</si>
  <si>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</si>
  <si>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</si>
  <si>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</si>
  <si>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</si>
  <si>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</si>
  <si>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</si>
  <si>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</si>
  <si>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</si>
  <si>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</si>
  <si>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</si>
  <si>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</si>
  <si>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</si>
  <si>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</si>
  <si>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</si>
  <si>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</si>
  <si>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</si>
  <si>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</si>
  <si>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</si>
  <si>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</si>
  <si>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</si>
  <si>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</si>
  <si>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</si>
  <si>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</si>
  <si>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</si>
  <si>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</si>
  <si>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</si>
  <si>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</si>
  <si>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</si>
  <si>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</si>
  <si>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</si>
  <si>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</si>
  <si>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</si>
  <si>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</si>
  <si>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</si>
  <si>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</si>
  <si>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</si>
  <si>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</si>
  <si>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</si>
  <si>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</si>
  <si>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</si>
  <si>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</si>
  <si>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</si>
  <si>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</si>
  <si>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</si>
  <si>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</si>
  <si>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</si>
  <si>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</si>
  <si>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</si>
  <si>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</si>
  <si>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</si>
  <si>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</si>
  <si>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</si>
  <si>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</si>
  <si>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</si>
  <si>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</si>
  <si>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</si>
  <si>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</si>
  <si>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</si>
  <si>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</si>
  <si>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</si>
  <si>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</si>
  <si>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</si>
  <si>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</si>
  <si>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</si>
  <si>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</si>
  <si>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</si>
  <si>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</si>
  <si>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</si>
  <si>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</si>
  <si>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</si>
  <si>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</si>
  <si>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</si>
  <si>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</si>
  <si>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</si>
  <si>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</si>
  <si>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</si>
  <si>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</si>
  <si>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</si>
  <si>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</si>
  <si>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</si>
  <si>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</si>
  <si>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</si>
  <si>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</si>
  <si>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</si>
  <si>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</si>
  <si>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</si>
  <si>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</si>
  <si>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</si>
  <si>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</si>
  <si>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</si>
  <si>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</si>
  <si>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</si>
  <si>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</si>
  <si>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</si>
  <si>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</si>
  <si>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</si>
  <si>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</si>
  <si>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</si>
  <si>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</si>
  <si>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</si>
  <si>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</si>
  <si>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</si>
  <si>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</si>
  <si>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</si>
  <si>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</si>
  <si>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</si>
  <si>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</si>
  <si>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</si>
  <si>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</si>
  <si>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</si>
  <si>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</si>
  <si>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</si>
  <si>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</si>
  <si>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</si>
  <si>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</si>
  <si>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</si>
  <si>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</si>
  <si>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</si>
  <si>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</si>
  <si>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</si>
  <si>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</si>
  <si>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</si>
  <si>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</si>
  <si>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</si>
  <si>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</si>
  <si>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</si>
  <si>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</si>
  <si>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</si>
  <si>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</si>
  <si>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</si>
  <si>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</si>
  <si>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</si>
  <si>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</si>
  <si>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</si>
  <si>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</si>
  <si>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</si>
  <si>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</si>
  <si>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</si>
  <si>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</si>
  <si>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</si>
  <si>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</si>
  <si>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</si>
  <si>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</si>
  <si>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</si>
  <si>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</si>
  <si>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</si>
  <si>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</si>
  <si>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</si>
  <si>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</si>
  <si>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</si>
  <si>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</si>
  <si>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</si>
  <si>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</si>
  <si>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</si>
  <si>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</si>
  <si>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</si>
  <si>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</si>
  <si>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</si>
  <si>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</si>
  <si>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</si>
  <si>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</si>
  <si>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</si>
  <si>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</si>
  <si>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</si>
  <si>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</si>
  <si>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</si>
  <si>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</si>
  <si>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</si>
  <si>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</si>
  <si>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</si>
  <si>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</si>
  <si>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</si>
  <si>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</si>
  <si>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</si>
  <si>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</si>
  <si>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</si>
  <si>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</si>
  <si>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</si>
  <si>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</si>
  <si>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</si>
  <si>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</si>
  <si>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</si>
  <si>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</si>
  <si>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</si>
  <si>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</si>
  <si>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</si>
  <si>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</si>
  <si>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</si>
  <si>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</si>
  <si>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</si>
  <si>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</si>
  <si>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</si>
  <si>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</si>
  <si>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</si>
  <si>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</si>
  <si>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</si>
  <si>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</si>
  <si>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</si>
  <si>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</si>
  <si>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</si>
  <si>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</si>
  <si>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</si>
  <si>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</si>
  <si>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</si>
  <si>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</si>
  <si>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</si>
  <si>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</si>
  <si>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</si>
  <si>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</si>
  <si>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</si>
  <si>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</si>
  <si>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</si>
  <si>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</si>
  <si>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</si>
  <si>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</si>
  <si>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</si>
  <si>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</si>
  <si>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</si>
  <si>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</si>
  <si>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</si>
  <si>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</si>
  <si>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</si>
  <si>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</si>
  <si>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</si>
  <si>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</si>
  <si>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</si>
  <si>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</si>
  <si>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</si>
  <si>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</si>
  <si>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</si>
  <si>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</si>
  <si>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</si>
  <si>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</si>
  <si>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</si>
  <si>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</si>
  <si>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</si>
  <si>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</si>
  <si>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</si>
  <si>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</si>
  <si>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</si>
  <si>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</si>
  <si>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</si>
  <si>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</si>
  <si>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</si>
  <si>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</si>
  <si>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</si>
  <si>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</si>
  <si>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</si>
  <si>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</si>
  <si>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</si>
  <si>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</si>
  <si>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</si>
  <si>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</si>
  <si>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</si>
  <si>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</si>
  <si>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</si>
  <si>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</si>
  <si>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</si>
  <si>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</si>
  <si>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</si>
  <si>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</si>
  <si>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</si>
  <si>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</si>
  <si>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</si>
  <si>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</si>
  <si>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</si>
  <si>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</si>
  <si>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</si>
  <si>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</si>
  <si>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</si>
  <si>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</si>
  <si>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</si>
  <si>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</si>
  <si>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</si>
  <si>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</si>
  <si>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</si>
  <si>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</si>
  <si>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</si>
  <si>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</si>
  <si>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</si>
  <si>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</si>
  <si>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</si>
  <si>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</si>
  <si>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</si>
  <si>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</si>
  <si>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</si>
  <si>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</si>
  <si>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</si>
  <si>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</si>
  <si>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</si>
  <si>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</si>
  <si>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</si>
  <si>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</si>
  <si>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</si>
  <si>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</si>
  <si>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</si>
  <si>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</si>
  <si>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</si>
  <si>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</si>
  <si>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</si>
  <si>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</si>
  <si>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</si>
  <si>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</si>
  <si>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</si>
  <si>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</si>
  <si>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</si>
  <si>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</si>
  <si>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</si>
  <si>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</si>
  <si>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</si>
  <si>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</si>
  <si>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</si>
  <si>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</si>
  <si>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</si>
  <si>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</si>
  <si>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</si>
  <si>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</si>
  <si>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</si>
  <si>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</si>
  <si>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</si>
  <si>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</si>
  <si>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</si>
  <si>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</si>
  <si>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</si>
  <si>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</si>
  <si>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</si>
  <si>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</si>
  <si>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</si>
  <si>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</si>
  <si>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</si>
  <si>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</si>
  <si>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</si>
  <si>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</si>
  <si>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</si>
  <si>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</si>
  <si>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</si>
  <si>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</si>
  <si>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</si>
  <si>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</si>
  <si>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</si>
  <si>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</si>
  <si>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</si>
  <si>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</si>
  <si>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</si>
  <si>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</si>
  <si>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</si>
  <si>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</si>
  <si>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</si>
  <si>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</si>
  <si>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</si>
  <si>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</si>
  <si>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</si>
  <si>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</si>
  <si>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</si>
  <si>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</si>
  <si>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</si>
  <si>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</si>
  <si>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</si>
  <si>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</si>
  <si>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</si>
  <si>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</si>
  <si>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</si>
  <si>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</si>
  <si>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</si>
  <si>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</si>
  <si>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</si>
  <si>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</si>
  <si>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</si>
  <si>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</si>
  <si>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</si>
  <si>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</si>
  <si>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</si>
  <si>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</si>
  <si>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</si>
  <si>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</si>
  <si>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</si>
  <si>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</si>
  <si>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</si>
  <si>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</si>
  <si>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</si>
  <si>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</si>
  <si>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</si>
  <si>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</si>
  <si>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</si>
  <si>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</si>
  <si>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</si>
  <si>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</si>
  <si>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</si>
  <si>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</si>
  <si>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</si>
  <si>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</si>
  <si>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</si>
  <si>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</si>
  <si>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</si>
  <si>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</si>
  <si>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</si>
  <si>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</si>
  <si>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</si>
  <si>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</si>
  <si>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</si>
  <si>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</si>
  <si>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</si>
  <si>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</si>
  <si>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</si>
  <si>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</si>
  <si>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</si>
  <si>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</si>
  <si>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</si>
  <si>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</si>
  <si>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</si>
  <si>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</si>
  <si>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</si>
  <si>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</si>
  <si>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</si>
  <si>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</si>
  <si>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</si>
  <si>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</si>
  <si>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</si>
  <si>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</si>
  <si>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</si>
  <si>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</si>
  <si>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</si>
  <si>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</si>
  <si>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</si>
  <si>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</si>
  <si>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</si>
  <si>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</si>
  <si>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</si>
  <si>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</si>
  <si>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</si>
  <si>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</si>
  <si>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</si>
  <si>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</si>
  <si>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</si>
  <si>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</si>
  <si>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</si>
  <si>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</si>
  <si>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</si>
  <si>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</si>
  <si>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</si>
  <si>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</si>
  <si>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</si>
  <si>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</si>
  <si>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</si>
  <si>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</si>
  <si>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</si>
  <si>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</si>
  <si>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</si>
  <si>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</si>
  <si>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</si>
  <si>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</si>
  <si>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</si>
  <si>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</si>
  <si>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</si>
  <si>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</si>
  <si>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</si>
  <si>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</si>
  <si>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</si>
  <si>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</si>
  <si>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</si>
  <si>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</si>
  <si>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</si>
  <si>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</si>
  <si>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</si>
  <si>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</si>
  <si>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</si>
  <si>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</si>
  <si>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</si>
  <si>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</si>
  <si>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</si>
  <si>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</si>
  <si>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</si>
  <si>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</si>
  <si>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</si>
  <si>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</si>
  <si>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</si>
  <si>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</si>
  <si>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</si>
  <si>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</si>
  <si>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</si>
  <si>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</si>
  <si>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</si>
  <si>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</si>
  <si>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</si>
  <si>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</si>
  <si>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</si>
  <si>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</si>
  <si>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</si>
  <si>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</si>
  <si>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</si>
  <si>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</si>
  <si>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</si>
  <si>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</si>
  <si>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</si>
  <si>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</si>
  <si>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</si>
  <si>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</si>
  <si>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</si>
  <si>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</si>
  <si>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</si>
  <si>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</si>
  <si>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</si>
  <si>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</si>
  <si>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</si>
  <si>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</si>
  <si>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</si>
  <si>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</si>
  <si>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</si>
  <si>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</si>
  <si>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</si>
  <si>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</si>
  <si>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</si>
  <si>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</si>
  <si>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</si>
  <si>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</si>
  <si>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</si>
  <si>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</si>
  <si>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</si>
  <si>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</si>
  <si>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</si>
  <si>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</si>
  <si>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</si>
  <si>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</si>
  <si>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</si>
  <si>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</si>
  <si>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</si>
  <si>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</si>
  <si>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</si>
  <si>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</si>
  <si>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</si>
  <si>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</si>
  <si>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</si>
  <si>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</si>
  <si>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</si>
  <si>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</si>
  <si>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</si>
  <si>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</si>
  <si>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</si>
  <si>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</si>
  <si>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</si>
  <si>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</si>
  <si>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</si>
  <si>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</si>
  <si>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</si>
  <si>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</si>
  <si>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</si>
  <si>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</si>
  <si>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</si>
  <si>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</si>
  <si>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</si>
  <si>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</si>
  <si>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</si>
  <si>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</si>
  <si>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</si>
  <si>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</si>
  <si>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</si>
  <si>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</si>
  <si>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</si>
  <si>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</si>
  <si>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</si>
  <si>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</si>
  <si>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</si>
  <si>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</si>
  <si>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</si>
  <si>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</si>
  <si>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</si>
  <si>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</si>
  <si>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</si>
  <si>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</si>
  <si>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</si>
  <si>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</si>
  <si>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</si>
  <si>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</si>
  <si>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</si>
  <si>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</si>
  <si>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</si>
  <si>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</si>
  <si>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</si>
  <si>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</si>
  <si>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</si>
  <si>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</si>
  <si>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</si>
  <si>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</si>
  <si>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</si>
  <si>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</si>
  <si>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</si>
  <si>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</si>
  <si>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</si>
  <si>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</si>
  <si>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</si>
  <si>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</si>
  <si>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</si>
  <si>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</si>
  <si>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</si>
  <si>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</si>
  <si>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</si>
  <si>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</si>
  <si>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</si>
  <si>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</si>
  <si>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</si>
  <si>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</si>
  <si>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</si>
  <si>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</si>
  <si>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</si>
  <si>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</si>
  <si>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</si>
  <si>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</si>
  <si>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</si>
  <si>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</si>
  <si>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</si>
  <si>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</si>
  <si>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</si>
  <si>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</si>
  <si>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</si>
  <si>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</si>
  <si>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</si>
  <si>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</si>
  <si>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</si>
  <si>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</si>
  <si>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</si>
  <si>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</si>
  <si>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</si>
  <si>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</si>
  <si>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</si>
  <si>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</si>
  <si>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</si>
  <si>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</si>
  <si>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</si>
  <si>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</si>
  <si>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</si>
  <si>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</si>
  <si>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</si>
  <si>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</si>
  <si>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</si>
  <si>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</si>
  <si>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</si>
  <si>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</si>
  <si>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</si>
  <si>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</si>
  <si>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</si>
  <si>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</si>
  <si>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</si>
  <si>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</si>
  <si>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</si>
  <si>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</si>
  <si>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</si>
  <si>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</si>
  <si>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</si>
  <si>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</si>
  <si>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</si>
  <si>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</si>
  <si>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</si>
  <si>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</si>
  <si>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</si>
  <si>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</si>
  <si>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</si>
  <si>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</si>
  <si>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</si>
  <si>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</si>
  <si>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</si>
  <si>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</si>
  <si>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</si>
  <si>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</si>
  <si>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</si>
  <si>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</si>
  <si>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</si>
  <si>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</si>
  <si>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</si>
  <si>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</si>
  <si>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</si>
  <si>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</si>
  <si>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</si>
  <si>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</si>
  <si>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</si>
  <si>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</si>
  <si>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</si>
  <si>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</si>
  <si>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</si>
  <si>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</si>
  <si>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</si>
  <si>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</si>
  <si>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</si>
  <si>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</si>
  <si>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</si>
  <si>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</si>
  <si>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</si>
  <si>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</si>
  <si>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</si>
  <si>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</si>
  <si>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</si>
  <si>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</si>
  <si>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</si>
  <si>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</si>
  <si>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</si>
  <si>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</si>
  <si>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</si>
  <si>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</si>
  <si>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</si>
  <si>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</si>
  <si>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</si>
  <si>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</si>
  <si>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</si>
  <si>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</si>
  <si>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</si>
  <si>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</si>
  <si>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</si>
  <si>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</si>
  <si>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</si>
  <si>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</si>
  <si>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</si>
  <si>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</si>
  <si>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</si>
  <si>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</si>
  <si>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</si>
  <si>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</si>
  <si>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</si>
  <si>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</si>
  <si>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</si>
  <si>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</si>
  <si>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</si>
  <si>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</si>
  <si>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</si>
  <si>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</si>
  <si>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</si>
  <si>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</si>
  <si>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</si>
  <si>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</si>
  <si>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</si>
  <si>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</si>
  <si>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</si>
  <si>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</si>
  <si>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</si>
  <si>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</si>
  <si>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</si>
  <si>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</si>
  <si>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</si>
  <si>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</si>
  <si>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</si>
  <si>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</si>
  <si>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</si>
  <si>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</si>
  <si>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</si>
  <si>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</si>
  <si>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</si>
  <si>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</si>
  <si>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</si>
  <si>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</si>
  <si>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</si>
  <si>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</si>
  <si>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</si>
  <si>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</si>
  <si>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</si>
  <si>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</si>
  <si>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</si>
  <si>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</si>
  <si>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</si>
  <si>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</si>
  <si>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</si>
  <si>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</si>
  <si>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</si>
  <si>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</si>
  <si>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</si>
  <si>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</si>
  <si>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</si>
  <si>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</si>
  <si>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</si>
  <si>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</si>
  <si>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</si>
  <si>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</si>
  <si>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</si>
  <si>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</si>
  <si>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</si>
  <si>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</si>
  <si>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</si>
  <si>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</si>
  <si>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</si>
  <si>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</si>
  <si>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</si>
  <si>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</si>
  <si>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</si>
  <si>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</si>
  <si>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</si>
  <si>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</si>
  <si>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</si>
  <si>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</si>
  <si>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</si>
  <si>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</si>
  <si>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</si>
  <si>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</si>
  <si>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</si>
  <si>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</si>
  <si>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</si>
  <si>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</si>
  <si>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</si>
  <si>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</si>
  <si>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</si>
  <si>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</si>
  <si>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</si>
  <si>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</si>
  <si>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</si>
  <si>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</si>
  <si>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</si>
  <si>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</si>
  <si>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</si>
  <si>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</si>
  <si>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</si>
  <si>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</si>
  <si>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</si>
  <si>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</si>
  <si>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</si>
  <si>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</si>
  <si>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</si>
  <si>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</si>
  <si>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</si>
  <si>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</si>
  <si>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</si>
  <si>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</si>
  <si>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</si>
  <si>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</si>
  <si>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</si>
  <si>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</si>
  <si>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</si>
  <si>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</si>
  <si>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</si>
  <si>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</si>
  <si>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</si>
  <si>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</si>
  <si>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</si>
  <si>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</si>
  <si>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</si>
  <si>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</si>
  <si>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</si>
  <si>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</si>
  <si>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</si>
  <si>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</si>
  <si>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</si>
  <si>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</si>
  <si>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</si>
  <si>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</si>
  <si>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</si>
  <si>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</si>
  <si>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</si>
  <si>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</si>
  <si>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</si>
  <si>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</si>
  <si>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</si>
  <si>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</si>
  <si>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</si>
  <si>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</si>
  <si>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</si>
  <si>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</si>
  <si>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</si>
  <si>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</si>
  <si>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</si>
  <si>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</si>
  <si>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</si>
  <si>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</si>
  <si>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</si>
  <si>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</si>
  <si>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</si>
  <si>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</si>
  <si>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</si>
  <si>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</si>
  <si>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</si>
  <si>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</si>
  <si>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</si>
  <si>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</si>
  <si>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</si>
  <si>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</si>
  <si>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</si>
  <si>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</si>
  <si>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</si>
  <si>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</si>
  <si>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</si>
  <si>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</si>
  <si>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</si>
  <si>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</si>
  <si>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</si>
  <si>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</si>
  <si>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</si>
  <si>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</si>
  <si>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</si>
  <si>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</si>
  <si>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</si>
  <si>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</si>
  <si>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</si>
  <si>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</si>
  <si>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</si>
  <si>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</si>
  <si>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</si>
  <si>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</si>
  <si>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</si>
  <si>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</si>
  <si>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</si>
  <si>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</si>
  <si>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</si>
  <si>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</si>
  <si>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</si>
  <si>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</si>
  <si>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</si>
  <si>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</si>
  <si>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</si>
  <si>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</si>
  <si>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</si>
  <si>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</si>
  <si>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</si>
  <si>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</si>
  <si>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</si>
  <si>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</si>
  <si>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</si>
  <si>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</si>
  <si>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</si>
  <si>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</si>
  <si>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</si>
  <si>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</si>
  <si>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</si>
  <si>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</si>
  <si>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</si>
  <si>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</si>
  <si>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</si>
  <si>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</si>
  <si>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</si>
  <si>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</si>
  <si>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</si>
  <si>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</si>
  <si>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</si>
  <si>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</si>
  <si>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</si>
  <si>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</si>
  <si>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</si>
  <si>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</si>
  <si>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</si>
  <si>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</si>
  <si>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</si>
  <si>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</si>
  <si>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</si>
  <si>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</si>
  <si>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</si>
  <si>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</si>
  <si>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</si>
  <si>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</si>
  <si>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</si>
  <si>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</si>
  <si>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</si>
  <si>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</si>
  <si>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</si>
  <si>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</si>
  <si>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</si>
  <si>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</si>
  <si>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</si>
  <si>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</si>
  <si>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</si>
  <si>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</si>
  <si>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</si>
  <si>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</si>
  <si>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</si>
  <si>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</si>
  <si>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</si>
  <si>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</si>
  <si>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</si>
  <si>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</si>
  <si>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</si>
  <si>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</si>
  <si>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</si>
  <si>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</si>
  <si>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</si>
  <si>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</si>
  <si>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</si>
  <si>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</si>
  <si>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</si>
  <si>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</si>
  <si>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</si>
  <si>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</si>
  <si>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</si>
  <si>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</si>
  <si>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</si>
  <si>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</si>
  <si>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</si>
  <si>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</si>
  <si>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</si>
  <si>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</si>
  <si>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</si>
  <si>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</si>
  <si>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</si>
  <si>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</si>
  <si>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</si>
  <si>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</si>
  <si>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</si>
  <si>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</si>
  <si>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</si>
  <si>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</si>
  <si>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</si>
  <si>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</si>
  <si>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</si>
  <si>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</si>
  <si>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</si>
  <si>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</si>
  <si>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</si>
  <si>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</si>
  <si>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</si>
  <si>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</si>
  <si>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</si>
  <si>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</si>
  <si>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</si>
  <si>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</si>
  <si>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</si>
  <si>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</si>
  <si>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</si>
  <si>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</si>
  <si>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</si>
  <si>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</si>
  <si>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</si>
  <si>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</si>
  <si>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</si>
  <si>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</si>
  <si>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</si>
  <si>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</si>
  <si>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</si>
  <si>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</si>
  <si>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</si>
  <si>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</si>
  <si>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</si>
  <si>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</si>
  <si>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</si>
  <si>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</si>
  <si>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</si>
  <si>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</si>
  <si>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</si>
  <si>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</si>
  <si>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</si>
  <si>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</si>
  <si>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</si>
  <si>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</si>
  <si>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</si>
  <si>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</si>
  <si>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</si>
  <si>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</si>
  <si>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</si>
  <si>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</si>
  <si>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</si>
  <si>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</si>
  <si>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</si>
  <si>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</si>
  <si>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</si>
  <si>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</si>
  <si>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</si>
  <si>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</si>
  <si>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</si>
  <si>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</si>
  <si>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</si>
  <si>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</si>
  <si>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</si>
  <si>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</si>
  <si>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</si>
  <si>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</si>
  <si>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</si>
  <si>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</si>
  <si>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</si>
  <si>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</si>
  <si>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</si>
  <si>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</si>
  <si>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</si>
  <si>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</si>
  <si>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</si>
  <si>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</si>
  <si>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</si>
  <si>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</si>
  <si>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</si>
  <si>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</si>
  <si>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</si>
  <si>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</si>
  <si>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</si>
  <si>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</si>
  <si>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</si>
  <si>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</si>
  <si>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</si>
  <si>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</si>
  <si>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</si>
  <si>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</si>
  <si>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</si>
  <si>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</si>
  <si>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</si>
  <si>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</si>
  <si>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</si>
  <si>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</si>
  <si>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</si>
  <si>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</si>
  <si>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</si>
  <si>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</si>
  <si>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</si>
  <si>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</si>
  <si>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</si>
  <si>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</si>
  <si>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</si>
  <si>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</si>
  <si>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</si>
  <si>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</si>
  <si>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</si>
  <si>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</si>
  <si>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</si>
  <si>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</si>
  <si>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</si>
  <si>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</si>
  <si>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</si>
  <si>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</si>
  <si>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</si>
  <si>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</si>
  <si>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</si>
  <si>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</si>
  <si>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</si>
  <si>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</si>
  <si>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</si>
  <si>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</si>
  <si>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</si>
  <si>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</si>
  <si>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</si>
  <si>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</si>
  <si>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</si>
  <si>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</si>
  <si>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</si>
  <si>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</si>
  <si>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</si>
  <si>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</si>
  <si>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</si>
  <si>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</si>
  <si>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</si>
  <si>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</si>
  <si>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</si>
  <si>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</si>
  <si>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</si>
  <si>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</si>
  <si>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</si>
  <si>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</si>
  <si>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</si>
  <si>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</si>
  <si>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</si>
  <si>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</si>
  <si>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</si>
  <si>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</si>
  <si>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</si>
  <si>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</si>
  <si>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</si>
  <si>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</si>
  <si>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</si>
  <si>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</si>
  <si>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</si>
  <si>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</si>
  <si>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</si>
  <si>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</si>
  <si>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</si>
  <si>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</si>
  <si>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</si>
  <si>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</si>
  <si>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</si>
  <si>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</si>
  <si>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</si>
  <si>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</si>
  <si>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</si>
  <si>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</si>
  <si>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</si>
  <si>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</si>
  <si>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</si>
  <si>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</si>
  <si>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</si>
  <si>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</si>
  <si>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</si>
  <si>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</si>
  <si>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</si>
  <si>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</si>
  <si>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</si>
  <si>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</si>
  <si>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</si>
  <si>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</si>
  <si>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</si>
  <si>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</si>
  <si>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</si>
  <si>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</si>
  <si>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</si>
  <si>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</si>
  <si>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</si>
  <si>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</si>
  <si>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</si>
  <si>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</si>
  <si>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</si>
  <si>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</si>
  <si>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</si>
  <si>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</si>
  <si>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</si>
  <si>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</si>
  <si>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</si>
  <si>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</si>
  <si>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</si>
  <si>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</si>
  <si>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</si>
  <si>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</si>
  <si>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</si>
  <si>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</si>
  <si>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</si>
  <si>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</si>
  <si>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</si>
  <si>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</si>
  <si>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</si>
  <si>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</si>
  <si>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</si>
  <si>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</si>
  <si>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</si>
  <si>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</si>
  <si>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</si>
  <si>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</si>
  <si>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</si>
  <si>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</si>
  <si>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</si>
  <si>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</si>
  <si>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</si>
  <si>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</si>
  <si>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</si>
  <si>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</si>
  <si>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</si>
  <si>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</si>
  <si>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</si>
  <si>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</si>
  <si>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</si>
  <si>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</si>
  <si>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</si>
  <si>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</si>
  <si>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</si>
  <si>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</si>
  <si>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</si>
  <si>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</si>
  <si>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</si>
  <si>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</si>
  <si>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</si>
  <si>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</si>
  <si>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</si>
  <si>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</si>
  <si>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</si>
  <si>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</si>
  <si>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</si>
  <si>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</si>
  <si>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</si>
  <si>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</si>
  <si>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</si>
  <si>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</si>
  <si>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</si>
  <si>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</si>
  <si>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</si>
  <si>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</si>
  <si>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</si>
  <si>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</si>
  <si>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</si>
  <si>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</si>
  <si>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</si>
  <si>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</si>
  <si>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</si>
  <si>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</si>
  <si>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</si>
  <si>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</si>
  <si>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</si>
  <si>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</si>
  <si>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</si>
  <si>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</si>
  <si>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</si>
  <si>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</si>
  <si>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</si>
  <si>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</si>
  <si>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</si>
  <si>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</si>
  <si>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</si>
  <si>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</si>
  <si>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</si>
  <si>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</si>
  <si>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</si>
  <si>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</si>
  <si>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</si>
  <si>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</si>
  <si>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</si>
  <si>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</si>
  <si>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</si>
  <si>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</si>
  <si>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</si>
  <si>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</si>
  <si>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</si>
  <si>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</si>
  <si>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</si>
  <si>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</si>
  <si>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</si>
  <si>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</si>
  <si>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</si>
  <si>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</si>
  <si>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</si>
  <si>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</si>
  <si>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</si>
  <si>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</si>
  <si>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</si>
  <si>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</si>
  <si>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BEUSSINK &amp; HICKAM PC</t>
  </si>
  <si>
    <t>SCOTT A HICKAM</t>
  </si>
  <si>
    <t>139 W VIENNA ST - PO BOX 556</t>
  </si>
  <si>
    <t>ANNA</t>
  </si>
  <si>
    <t>IL</t>
  </si>
  <si>
    <t>618-833-2721</t>
  </si>
  <si>
    <t>618-833-7077</t>
  </si>
  <si>
    <t>shickam@frontier.com</t>
  </si>
  <si>
    <t>UNION</t>
  </si>
  <si>
    <t>301 S GREEN ST</t>
  </si>
  <si>
    <t>CHARLES GOFORTH</t>
  </si>
  <si>
    <t>618-833-6812</t>
  </si>
  <si>
    <t>618-833-3205</t>
  </si>
  <si>
    <t>2017 WORKING CASH BONDS</t>
  </si>
  <si>
    <t>2018 WORKING CASH BONDS</t>
  </si>
  <si>
    <t>TRI COUNTY SPECIAL EDUCATION COOP</t>
  </si>
  <si>
    <t>ANNA DISTRICT 81</t>
  </si>
  <si>
    <t>None</t>
  </si>
  <si>
    <t>00-0000-000</t>
  </si>
  <si>
    <t>Fund 10, Acct 4999: NSLP Equipment Grant (4260) $40,433</t>
  </si>
  <si>
    <t>066-005023</t>
  </si>
  <si>
    <t>Part A, Item 14: The District did not submit the Annual Statement of Affairs to ISBE before the required due date.</t>
  </si>
  <si>
    <t>Anna CCSD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</si>
</sst>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718705</xdr:colOff>
          <xdr:row>3</xdr:row>
          <xdr:rowOff>138546</xdr:rowOff>
        </xdr:from>
        <xdr:to>
          <xdr:col>1</xdr:col>
          <xdr:colOff>1633105</xdr:colOff>
          <xdr:row>8</xdr:row>
          <xdr:rowOff>12123</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30091037004</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2086</v>
      </c>
      <c r="B15" s="2007"/>
      <c r="C15" s="2007"/>
      <c r="D15" s="2007"/>
      <c r="E15" s="2007"/>
      <c r="F15" s="2007"/>
      <c r="G15" s="2007"/>
      <c r="H15" s="2008"/>
      <c r="T15" s="1970" t="s">
        <v>2079</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2100</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2087</v>
      </c>
      <c r="B19" s="2003"/>
      <c r="C19" s="2003"/>
      <c r="D19" s="2003"/>
      <c r="E19" s="2003"/>
      <c r="F19" s="2003"/>
      <c r="G19" s="2003"/>
      <c r="H19" s="2001"/>
      <c r="I19" s="30"/>
      <c r="J19" s="99"/>
      <c r="K19" s="40"/>
      <c r="L19" s="38"/>
      <c r="M19" s="112" t="s">
        <v>333</v>
      </c>
      <c r="P19" s="27"/>
      <c r="Q19" s="27"/>
      <c r="R19" s="27"/>
      <c r="S19" s="31"/>
      <c r="T19" s="2002" t="s">
        <v>2081</v>
      </c>
      <c r="U19" s="2000"/>
      <c r="V19" s="2000"/>
      <c r="W19" s="2001"/>
      <c r="X19" s="2017" t="s">
        <v>2082</v>
      </c>
      <c r="Y19" s="2018"/>
      <c r="Z19" s="2015">
        <v>62906</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2081</v>
      </c>
      <c r="B21" s="2000"/>
      <c r="C21" s="2000"/>
      <c r="D21" s="2000"/>
      <c r="E21" s="2000"/>
      <c r="F21" s="2000"/>
      <c r="G21" s="2000"/>
      <c r="H21" s="2001"/>
      <c r="I21" s="2025" t="s">
        <v>699</v>
      </c>
      <c r="J21" s="1988"/>
      <c r="K21" s="1988"/>
      <c r="L21" s="1988"/>
      <c r="M21" s="1988"/>
      <c r="N21" s="1988"/>
      <c r="O21" s="1988"/>
      <c r="P21" s="1988"/>
      <c r="Q21" s="1988"/>
      <c r="R21" s="1988"/>
      <c r="S21" s="1989"/>
      <c r="T21" s="1967" t="s">
        <v>2083</v>
      </c>
      <c r="U21" s="1968"/>
      <c r="V21" s="1968"/>
      <c r="W21" s="1968"/>
      <c r="X21" s="1981" t="s">
        <v>2084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2098</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62906</v>
      </c>
      <c r="B25" s="2000"/>
      <c r="C25" s="2000"/>
      <c r="D25" s="2000"/>
      <c r="E25" s="2000"/>
      <c r="F25" s="2000"/>
      <c r="G25" s="2000"/>
      <c r="H25" s="2001"/>
      <c r="I25" s="113"/>
      <c r="J25" s="2066"/>
      <c r="K25" s="2066"/>
      <c r="L25" s="2066"/>
      <c r="M25" s="2066"/>
      <c r="N25" s="2066"/>
      <c r="O25" s="2066"/>
      <c r="P25" s="2066"/>
      <c r="Q25" s="2066"/>
      <c r="R25" s="2066"/>
      <c r="S25" s="2067"/>
      <c r="T25" s="1959" t="s">
        <v>2085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2088</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2089</v>
      </c>
      <c r="B42" s="2049"/>
      <c r="C42" s="2050"/>
      <c r="D42" s="2063" t="s">
        <v>2090</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892243</v>
      </c>
      <c r="C4" s="1546">
        <v>0</v>
      </c>
      <c r="D4" s="1774">
        <f>B4-C4</f>
        <v>892243</v>
      </c>
      <c r="E4" s="1546">
        <v>1008642</v>
      </c>
      <c r="F4" s="1774">
        <f>E4-C4</f>
        <v>1008642</v>
      </c>
    </row>
    <row r="5" spans="1:6" ht="13.7" customHeight="1" x14ac:dyDescent="0.2">
      <c r="A5" s="716" t="s">
        <v>925</v>
      </c>
      <c r="B5" s="1772">
        <f>'Revenues 9-14'!D5</f>
        <v>174453</v>
      </c>
      <c r="C5" s="585">
        <v>0</v>
      </c>
      <c r="D5" s="1775">
        <f t="shared" ref="D5:D18" si="0">B5-C5</f>
        <v>174453</v>
      </c>
      <c r="E5" s="585">
        <v>195059</v>
      </c>
      <c r="F5" s="1775">
        <f>E5-C5</f>
        <v>195059</v>
      </c>
    </row>
    <row r="6" spans="1:6" ht="13.7" customHeight="1" x14ac:dyDescent="0.2">
      <c r="A6" s="716" t="s">
        <v>431</v>
      </c>
      <c r="B6" s="1772">
        <f>'Revenues 9-14'!E5</f>
        <v>303799</v>
      </c>
      <c r="C6" s="585">
        <v>0</v>
      </c>
      <c r="D6" s="1775">
        <f t="shared" si="0"/>
        <v>303799</v>
      </c>
      <c r="E6" s="585">
        <v>335264</v>
      </c>
      <c r="F6" s="1775">
        <f t="shared" ref="F6:F18" si="1">E6-C6</f>
        <v>335264</v>
      </c>
    </row>
    <row r="7" spans="1:6" ht="13.7" customHeight="1" x14ac:dyDescent="0.2">
      <c r="A7" s="716" t="s">
        <v>157</v>
      </c>
      <c r="B7" s="1772">
        <f>'Revenues 9-14'!F5</f>
        <v>84991</v>
      </c>
      <c r="C7" s="585">
        <v>0</v>
      </c>
      <c r="D7" s="1775">
        <f t="shared" si="0"/>
        <v>84991</v>
      </c>
      <c r="E7" s="585">
        <v>95565</v>
      </c>
      <c r="F7" s="1775">
        <f t="shared" si="1"/>
        <v>95565</v>
      </c>
    </row>
    <row r="8" spans="1:6" ht="13.7" customHeight="1" x14ac:dyDescent="0.2">
      <c r="A8" s="716" t="s">
        <v>1241</v>
      </c>
      <c r="B8" s="1772">
        <f>'Revenues 9-14'!G5</f>
        <v>89469</v>
      </c>
      <c r="C8" s="585">
        <v>0</v>
      </c>
      <c r="D8" s="1775">
        <f t="shared" si="0"/>
        <v>89469</v>
      </c>
      <c r="E8" s="585">
        <v>98520</v>
      </c>
      <c r="F8" s="1775">
        <f t="shared" si="1"/>
        <v>98520</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35792</v>
      </c>
      <c r="C10" s="585">
        <v>0</v>
      </c>
      <c r="D10" s="1775">
        <f t="shared" si="0"/>
        <v>35792</v>
      </c>
      <c r="E10" s="585">
        <v>40398</v>
      </c>
      <c r="F10" s="1775">
        <f t="shared" si="1"/>
        <v>40398</v>
      </c>
    </row>
    <row r="11" spans="1:6" x14ac:dyDescent="0.2">
      <c r="A11" s="716" t="s">
        <v>429</v>
      </c>
      <c r="B11" s="1772">
        <f>'Revenues 9-14'!J5</f>
        <v>62630</v>
      </c>
      <c r="C11" s="585">
        <v>0</v>
      </c>
      <c r="D11" s="1775">
        <f t="shared" si="0"/>
        <v>62630</v>
      </c>
      <c r="E11" s="585">
        <v>68972</v>
      </c>
      <c r="F11" s="1775">
        <f t="shared" si="1"/>
        <v>68972</v>
      </c>
    </row>
    <row r="12" spans="1:6" ht="13.7" customHeight="1" x14ac:dyDescent="0.2">
      <c r="A12" s="716" t="s">
        <v>159</v>
      </c>
      <c r="B12" s="1772">
        <f>'Revenues 9-14'!K5</f>
        <v>35792</v>
      </c>
      <c r="C12" s="585">
        <v>0</v>
      </c>
      <c r="D12" s="1775">
        <f t="shared" si="0"/>
        <v>35792</v>
      </c>
      <c r="E12" s="585">
        <v>40398</v>
      </c>
      <c r="F12" s="1775">
        <f t="shared" si="1"/>
        <v>40398</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14316</v>
      </c>
      <c r="C14" s="585">
        <v>0</v>
      </c>
      <c r="D14" s="1775">
        <f t="shared" si="0"/>
        <v>14316</v>
      </c>
      <c r="E14" s="585">
        <v>16265</v>
      </c>
      <c r="F14" s="1775">
        <f t="shared" si="1"/>
        <v>16265</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71577</v>
      </c>
      <c r="C16" s="585">
        <v>0</v>
      </c>
      <c r="D16" s="1775">
        <f t="shared" si="0"/>
        <v>71577</v>
      </c>
      <c r="E16" s="585">
        <v>78813</v>
      </c>
      <c r="F16" s="1775">
        <f t="shared" si="1"/>
        <v>78813</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1765062</v>
      </c>
      <c r="C19" s="1773">
        <f>SUM(C4:C18)</f>
        <v>0</v>
      </c>
      <c r="D19" s="1773">
        <f>SUM(D4:D18)</f>
        <v>1765062</v>
      </c>
      <c r="E19" s="1773">
        <f>SUM(E4:E18)</f>
        <v>1977896</v>
      </c>
      <c r="F19" s="1773">
        <f>SUM(F4:F18)</f>
        <v>1977896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v>0</v>
      </c>
      <c r="D4" s="581">
        <v>0</v>
      </c>
      <c r="E4" s="581">
        <v>0</v>
      </c>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v>0</v>
      </c>
      <c r="D6" s="585">
        <v>0</v>
      </c>
      <c r="E6" s="727">
        <v>0</v>
      </c>
      <c r="F6" s="1777">
        <f t="shared" ref="F6:F14" si="0">SUM(C6+D6)-E6</f>
        <v>0</v>
      </c>
    </row>
    <row r="7" spans="1:7" ht="12.75" customHeight="1" thickTop="1" thickBot="1" x14ac:dyDescent="0.25">
      <c r="A7" s="725" t="s">
        <v>6</v>
      </c>
      <c r="B7" s="726"/>
      <c r="C7" s="727">
        <v>0</v>
      </c>
      <c r="D7" s="585">
        <v>0</v>
      </c>
      <c r="E7" s="727">
        <v>0</v>
      </c>
      <c r="F7" s="1777">
        <f t="shared" si="0"/>
        <v>0</v>
      </c>
    </row>
    <row r="8" spans="1:7" ht="12.75" customHeight="1" thickTop="1" thickBot="1" x14ac:dyDescent="0.25">
      <c r="A8" s="725" t="s">
        <v>529</v>
      </c>
      <c r="B8" s="726"/>
      <c r="C8" s="727">
        <v>0</v>
      </c>
      <c r="D8" s="585">
        <v>0</v>
      </c>
      <c r="E8" s="727">
        <v>0</v>
      </c>
      <c r="F8" s="1777">
        <f t="shared" si="0"/>
        <v>0</v>
      </c>
    </row>
    <row r="9" spans="1:7" ht="12.75" customHeight="1" thickTop="1" thickBot="1" x14ac:dyDescent="0.25">
      <c r="A9" s="725" t="s">
        <v>530</v>
      </c>
      <c r="B9" s="726"/>
      <c r="C9" s="727">
        <v>0</v>
      </c>
      <c r="D9" s="585">
        <v>0</v>
      </c>
      <c r="E9" s="727">
        <v>0</v>
      </c>
      <c r="F9" s="1777">
        <f t="shared" si="0"/>
        <v>0</v>
      </c>
    </row>
    <row r="10" spans="1:7" ht="12.75" customHeight="1" thickTop="1" thickBot="1" x14ac:dyDescent="0.25">
      <c r="A10" s="725" t="s">
        <v>531</v>
      </c>
      <c r="B10" s="726"/>
      <c r="C10" s="727">
        <v>0</v>
      </c>
      <c r="D10" s="585">
        <v>0</v>
      </c>
      <c r="E10" s="727">
        <v>0</v>
      </c>
      <c r="F10" s="1777">
        <f t="shared" si="0"/>
        <v>0</v>
      </c>
    </row>
    <row r="11" spans="1:7" ht="12.75" customHeight="1" thickTop="1" thickBot="1" x14ac:dyDescent="0.25">
      <c r="A11" s="725" t="s">
        <v>359</v>
      </c>
      <c r="B11" s="726"/>
      <c r="C11" s="727">
        <v>0</v>
      </c>
      <c r="D11" s="585">
        <v>0</v>
      </c>
      <c r="E11" s="727">
        <v>0</v>
      </c>
      <c r="F11" s="1777">
        <f t="shared" si="0"/>
        <v>0</v>
      </c>
    </row>
    <row r="12" spans="1:7" ht="12.75" customHeight="1" thickTop="1" thickBot="1" x14ac:dyDescent="0.25">
      <c r="A12" s="725" t="s">
        <v>1219</v>
      </c>
      <c r="B12" s="726"/>
      <c r="C12" s="727">
        <v>0</v>
      </c>
      <c r="D12" s="585">
        <v>0</v>
      </c>
      <c r="E12" s="727">
        <v>0</v>
      </c>
      <c r="F12" s="1777">
        <f t="shared" si="0"/>
        <v>0</v>
      </c>
    </row>
    <row r="13" spans="1:7" ht="12.75" customHeight="1" thickTop="1" thickBot="1" x14ac:dyDescent="0.25">
      <c r="A13" s="725" t="s">
        <v>406</v>
      </c>
      <c r="B13" s="726"/>
      <c r="C13" s="727">
        <v>0</v>
      </c>
      <c r="D13" s="585">
        <v>0</v>
      </c>
      <c r="E13" s="727">
        <v>0</v>
      </c>
      <c r="F13" s="1777">
        <f t="shared" si="0"/>
        <v>0</v>
      </c>
    </row>
    <row r="14" spans="1:7" ht="12.75" customHeight="1" thickTop="1" thickBot="1" x14ac:dyDescent="0.25">
      <c r="A14" s="725" t="s">
        <v>468</v>
      </c>
      <c r="B14" s="726"/>
      <c r="C14" s="727">
        <v>0</v>
      </c>
      <c r="D14" s="585">
        <v>0</v>
      </c>
      <c r="E14" s="727">
        <v>0</v>
      </c>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v>0</v>
      </c>
      <c r="D17" s="585">
        <v>0</v>
      </c>
      <c r="E17" s="727">
        <v>0</v>
      </c>
      <c r="F17" s="1777">
        <f>SUM(C17+D17)-E17</f>
        <v>0</v>
      </c>
    </row>
    <row r="18" spans="1:11" ht="12.75" customHeight="1" thickTop="1" thickBot="1" x14ac:dyDescent="0.25">
      <c r="A18" s="2228" t="s">
        <v>6</v>
      </c>
      <c r="B18" s="2229"/>
      <c r="C18" s="727">
        <v>0</v>
      </c>
      <c r="D18" s="585">
        <v>0</v>
      </c>
      <c r="E18" s="727">
        <v>0</v>
      </c>
      <c r="F18" s="1777">
        <f>SUM(C18+D18)-E18</f>
        <v>0</v>
      </c>
    </row>
    <row r="19" spans="1:11" ht="12.75" customHeight="1" thickTop="1" thickBot="1" x14ac:dyDescent="0.25">
      <c r="A19" s="2228" t="s">
        <v>406</v>
      </c>
      <c r="B19" s="2229"/>
      <c r="C19" s="727">
        <v>0</v>
      </c>
      <c r="D19" s="585">
        <v>0</v>
      </c>
      <c r="E19" s="727">
        <v>0</v>
      </c>
      <c r="F19" s="1777">
        <f>SUM(C19+D19)-E19</f>
        <v>0</v>
      </c>
    </row>
    <row r="20" spans="1:11" ht="12.75" customHeight="1" thickTop="1" thickBot="1" x14ac:dyDescent="0.25">
      <c r="A20" s="2228" t="s">
        <v>468</v>
      </c>
      <c r="B20" s="2229"/>
      <c r="C20" s="727">
        <v>0</v>
      </c>
      <c r="D20" s="585">
        <v>0</v>
      </c>
      <c r="E20" s="727">
        <v>0</v>
      </c>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v>0</v>
      </c>
      <c r="D23" s="581">
        <v>0</v>
      </c>
      <c r="E23" s="581">
        <v>0</v>
      </c>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v>0</v>
      </c>
      <c r="D25" s="581">
        <v>0</v>
      </c>
      <c r="E25" s="581">
        <v>0</v>
      </c>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v>0</v>
      </c>
      <c r="D27" s="585">
        <v>0</v>
      </c>
      <c r="E27" s="585">
        <v>0</v>
      </c>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2091</v>
      </c>
      <c r="B31" s="734">
        <v>42803</v>
      </c>
      <c r="C31" s="735">
        <v>516400</v>
      </c>
      <c r="D31" s="736">
        <v>1</v>
      </c>
      <c r="E31" s="735">
        <v>516400</v>
      </c>
      <c r="F31" s="735">
        <v>0</v>
      </c>
      <c r="G31" s="735">
        <v>0</v>
      </c>
      <c r="H31" s="735">
        <v>286000</v>
      </c>
      <c r="I31" s="1778">
        <f>((E31+F31)-H31)+G31</f>
        <v>230400</v>
      </c>
      <c r="J31" s="735">
        <v>165978</v>
      </c>
      <c r="K31" s="737"/>
    </row>
    <row r="32" spans="1:11" ht="12" customHeight="1" x14ac:dyDescent="0.2">
      <c r="A32" s="733" t="s">
        <v>2092</v>
      </c>
      <c r="B32" s="734">
        <v>43168</v>
      </c>
      <c r="C32" s="735">
        <v>740000</v>
      </c>
      <c r="D32" s="736">
        <v>1</v>
      </c>
      <c r="E32" s="735"/>
      <c r="F32" s="735">
        <v>740000</v>
      </c>
      <c r="G32" s="735">
        <v>0</v>
      </c>
      <c r="H32" s="735"/>
      <c r="I32" s="1778">
        <f>((E32+F32)-H32)+G32</f>
        <v>740000</v>
      </c>
      <c r="J32" s="735">
        <v>740000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1256400</v>
      </c>
      <c r="D49" s="746"/>
      <c r="E49" s="1778">
        <f t="shared" ref="E49:J49" si="2">SUM(E31:E48)</f>
        <v>516400</v>
      </c>
      <c r="F49" s="1778">
        <f t="shared" si="2"/>
        <v>740000</v>
      </c>
      <c r="G49" s="1778">
        <f t="shared" si="2"/>
        <v>0</v>
      </c>
      <c r="H49" s="1778">
        <f t="shared" si="2"/>
        <v>286000</v>
      </c>
      <c r="I49" s="1778">
        <f t="shared" si="2"/>
        <v>970400</v>
      </c>
      <c r="J49" s="1778">
        <f t="shared" si="2"/>
        <v>905978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v>0</v>
      </c>
      <c r="H3" s="765">
        <v>0</v>
      </c>
      <c r="I3" s="765">
        <v>0</v>
      </c>
      <c r="J3" s="766">
        <v>0</v>
      </c>
      <c r="K3" s="766">
        <v>0</v>
      </c>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14316</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0</v>
      </c>
      <c r="K8" s="770"/>
    </row>
    <row r="9" spans="1:11" x14ac:dyDescent="0.2">
      <c r="A9" s="779" t="s">
        <v>140</v>
      </c>
      <c r="B9" s="780"/>
      <c r="C9" s="780"/>
      <c r="D9" s="780"/>
      <c r="E9" s="781"/>
      <c r="F9" s="778" t="s">
        <v>908</v>
      </c>
      <c r="G9" s="783"/>
      <c r="H9" s="772"/>
      <c r="I9" s="772"/>
      <c r="J9" s="782"/>
      <c r="K9" s="766">
        <v>0</v>
      </c>
    </row>
    <row r="10" spans="1:11" x14ac:dyDescent="0.2">
      <c r="A10" s="2259" t="s">
        <v>1920</v>
      </c>
      <c r="B10" s="2232"/>
      <c r="C10" s="2232"/>
      <c r="D10" s="2232"/>
      <c r="E10" s="2261"/>
      <c r="F10" s="784" t="s">
        <v>917</v>
      </c>
      <c r="G10" s="783"/>
      <c r="H10" s="785">
        <v>0</v>
      </c>
      <c r="I10" s="765">
        <v>0</v>
      </c>
      <c r="J10" s="766">
        <v>0</v>
      </c>
      <c r="K10" s="766">
        <v>0</v>
      </c>
    </row>
    <row r="11" spans="1:11" x14ac:dyDescent="0.2">
      <c r="A11" s="2259" t="s">
        <v>162</v>
      </c>
      <c r="B11" s="2232"/>
      <c r="C11" s="2232"/>
      <c r="D11" s="2232"/>
      <c r="E11" s="2260"/>
      <c r="F11" s="771" t="s">
        <v>907</v>
      </c>
      <c r="G11" s="772"/>
      <c r="H11" s="765">
        <v>0</v>
      </c>
      <c r="I11" s="765">
        <v>0</v>
      </c>
      <c r="J11" s="766">
        <v>0</v>
      </c>
      <c r="K11" s="774"/>
    </row>
    <row r="12" spans="1:11" ht="13.5" thickBot="1" x14ac:dyDescent="0.25">
      <c r="A12" s="2249" t="s">
        <v>961</v>
      </c>
      <c r="B12" s="2250"/>
      <c r="C12" s="2250"/>
      <c r="D12" s="2250"/>
      <c r="E12" s="2251"/>
      <c r="F12" s="1779"/>
      <c r="G12" s="1780">
        <f>SUM(G5:G11)</f>
        <v>0</v>
      </c>
      <c r="H12" s="1780">
        <f>SUM(H5:H11)</f>
        <v>14316</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14316</v>
      </c>
      <c r="I14" s="772"/>
      <c r="J14" s="774"/>
      <c r="K14" s="766">
        <v>0</v>
      </c>
    </row>
    <row r="15" spans="1:11" x14ac:dyDescent="0.2">
      <c r="A15" s="2232" t="s">
        <v>4</v>
      </c>
      <c r="B15" s="2232"/>
      <c r="C15" s="2232"/>
      <c r="D15" s="2232"/>
      <c r="E15" s="2260"/>
      <c r="F15" s="790" t="s">
        <v>910</v>
      </c>
      <c r="G15" s="772"/>
      <c r="H15" s="765">
        <v>0</v>
      </c>
      <c r="I15" s="765">
        <v>0</v>
      </c>
      <c r="J15" s="766">
        <v>0</v>
      </c>
      <c r="K15" s="766">
        <v>0</v>
      </c>
    </row>
    <row r="16" spans="1:11" x14ac:dyDescent="0.2">
      <c r="A16" s="2232" t="s">
        <v>316</v>
      </c>
      <c r="B16" s="2232"/>
      <c r="C16" s="2232"/>
      <c r="D16" s="2232"/>
      <c r="E16" s="2260"/>
      <c r="F16" s="790" t="s">
        <v>980</v>
      </c>
      <c r="G16" s="773">
        <v>0</v>
      </c>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v>0</v>
      </c>
      <c r="K18" s="796"/>
    </row>
    <row r="19" spans="1:11" ht="21.75" customHeight="1" x14ac:dyDescent="0.2">
      <c r="A19" s="2267" t="s">
        <v>1916</v>
      </c>
      <c r="B19" s="2267"/>
      <c r="C19" s="2267"/>
      <c r="D19" s="2267"/>
      <c r="E19" s="2268"/>
      <c r="F19" s="790" t="s">
        <v>990</v>
      </c>
      <c r="G19" s="783"/>
      <c r="H19" s="783"/>
      <c r="I19" s="783"/>
      <c r="J19" s="766">
        <v>0</v>
      </c>
      <c r="K19" s="796"/>
    </row>
    <row r="20" spans="1:11" x14ac:dyDescent="0.2">
      <c r="A20" s="2246" t="s">
        <v>1921</v>
      </c>
      <c r="B20" s="2247"/>
      <c r="C20" s="2247"/>
      <c r="D20" s="2247"/>
      <c r="E20" s="2248"/>
      <c r="F20" s="790" t="s">
        <v>991</v>
      </c>
      <c r="G20" s="783"/>
      <c r="H20" s="783"/>
      <c r="I20" s="783"/>
      <c r="J20" s="766">
        <v>0</v>
      </c>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v>0</v>
      </c>
      <c r="I22" s="765">
        <v>0</v>
      </c>
      <c r="J22" s="798">
        <v>0</v>
      </c>
      <c r="K22" s="766">
        <v>0</v>
      </c>
    </row>
    <row r="23" spans="1:11" ht="13.5" thickBot="1" x14ac:dyDescent="0.25">
      <c r="A23" s="2253" t="s">
        <v>962</v>
      </c>
      <c r="B23" s="2252"/>
      <c r="C23" s="2252"/>
      <c r="D23" s="2252"/>
      <c r="E23" s="2252"/>
      <c r="F23" s="1783"/>
      <c r="G23" s="1780">
        <f>SUM(G14:G16,G21,G22)</f>
        <v>0</v>
      </c>
      <c r="H23" s="1780">
        <f>SUM(H14:H16,H21,H22)</f>
        <v>14316</v>
      </c>
      <c r="I23" s="1780">
        <f>SUM(I14:I16,I21,I22)</f>
        <v>0</v>
      </c>
      <c r="J23" s="1780">
        <f>SUM(J14:J16,J21,J22)</f>
        <v>0</v>
      </c>
      <c r="K23" s="1780">
        <f>SUM(K14:K16,K21,K22)</f>
        <v>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265265</v>
      </c>
      <c r="D5" s="842">
        <v>34257</v>
      </c>
      <c r="E5" s="842">
        <v>0</v>
      </c>
      <c r="F5" s="1782">
        <f>(C5+D5)-E5</f>
        <v>299522</v>
      </c>
      <c r="G5" s="838"/>
      <c r="H5" s="843"/>
      <c r="I5" s="843"/>
      <c r="J5" s="843"/>
      <c r="K5" s="794"/>
      <c r="L5" s="1791">
        <f>F5-K5</f>
        <v>299522</v>
      </c>
    </row>
    <row r="6" spans="1:14" ht="14.25" thickTop="1" thickBot="1" x14ac:dyDescent="0.25">
      <c r="A6" s="779" t="s">
        <v>1179</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5513014</v>
      </c>
      <c r="D8" s="845">
        <v>631414</v>
      </c>
      <c r="E8" s="845">
        <v>0</v>
      </c>
      <c r="F8" s="1782">
        <f>(C8+D8)-E8</f>
        <v>6144428</v>
      </c>
      <c r="G8" s="844">
        <v>50</v>
      </c>
      <c r="H8" s="766">
        <v>1702312</v>
      </c>
      <c r="I8" s="766">
        <v>122889</v>
      </c>
      <c r="J8" s="766">
        <v>0</v>
      </c>
      <c r="K8" s="1791">
        <f>(H8+I8)-J8</f>
        <v>1825201</v>
      </c>
      <c r="L8" s="1791">
        <f>F8-K8</f>
        <v>4319227</v>
      </c>
    </row>
    <row r="9" spans="1:14" ht="14.25" thickTop="1" thickBot="1" x14ac:dyDescent="0.25">
      <c r="A9" s="779" t="s">
        <v>1181</v>
      </c>
      <c r="B9" s="841">
        <v>232</v>
      </c>
      <c r="C9" s="766">
        <v>0</v>
      </c>
      <c r="D9" s="766"/>
      <c r="E9" s="766">
        <v>0</v>
      </c>
      <c r="F9" s="1782">
        <f>(C9+D9)-E9</f>
        <v>0</v>
      </c>
      <c r="G9" s="844">
        <v>20</v>
      </c>
      <c r="H9" s="766">
        <v>0</v>
      </c>
      <c r="I9" s="766">
        <v>0</v>
      </c>
      <c r="J9" s="766">
        <v>0</v>
      </c>
      <c r="K9" s="1791">
        <f>(H9+I9)-J9</f>
        <v>0</v>
      </c>
      <c r="L9" s="1791">
        <f>F9-K9</f>
        <v>0</v>
      </c>
    </row>
    <row r="10" spans="1:14" ht="24" thickTop="1" thickBot="1" x14ac:dyDescent="0.25">
      <c r="A10" s="846" t="s">
        <v>1182</v>
      </c>
      <c r="B10" s="841">
        <v>240</v>
      </c>
      <c r="C10" s="847">
        <v>162131</v>
      </c>
      <c r="D10" s="847">
        <v>0</v>
      </c>
      <c r="E10" s="847">
        <v>0</v>
      </c>
      <c r="F10" s="1786">
        <f>(C10+D10)-E10</f>
        <v>162131</v>
      </c>
      <c r="G10" s="844">
        <v>20</v>
      </c>
      <c r="H10" s="848">
        <v>125373</v>
      </c>
      <c r="I10" s="848">
        <v>8107</v>
      </c>
      <c r="J10" s="848">
        <v>0</v>
      </c>
      <c r="K10" s="1791">
        <f>(H10+I10)-J10</f>
        <v>133480</v>
      </c>
      <c r="L10" s="1791">
        <f>F10-K10</f>
        <v>28651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1491150</v>
      </c>
      <c r="D12" s="845">
        <v>33950</v>
      </c>
      <c r="E12" s="845">
        <v>0</v>
      </c>
      <c r="F12" s="1782">
        <f>(C12+D12)-E12</f>
        <v>1525100</v>
      </c>
      <c r="G12" s="844">
        <v>10</v>
      </c>
      <c r="H12" s="766">
        <v>1368628</v>
      </c>
      <c r="I12" s="766">
        <v>19591</v>
      </c>
      <c r="J12" s="766">
        <v>0</v>
      </c>
      <c r="K12" s="1791">
        <f>(H12+I12)-J12</f>
        <v>1388219</v>
      </c>
      <c r="L12" s="1791">
        <f>F12-K12</f>
        <v>136881</v>
      </c>
    </row>
    <row r="13" spans="1:14" ht="14.25" thickTop="1" thickBot="1" x14ac:dyDescent="0.25">
      <c r="A13" s="849" t="s">
        <v>1184</v>
      </c>
      <c r="B13" s="841">
        <v>252</v>
      </c>
      <c r="C13" s="845">
        <v>676432</v>
      </c>
      <c r="D13" s="845">
        <v>0</v>
      </c>
      <c r="E13" s="845">
        <v>0</v>
      </c>
      <c r="F13" s="1782">
        <f>(C13+D13)-E13</f>
        <v>676432</v>
      </c>
      <c r="G13" s="844">
        <v>5</v>
      </c>
      <c r="H13" s="766">
        <v>634665</v>
      </c>
      <c r="I13" s="766">
        <v>25416</v>
      </c>
      <c r="J13" s="766">
        <v>0</v>
      </c>
      <c r="K13" s="1791">
        <f>(H13+I13)-J13</f>
        <v>660081</v>
      </c>
      <c r="L13" s="1791">
        <f>F13-K13</f>
        <v>16351</v>
      </c>
    </row>
    <row r="14" spans="1:14" ht="14.25" thickTop="1" thickBot="1" x14ac:dyDescent="0.25">
      <c r="A14" s="849" t="s">
        <v>1185</v>
      </c>
      <c r="B14" s="841">
        <v>253</v>
      </c>
      <c r="C14" s="766">
        <v>174765</v>
      </c>
      <c r="D14" s="766">
        <v>41423</v>
      </c>
      <c r="E14" s="766">
        <v>0</v>
      </c>
      <c r="F14" s="1782">
        <f>(C14+D14)-E14</f>
        <v>216188</v>
      </c>
      <c r="G14" s="844">
        <v>3</v>
      </c>
      <c r="H14" s="766">
        <v>168917</v>
      </c>
      <c r="I14" s="766">
        <v>19239</v>
      </c>
      <c r="J14" s="766">
        <v>0</v>
      </c>
      <c r="K14" s="1791">
        <f>(H14+I14)-J14</f>
        <v>188156</v>
      </c>
      <c r="L14" s="1791">
        <f>F14-K14</f>
        <v>28032</v>
      </c>
    </row>
    <row r="15" spans="1:14" ht="15" customHeight="1" thickTop="1" thickBot="1" x14ac:dyDescent="0.25">
      <c r="A15" s="1653" t="s">
        <v>549</v>
      </c>
      <c r="B15" s="1652">
        <v>260</v>
      </c>
      <c r="C15" s="845">
        <v>199292</v>
      </c>
      <c r="D15" s="845">
        <v>24020</v>
      </c>
      <c r="E15" s="845">
        <v>199292</v>
      </c>
      <c r="F15" s="1782">
        <f>(C15+D15)-E15</f>
        <v>24020</v>
      </c>
      <c r="G15" s="850" t="s">
        <v>917</v>
      </c>
      <c r="H15" s="782"/>
      <c r="I15" s="782"/>
      <c r="J15" s="782"/>
      <c r="K15" s="782"/>
      <c r="L15" s="1791">
        <f>F15-K15</f>
        <v>24020</v>
      </c>
    </row>
    <row r="16" spans="1:14" ht="15" customHeight="1" thickTop="1" thickBot="1" x14ac:dyDescent="0.25">
      <c r="A16" s="1787" t="s">
        <v>664</v>
      </c>
      <c r="B16" s="1788">
        <v>200</v>
      </c>
      <c r="C16" s="1782">
        <f>SUM(C3,C5:C6,C8:C10,C12:C15)</f>
        <v>8482049</v>
      </c>
      <c r="D16" s="1782">
        <f>SUM(D3,D5:D6,D8:D10,D12:D15)</f>
        <v>765064</v>
      </c>
      <c r="E16" s="1782">
        <f>SUM(E3,E5:E6,E8:E10,E12:E15)</f>
        <v>199292</v>
      </c>
      <c r="F16" s="1782">
        <f>SUM(F3,F5:F6,F8:F10,F12:F15)</f>
        <v>9047821</v>
      </c>
      <c r="G16" s="844"/>
      <c r="H16" s="1782">
        <f>SUM(H3,H6,H8:H10,H12:H14,)</f>
        <v>3999895</v>
      </c>
      <c r="I16" s="1782">
        <f>SUM(I3,I6,I8:I10,I12:I14,)</f>
        <v>195242</v>
      </c>
      <c r="J16" s="1782">
        <f>SUM(J3,J6,J8:J10,J12:J14,)</f>
        <v>0</v>
      </c>
      <c r="K16" s="1782">
        <f>(H16+I16)-J16</f>
        <v>4195137</v>
      </c>
      <c r="L16" s="1782">
        <f>F16-K16</f>
        <v>4852684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195242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5137758</v>
      </c>
      <c r="G8" s="866"/>
    </row>
    <row r="9" spans="1:7" x14ac:dyDescent="0.2">
      <c r="A9" s="870" t="s">
        <v>480</v>
      </c>
      <c r="B9" s="871" t="s">
        <v>1988</v>
      </c>
      <c r="C9" s="872"/>
      <c r="D9" s="870" t="s">
        <v>522</v>
      </c>
      <c r="E9" s="869"/>
      <c r="F9" s="1935">
        <f>'Expenditures 15-22'!K151</f>
        <v>194222</v>
      </c>
      <c r="G9" s="873"/>
    </row>
    <row r="10" spans="1:7" x14ac:dyDescent="0.2">
      <c r="A10" s="870" t="s">
        <v>520</v>
      </c>
      <c r="B10" s="871" t="s">
        <v>1989</v>
      </c>
      <c r="C10" s="872"/>
      <c r="D10" s="870" t="s">
        <v>522</v>
      </c>
      <c r="E10" s="869"/>
      <c r="F10" s="1935">
        <f>'Expenditures 15-22'!K174</f>
        <v>330192</v>
      </c>
      <c r="G10" s="873"/>
    </row>
    <row r="11" spans="1:7" x14ac:dyDescent="0.2">
      <c r="A11" s="870" t="s">
        <v>481</v>
      </c>
      <c r="B11" s="871" t="s">
        <v>1990</v>
      </c>
      <c r="C11" s="872"/>
      <c r="D11" s="870" t="s">
        <v>522</v>
      </c>
      <c r="E11" s="869"/>
      <c r="F11" s="1935">
        <f>'Expenditures 15-22'!K210</f>
        <v>142791</v>
      </c>
      <c r="G11" s="873"/>
    </row>
    <row r="12" spans="1:7" x14ac:dyDescent="0.2">
      <c r="A12" s="870" t="s">
        <v>482</v>
      </c>
      <c r="B12" s="871" t="s">
        <v>1991</v>
      </c>
      <c r="C12" s="872"/>
      <c r="D12" s="870" t="s">
        <v>522</v>
      </c>
      <c r="E12" s="869"/>
      <c r="F12" s="1935">
        <f>'Expenditures 15-22'!K295</f>
        <v>213493</v>
      </c>
      <c r="G12" s="873"/>
    </row>
    <row r="13" spans="1:7" x14ac:dyDescent="0.2">
      <c r="A13" s="870" t="s">
        <v>108</v>
      </c>
      <c r="B13" s="871" t="s">
        <v>1992</v>
      </c>
      <c r="C13" s="872"/>
      <c r="D13" s="870" t="s">
        <v>522</v>
      </c>
      <c r="E13" s="869"/>
      <c r="F13" s="1935">
        <f>'Expenditures 15-22'!K342</f>
        <v>78201</v>
      </c>
      <c r="G13" s="874"/>
    </row>
    <row r="14" spans="1:7" ht="12" customHeight="1" thickBot="1" x14ac:dyDescent="0.25">
      <c r="A14" s="1792"/>
      <c r="B14" s="1793"/>
      <c r="C14" s="1794"/>
      <c r="D14" s="1795" t="s">
        <v>522</v>
      </c>
      <c r="E14" s="1796" t="s">
        <v>1015</v>
      </c>
      <c r="F14" s="1797">
        <f>SUM(F8:F13)</f>
        <v>6096657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117412</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374</v>
      </c>
      <c r="G52" s="866"/>
    </row>
    <row r="53" spans="1:7" x14ac:dyDescent="0.2">
      <c r="A53" s="870" t="s">
        <v>479</v>
      </c>
      <c r="B53" s="870" t="s">
        <v>1551</v>
      </c>
      <c r="C53" s="890">
        <f>'Expenditures 15-22'!B102</f>
        <v>4000</v>
      </c>
      <c r="D53" s="889" t="str">
        <f>'Expenditures 15-22'!A102</f>
        <v>Total Payments to Other Govt Units</v>
      </c>
      <c r="E53" s="869"/>
      <c r="F53" s="1939">
        <f>'Expenditures 15-22'!K102</f>
        <v>272112</v>
      </c>
      <c r="G53" s="866"/>
    </row>
    <row r="54" spans="1:7" x14ac:dyDescent="0.2">
      <c r="A54" s="870" t="s">
        <v>479</v>
      </c>
      <c r="B54" s="870" t="s">
        <v>1552</v>
      </c>
      <c r="C54" s="890" t="s">
        <v>1039</v>
      </c>
      <c r="D54" s="886" t="s">
        <v>1157</v>
      </c>
      <c r="E54" s="869"/>
      <c r="F54" s="1939">
        <f>'Expenditures 15-22'!G114</f>
        <v>41423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35957</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286000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753278</v>
      </c>
      <c r="G76" s="866"/>
    </row>
    <row r="77" spans="1:8" s="894" customFormat="1" ht="12" customHeight="1" thickTop="1" thickBot="1" x14ac:dyDescent="0.25">
      <c r="A77" s="1801"/>
      <c r="B77" s="1798"/>
      <c r="C77" s="1794"/>
      <c r="D77" s="1799" t="s">
        <v>2011</v>
      </c>
      <c r="E77" s="1796"/>
      <c r="F77" s="1802">
        <f>(F14-F76)</f>
        <v>5343379</v>
      </c>
      <c r="G77" s="870"/>
    </row>
    <row r="78" spans="1:8" s="894" customFormat="1" ht="12" customHeight="1" thickTop="1" x14ac:dyDescent="0.2">
      <c r="A78" s="1803"/>
      <c r="B78" s="1798"/>
      <c r="C78" s="1794"/>
      <c r="D78" s="1799" t="s">
        <v>2057</v>
      </c>
      <c r="E78" s="1796"/>
      <c r="F78" s="899">
        <v>630.26</v>
      </c>
      <c r="G78" s="900"/>
      <c r="H78" s="870"/>
    </row>
    <row r="79" spans="1:8" s="894" customFormat="1" ht="12" customHeight="1" thickBot="1" x14ac:dyDescent="0.25">
      <c r="A79" s="1804"/>
      <c r="B79" s="1798"/>
      <c r="C79" s="1794"/>
      <c r="D79" s="1799" t="s">
        <v>2012</v>
      </c>
      <c r="E79" s="1796" t="s">
        <v>1015</v>
      </c>
      <c r="F79" s="1805">
        <f>IF(F78&gt;0,F77/F78," Complete Line 78")</f>
        <v>8478.0550883762262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63561</v>
      </c>
      <c r="G94" s="913"/>
    </row>
    <row r="95" spans="1:7" x14ac:dyDescent="0.2">
      <c r="A95" s="909" t="s">
        <v>142</v>
      </c>
      <c r="B95" s="909" t="s">
        <v>177</v>
      </c>
      <c r="C95" s="911">
        <v>1700</v>
      </c>
      <c r="D95" s="919" t="str">
        <f>'Revenues 9-14'!A82</f>
        <v>Total District/School Activity Income</v>
      </c>
      <c r="E95" s="907"/>
      <c r="F95" s="1811">
        <f>SUM('Revenues 9-14'!C82,'Revenues 9-14'!D82)</f>
        <v>10038</v>
      </c>
      <c r="G95" s="913"/>
    </row>
    <row r="96" spans="1:7" x14ac:dyDescent="0.2">
      <c r="A96" s="909" t="s">
        <v>479</v>
      </c>
      <c r="B96" s="909" t="s">
        <v>178</v>
      </c>
      <c r="C96" s="911">
        <f>'Revenues 9-14'!B84</f>
        <v>1811</v>
      </c>
      <c r="D96" s="912" t="str">
        <f>'Revenues 9-14'!A84</f>
        <v>Rentals - Regular Textbooks</v>
      </c>
      <c r="E96" s="907"/>
      <c r="F96" s="1811">
        <f>'Revenues 9-14'!C84</f>
        <v>8820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7119</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161495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3669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99071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12866</v>
      </c>
      <c r="G128" s="931"/>
    </row>
    <row r="129" spans="1:7" x14ac:dyDescent="0.2">
      <c r="A129" s="928" t="s">
        <v>685</v>
      </c>
      <c r="B129" s="928" t="s">
        <v>803</v>
      </c>
      <c r="C129" s="933">
        <v>4200</v>
      </c>
      <c r="D129" s="930" t="str">
        <f>'Revenues 9-14'!A201</f>
        <v>Total Food Service</v>
      </c>
      <c r="E129" s="907"/>
      <c r="F129" s="1811">
        <f>SUM('Revenues 9-14'!C201,'Revenues 9-14'!G201)</f>
        <v>227526</v>
      </c>
      <c r="G129" s="931"/>
    </row>
    <row r="130" spans="1:7" x14ac:dyDescent="0.2">
      <c r="A130" s="928" t="s">
        <v>689</v>
      </c>
      <c r="B130" s="928" t="s">
        <v>804</v>
      </c>
      <c r="C130" s="933">
        <v>4300</v>
      </c>
      <c r="D130" s="934" t="str">
        <f>'Revenues 9-14'!A211</f>
        <v>Total Title I</v>
      </c>
      <c r="E130" s="907"/>
      <c r="F130" s="1811">
        <f>SUM('Revenues 9-14'!C211,'Revenues 9-14'!D211,'Revenues 9-14'!F211,'Revenues 9-14'!G211)</f>
        <v>249994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3266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16173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49103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40433</v>
      </c>
      <c r="G174" s="928"/>
    </row>
    <row r="175" spans="1:7" x14ac:dyDescent="0.2">
      <c r="A175" s="1944" t="s">
        <v>5</v>
      </c>
      <c r="B175" s="1945" t="s">
        <v>2056</v>
      </c>
      <c r="C175" s="1946">
        <v>3100</v>
      </c>
      <c r="D175" s="1947" t="s">
        <v>2059</v>
      </c>
      <c r="E175" s="907"/>
      <c r="F175" s="1931">
        <v>218146</v>
      </c>
      <c r="G175" s="928"/>
    </row>
    <row r="176" spans="1:7" x14ac:dyDescent="0.2">
      <c r="A176" s="1944" t="s">
        <v>685</v>
      </c>
      <c r="B176" s="1945" t="s">
        <v>2056</v>
      </c>
      <c r="C176" s="1946">
        <v>3300</v>
      </c>
      <c r="D176" s="1947" t="s">
        <v>2060</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1171280</v>
      </c>
    </row>
    <row r="179" spans="1:7" ht="12" customHeight="1" x14ac:dyDescent="0.2">
      <c r="A179" s="1792"/>
      <c r="B179" s="1806"/>
      <c r="C179" s="1807"/>
      <c r="D179" s="1808" t="s">
        <v>2014</v>
      </c>
      <c r="E179" s="1809"/>
      <c r="F179" s="1811">
        <f>'PCTC-OEPP 27-28'!F77-F178</f>
        <v>4172099</v>
      </c>
    </row>
    <row r="180" spans="1:7" ht="12" customHeight="1" x14ac:dyDescent="0.2">
      <c r="A180" s="1792"/>
      <c r="B180" s="1806"/>
      <c r="C180" s="1807"/>
      <c r="D180" s="1808" t="s">
        <v>1924</v>
      </c>
      <c r="E180" s="1809"/>
      <c r="F180" s="1811">
        <f>'Cap Outlay Deprec 26'!I18</f>
        <v>195242</v>
      </c>
    </row>
    <row r="181" spans="1:7" ht="12" customHeight="1" x14ac:dyDescent="0.2">
      <c r="A181" s="1792"/>
      <c r="B181" s="1806"/>
      <c r="C181" s="1807"/>
      <c r="D181" s="1808" t="s">
        <v>2015</v>
      </c>
      <c r="E181" s="1809"/>
      <c r="F181" s="1811">
        <f>F179+F180</f>
        <v>4367341</v>
      </c>
    </row>
    <row r="182" spans="1:7" ht="12" customHeight="1" x14ac:dyDescent="0.2">
      <c r="A182" s="1792"/>
      <c r="B182" s="1812"/>
      <c r="C182" s="1807"/>
      <c r="D182" s="1808" t="str">
        <f>D78</f>
        <v>9 Month ADA from District Average Daily Attendance/Prior General State Aid Inquiry 2017-2018</v>
      </c>
      <c r="E182" s="1809"/>
      <c r="F182" s="1813">
        <f>'PCTC-OEPP 27-28'!F78</f>
        <v>630.26</v>
      </c>
      <c r="G182" s="931"/>
    </row>
    <row r="183" spans="1:7" ht="12" customHeight="1" thickBot="1" x14ac:dyDescent="0.25">
      <c r="A183" s="1792"/>
      <c r="B183" s="1812"/>
      <c r="C183" s="1807"/>
      <c r="D183" s="1808" t="s">
        <v>2016</v>
      </c>
      <c r="E183" s="1809" t="s">
        <v>1626</v>
      </c>
      <c r="F183" s="1814">
        <f>F181/F182</f>
        <v>6929.4275378415259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2095</v>
      </c>
      <c r="B17" s="1957" t="s">
        <v>2096</v>
      </c>
      <c r="C17" s="1958" t="s">
        <v>2095</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2074</v>
      </c>
      <c r="B10" s="972"/>
      <c r="C10" s="977"/>
      <c r="D10" s="973"/>
      <c r="E10" s="974">
        <v>317230</v>
      </c>
      <c r="F10" s="975"/>
      <c r="G10" s="976"/>
      <c r="H10" s="162"/>
      <c r="I10" s="162"/>
    </row>
    <row r="11" spans="1:9" s="669" customFormat="1" ht="22.5" customHeight="1" x14ac:dyDescent="0.2">
      <c r="A11" s="2305" t="s">
        <v>1944</v>
      </c>
      <c r="B11" s="2306"/>
      <c r="C11" s="2306"/>
      <c r="D11" s="2307"/>
      <c r="E11" s="978">
        <v>28669</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3388228</v>
      </c>
      <c r="F19" s="1822"/>
      <c r="G19" s="1824">
        <f>'Expenditures 15-22'!K33-SUM('Expenditures 15-22'!G33,'Expenditures 15-22'!I33)+'Expenditures 15-22'!D229</f>
        <v>3388228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291906</v>
      </c>
      <c r="F21" s="1825"/>
      <c r="G21" s="1828">
        <f>'Expenditures 15-22'!K42-SUM('Expenditures 15-22'!G42,'Expenditures 15-22'!I42)+'Expenditures 15-22'!K120-SUM('Expenditures 15-22'!G120,'Expenditures 15-22'!I120)+'Expenditures 15-22'!K180-SUM('Expenditures 15-22'!G180,'Expenditures 15-22'!I180)+'Expenditures 15-22'!D238</f>
        <v>291906</v>
      </c>
      <c r="H21" s="988"/>
      <c r="I21" s="162"/>
    </row>
    <row r="22" spans="1:9" s="669" customFormat="1" ht="12" customHeight="1" x14ac:dyDescent="0.2">
      <c r="A22" s="995" t="s">
        <v>585</v>
      </c>
      <c r="B22" s="996"/>
      <c r="C22" s="994">
        <v>2200</v>
      </c>
      <c r="D22" s="1825"/>
      <c r="E22" s="1827">
        <f>'Expenditures 15-22'!K47-SUM('Expenditures 15-22'!G47,'Expenditures 15-22'!I47)+'Expenditures 15-22'!D243</f>
        <v>23623</v>
      </c>
      <c r="F22" s="1825"/>
      <c r="G22" s="1828">
        <f>'Expenditures 15-22'!K47-SUM('Expenditures 15-22'!G47,'Expenditures 15-22'!I47)+'Expenditures 15-22'!D243</f>
        <v>23623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288599</v>
      </c>
      <c r="F23" s="1825"/>
      <c r="G23" s="1827">
        <f>'Expenditures 15-22'!K53-SUM('Expenditures 15-22'!G53,'Expenditures 15-22'!I53)+'Expenditures 15-22'!D257+'Expenditures 15-22'!K330-SUM('Expenditures 15-22'!G330,'Expenditures 15-22'!I330)</f>
        <v>288599</v>
      </c>
      <c r="H23" s="988"/>
      <c r="I23" s="162"/>
    </row>
    <row r="24" spans="1:9" s="669" customFormat="1" ht="12" customHeight="1" x14ac:dyDescent="0.2">
      <c r="A24" s="995" t="s">
        <v>587</v>
      </c>
      <c r="B24" s="996"/>
      <c r="C24" s="994">
        <v>2400</v>
      </c>
      <c r="D24" s="1825"/>
      <c r="E24" s="1827">
        <f>'Expenditures 15-22'!K57-SUM('Expenditures 15-22'!G57,'Expenditures 15-22'!I57)+'Expenditures 15-22'!D261</f>
        <v>295062</v>
      </c>
      <c r="F24" s="1825"/>
      <c r="G24" s="1828">
        <f>'Expenditures 15-22'!K57-SUM('Expenditures 15-22'!G57,'Expenditures 15-22'!I57)+'Expenditures 15-22'!D261</f>
        <v>295062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28213</v>
      </c>
      <c r="E26" s="1827">
        <f>'Expenditures 15-22'!K122-SUM('Expenditures 15-22'!G122,'Expenditures 15-22'!I122)+E7</f>
        <v>0</v>
      </c>
      <c r="F26" s="1827">
        <f>'Expenditures 15-22'!K59-SUM('Expenditures 15-22'!G59,'Expenditures 15-22'!I59)+'Expenditures 15-22'!D263-E7</f>
        <v>28213</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152709</v>
      </c>
      <c r="E27" s="1827">
        <f>E8</f>
        <v>0</v>
      </c>
      <c r="F27" s="1827">
        <f>'Expenditures 15-22'!K60-SUM('Expenditures 15-22'!G60,'Expenditures 15-22'!I60)+'Expenditures 15-22'!D264-E8</f>
        <v>152709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452614</v>
      </c>
      <c r="F28" s="1829">
        <f>'Expenditures 15-22'!K61-SUM('Expenditures 15-22'!G61,'Expenditures 15-22'!I61)+'Expenditures 15-22'!K124-SUM('Expenditures 15-22'!G124,'Expenditures 15-22'!I124)+'Expenditures 15-22'!D266-E9</f>
        <v>452614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157159</v>
      </c>
      <c r="F29" s="1825"/>
      <c r="G29" s="1828">
        <f>'Expenditures 15-22'!K62-SUM('Expenditures 15-22'!G62,'Expenditures 15-22'!I62)+'Expenditures 15-22'!K125-SUM('Expenditures 15-22'!G125,'Expenditures 15-22'!I125)+'Expenditures 15-22'!K182-SUM('Expenditures 15-22'!G182,'Expenditures 15-22'!I182)+'Expenditures 15-22'!D267</f>
        <v>157159</v>
      </c>
      <c r="H29" s="986"/>
    </row>
    <row r="30" spans="1:9" ht="12" customHeight="1" x14ac:dyDescent="0.2">
      <c r="A30" s="995" t="s">
        <v>102</v>
      </c>
      <c r="B30" s="998"/>
      <c r="C30" s="994">
        <v>2560</v>
      </c>
      <c r="D30" s="1825"/>
      <c r="E30" s="1827">
        <f>'Expenditures 15-22'!K63-SUM('Expenditures 15-22'!G63,'Expenditures 15-22'!I63)+'Expenditures 15-22'!D268-E10</f>
        <v>21256</v>
      </c>
      <c r="F30" s="1825"/>
      <c r="G30" s="1827">
        <f>'Expenditures 15-22'!K63-SUM('Expenditures 15-22'!G63,'Expenditures 15-22'!I63)+'Expenditures 15-22'!D268-E10</f>
        <v>21256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374</v>
      </c>
      <c r="F39" s="1825"/>
      <c r="G39" s="1827">
        <f>'Expenditures 15-22'!K75-SUM('Expenditures 15-22'!G75,'Expenditures 15-22'!I75)+'Expenditures 15-22'!K130-SUM('Expenditures 15-22'!G130,'Expenditures 15-22'!I130)+'Expenditures 15-22'!K185-SUM('Expenditures 15-22'!G185,'Expenditures 15-22'!I185)+'Expenditures 15-22'!D280</f>
        <v>374</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180922</v>
      </c>
      <c r="E41" s="1829">
        <f>SUM(E19:E40)</f>
        <v>4918821</v>
      </c>
      <c r="F41" s="1829">
        <f>SUM(F19:F39)</f>
        <v>633536</v>
      </c>
      <c r="G41" s="1829">
        <f>SUM(G19:G40)</f>
        <v>4466207</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180922</v>
      </c>
      <c r="F43" s="1830" t="s">
        <v>495</v>
      </c>
      <c r="G43" s="1831">
        <f>F41</f>
        <v>633536</v>
      </c>
    </row>
    <row r="44" spans="1:7" ht="12" customHeight="1" x14ac:dyDescent="0.2">
      <c r="A44" s="988"/>
      <c r="B44" s="162"/>
      <c r="C44" s="1002"/>
      <c r="D44" s="1830" t="s">
        <v>494</v>
      </c>
      <c r="E44" s="1831">
        <f>E41</f>
        <v>4918821</v>
      </c>
      <c r="F44" s="1830" t="s">
        <v>494</v>
      </c>
      <c r="G44" s="1831">
        <f>G41</f>
        <v>4466207</v>
      </c>
    </row>
    <row r="45" spans="1:7" ht="12" customHeight="1" x14ac:dyDescent="0.2">
      <c r="A45" s="988"/>
      <c r="B45" s="162"/>
      <c r="C45" s="162"/>
      <c r="D45" s="1832" t="s">
        <v>1063</v>
      </c>
      <c r="E45" s="1833">
        <f>(E43/E44)</f>
        <v>3.6781578349771214E-2</v>
      </c>
      <c r="F45" s="1832" t="s">
        <v>1063</v>
      </c>
      <c r="G45" s="1833">
        <f>(G43/G44)</f>
        <v>0.14185101586200549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Anna CCSD 37</v>
      </c>
      <c r="D6" s="2315"/>
      <c r="E6" s="2315"/>
      <c r="F6" s="1877"/>
    </row>
    <row r="7" spans="1:10" ht="11.25" customHeight="1" thickBot="1" x14ac:dyDescent="0.3">
      <c r="A7" s="1875"/>
      <c r="B7" s="1876"/>
      <c r="C7" s="2316">
        <f>COVER!A13</f>
        <v>30091037004</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2094</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9" sqref="E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Anna CCSD 37</v>
      </c>
      <c r="J6" s="2336"/>
      <c r="Q6" s="1686"/>
    </row>
    <row r="7" spans="1:17" x14ac:dyDescent="0.2">
      <c r="A7" s="2337" t="s">
        <v>924</v>
      </c>
      <c r="B7" s="2338"/>
      <c r="C7" s="2338"/>
      <c r="D7" s="2338"/>
      <c r="E7" s="2339"/>
      <c r="F7" s="1018"/>
      <c r="G7" s="1010"/>
      <c r="H7" s="1017" t="s">
        <v>390</v>
      </c>
      <c r="I7" s="2340">
        <f>COVER!A13</f>
        <v>30091037004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133250</v>
      </c>
      <c r="F12" s="1040"/>
      <c r="G12" s="1834">
        <f t="shared" ref="G12:G18" si="0">SUM(E12:F12)</f>
        <v>133250</v>
      </c>
      <c r="H12" s="1041">
        <v>136794</v>
      </c>
      <c r="I12" s="1040"/>
      <c r="J12" s="1834">
        <f t="shared" ref="J12:J18" si="1">SUM(H12:I12)</f>
        <v>136794</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28213</v>
      </c>
      <c r="F15" s="1834">
        <f>'Expenditures 15-22'!K122</f>
        <v>0</v>
      </c>
      <c r="G15" s="1834">
        <f t="shared" si="0"/>
        <v>28213</v>
      </c>
      <c r="H15" s="1041">
        <v>30700</v>
      </c>
      <c r="I15" s="1041">
        <v>0</v>
      </c>
      <c r="J15" s="1834">
        <f t="shared" si="1"/>
        <v>30700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v>14880</v>
      </c>
      <c r="F18" s="1044">
        <v>0</v>
      </c>
      <c r="G18" s="1835">
        <f t="shared" si="0"/>
        <v>14880</v>
      </c>
      <c r="H18" s="1041">
        <v>15334</v>
      </c>
      <c r="I18" s="1041">
        <v>0</v>
      </c>
      <c r="J18" s="1834">
        <f t="shared" si="1"/>
        <v>15334</v>
      </c>
    </row>
    <row r="19" spans="1:10" ht="12.75" customHeight="1" thickBot="1" x14ac:dyDescent="0.25">
      <c r="A19" s="1036">
        <v>8</v>
      </c>
      <c r="B19" s="1045" t="s">
        <v>1223</v>
      </c>
      <c r="D19" s="1046"/>
      <c r="E19" s="1836">
        <f t="shared" ref="E19:J19" si="2">SUM(E12:E17)-E18</f>
        <v>146583</v>
      </c>
      <c r="F19" s="1836">
        <f t="shared" si="2"/>
        <v>0</v>
      </c>
      <c r="G19" s="1836">
        <f t="shared" si="2"/>
        <v>146583</v>
      </c>
      <c r="H19" s="1836">
        <f t="shared" si="2"/>
        <v>152160</v>
      </c>
      <c r="I19" s="1836">
        <f t="shared" si="2"/>
        <v>0</v>
      </c>
      <c r="J19" s="1836">
        <f t="shared" si="2"/>
        <v>152160</v>
      </c>
    </row>
    <row r="20" spans="1:10" ht="13.5" thickTop="1" x14ac:dyDescent="0.2">
      <c r="A20" s="1036">
        <v>9</v>
      </c>
      <c r="B20" s="2347" t="s">
        <v>1703</v>
      </c>
      <c r="C20" s="2347"/>
      <c r="D20" s="2348"/>
      <c r="E20" s="1047"/>
      <c r="F20" s="1047"/>
      <c r="G20" s="1047"/>
      <c r="H20" s="1047"/>
      <c r="I20" s="1047"/>
      <c r="J20" s="1837">
        <f>IF(AND(G19&gt;0,J19&gt;0),(((J19-G19)/G19)),"Enter Budget Data")</f>
        <v>3.8046703915187982E-2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Anna CCSD 37</v>
      </c>
    </row>
    <row r="65" spans="2:2" x14ac:dyDescent="0.2">
      <c r="B65" s="1071">
        <f>COVER!A13</f>
        <v>30091037004</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93"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714375</xdr:colOff>
                <xdr:row>3</xdr:row>
                <xdr:rowOff>142875</xdr:rowOff>
              </from>
              <to>
                <xdr:col>1</xdr:col>
                <xdr:colOff>1628775</xdr:colOff>
                <xdr:row>8</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5171153</v>
      </c>
      <c r="C8" s="1838">
        <f>'Acct Summary 7-8'!D8</f>
        <v>174840</v>
      </c>
      <c r="D8" s="1838">
        <f>'Acct Summary 7-8'!F8</f>
        <v>186402</v>
      </c>
      <c r="E8" s="1838">
        <f>'Acct Summary 7-8'!I8</f>
        <v>37897</v>
      </c>
      <c r="F8" s="1838">
        <f>SUM(B8:E8)</f>
        <v>5570292</v>
      </c>
    </row>
    <row r="9" spans="1:8" s="1080" customFormat="1" ht="14.25" customHeight="1" thickBot="1" x14ac:dyDescent="0.25">
      <c r="A9" s="1079" t="s">
        <v>1436</v>
      </c>
      <c r="B9" s="1839">
        <f>'Acct Summary 7-8'!C17</f>
        <v>5137758</v>
      </c>
      <c r="C9" s="1839">
        <f>'Acct Summary 7-8'!D17</f>
        <v>194222</v>
      </c>
      <c r="D9" s="1839">
        <f>'Acct Summary 7-8'!F17</f>
        <v>142791</v>
      </c>
      <c r="E9" s="1838"/>
      <c r="F9" s="1838">
        <f>SUM(B9:E9)</f>
        <v>5474771</v>
      </c>
    </row>
    <row r="10" spans="1:8" s="1080" customFormat="1" ht="14.25" thickTop="1" thickBot="1" x14ac:dyDescent="0.25">
      <c r="A10" s="1081" t="s">
        <v>1437</v>
      </c>
      <c r="B10" s="1840">
        <f>(B8-B9)</f>
        <v>33395</v>
      </c>
      <c r="C10" s="1840">
        <f>(C8-C9)</f>
        <v>-19382</v>
      </c>
      <c r="D10" s="1840">
        <f>(D8-D9)</f>
        <v>43611</v>
      </c>
      <c r="E10" s="1839">
        <f>(E8-E9)</f>
        <v>37897</v>
      </c>
      <c r="F10" s="1841">
        <f>SUM(F8-F9)</f>
        <v>95521</v>
      </c>
    </row>
    <row r="11" spans="1:8" s="1080" customFormat="1" ht="14.25" thickTop="1" thickBot="1" x14ac:dyDescent="0.25">
      <c r="A11" s="1082" t="s">
        <v>1785</v>
      </c>
      <c r="B11" s="1842">
        <f>'Acct Summary 7-8'!C81</f>
        <v>385911</v>
      </c>
      <c r="C11" s="1842">
        <f>'Acct Summary 7-8'!D81</f>
        <v>97271</v>
      </c>
      <c r="D11" s="1842">
        <f>'Acct Summary 7-8'!F81</f>
        <v>222782</v>
      </c>
      <c r="E11" s="1842">
        <f>'Acct Summary 7-8'!I81</f>
        <v>2045645</v>
      </c>
      <c r="F11" s="1843">
        <f>SUM(B11:E11)</f>
        <v>2751609</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30091037004</v>
      </c>
    </row>
    <row r="3" spans="1:2" x14ac:dyDescent="0.2">
      <c r="A3" t="s">
        <v>1013</v>
      </c>
      <c r="B3" s="138" t="str">
        <f>COVER!A15</f>
        <v>UNION</v>
      </c>
    </row>
    <row r="4" spans="1:2" x14ac:dyDescent="0.2">
      <c r="A4" t="s">
        <v>1064</v>
      </c>
      <c r="B4" s="138" t="str">
        <f>COVER!A17</f>
        <v>Anna CCSD 37</v>
      </c>
    </row>
    <row r="5" spans="1:2" x14ac:dyDescent="0.2">
      <c r="A5" t="s">
        <v>728</v>
      </c>
      <c r="B5" s="138" t="str">
        <f>COVER!A38</f>
        <v>CHARLES GOFORTH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066-005023</v>
      </c>
    </row>
    <row r="16" spans="1:2" x14ac:dyDescent="0.2">
      <c r="A16" t="s">
        <v>442</v>
      </c>
      <c r="B16" s="138" t="str">
        <f>COVER!T13</f>
        <v>BEUSSINK &amp; HICKAM PC</v>
      </c>
    </row>
    <row r="17" spans="1:2" x14ac:dyDescent="0.2">
      <c r="A17" t="s">
        <v>939</v>
      </c>
      <c r="B17" s="138" t="str">
        <f>COVER!T15</f>
        <v>SCOTT A HICKAM</v>
      </c>
    </row>
    <row r="18" spans="1:2" x14ac:dyDescent="0.2">
      <c r="A18" t="s">
        <v>1212</v>
      </c>
      <c r="B18" s="138" t="str">
        <f>COVER!T17</f>
        <v>139 W VIENNA ST - PO BOX 556</v>
      </c>
    </row>
    <row r="19" spans="1:2" x14ac:dyDescent="0.2">
      <c r="A19" t="s">
        <v>941</v>
      </c>
      <c r="B19" s="138" t="str">
        <f>COVER!T25</f>
        <v>shickam@frontier.com</v>
      </c>
    </row>
    <row r="20" spans="1:2" x14ac:dyDescent="0.2">
      <c r="A20" t="s">
        <v>942</v>
      </c>
      <c r="B20" s="138" t="str">
        <f>COVER!T19</f>
        <v>ANNA</v>
      </c>
    </row>
    <row r="21" spans="1:2" x14ac:dyDescent="0.2">
      <c r="A21" t="s">
        <v>500</v>
      </c>
      <c r="B21" s="138" t="str">
        <f>COVER!X19</f>
        <v>IL</v>
      </c>
    </row>
    <row r="22" spans="1:2" x14ac:dyDescent="0.2">
      <c r="A22" t="s">
        <v>943</v>
      </c>
      <c r="B22" s="138">
        <f>COVER!Z19</f>
        <v>62906</v>
      </c>
    </row>
    <row r="23" spans="1:2" x14ac:dyDescent="0.2">
      <c r="A23" t="s">
        <v>1214</v>
      </c>
      <c r="B23" s="138" t="str">
        <f>COVER!T21</f>
        <v>618-833-2721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385911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385911</v>
      </c>
      <c r="D92" s="2" t="str">
        <f t="shared" si="0"/>
        <v>Error?</v>
      </c>
    </row>
    <row r="93" spans="1:4" x14ac:dyDescent="0.2">
      <c r="A93" s="5">
        <v>32</v>
      </c>
      <c r="B93" s="138">
        <f>'Assets-Liab 5-6'!C41</f>
        <v>385911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97271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97271</v>
      </c>
      <c r="D123" s="2" t="str">
        <f t="shared" si="0"/>
        <v>Error?</v>
      </c>
    </row>
    <row r="124" spans="1:4" x14ac:dyDescent="0.2">
      <c r="A124" s="5">
        <v>63</v>
      </c>
      <c r="B124" s="138">
        <f>'Assets-Liab 5-6'!D41</f>
        <v>97271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64422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64422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222782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222782</v>
      </c>
      <c r="D170" s="2" t="str">
        <f t="shared" si="1"/>
        <v>Error?</v>
      </c>
    </row>
    <row r="171" spans="1:4" x14ac:dyDescent="0.2">
      <c r="A171" s="5">
        <v>110</v>
      </c>
      <c r="B171" s="138">
        <f>'Assets-Liab 5-6'!F41</f>
        <v>222782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82427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82427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2478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2478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299522</v>
      </c>
      <c r="D273" s="2" t="str">
        <f t="shared" si="3"/>
        <v>Error?</v>
      </c>
    </row>
    <row r="274" spans="1:4" x14ac:dyDescent="0.2">
      <c r="A274" s="5">
        <v>213</v>
      </c>
      <c r="B274" s="138">
        <f>'Assets-Liab 5-6'!M17</f>
        <v>6144428</v>
      </c>
      <c r="D274" s="2" t="str">
        <f t="shared" si="3"/>
        <v>Error?</v>
      </c>
    </row>
    <row r="275" spans="1:4" x14ac:dyDescent="0.2">
      <c r="A275" s="5">
        <v>214</v>
      </c>
      <c r="B275" s="138">
        <f>'Assets-Liab 5-6'!M18</f>
        <v>162131</v>
      </c>
      <c r="D275" s="2" t="str">
        <f t="shared" si="3"/>
        <v>Error?</v>
      </c>
    </row>
    <row r="276" spans="1:4" x14ac:dyDescent="0.2">
      <c r="A276" s="5">
        <v>215</v>
      </c>
      <c r="B276" s="138">
        <f>'Assets-Liab 5-6'!M19</f>
        <v>2417720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9047821</v>
      </c>
      <c r="C279" s="2" t="s">
        <v>594</v>
      </c>
      <c r="D279" s="2" t="str">
        <f t="shared" si="3"/>
        <v>Error?</v>
      </c>
    </row>
    <row r="280" spans="1:4" x14ac:dyDescent="0.2">
      <c r="A280" s="5">
        <v>219</v>
      </c>
      <c r="B280" s="138">
        <f>'Assets-Liab 5-6'!M40</f>
        <v>9047821</v>
      </c>
      <c r="D280" s="2" t="str">
        <f t="shared" si="3"/>
        <v>Error?</v>
      </c>
    </row>
    <row r="281" spans="1:4" x14ac:dyDescent="0.2">
      <c r="A281" s="5">
        <v>220</v>
      </c>
      <c r="B281" s="138">
        <f>'Assets-Liab 5-6'!M41</f>
        <v>9047821</v>
      </c>
      <c r="C281" s="2" t="s">
        <v>594</v>
      </c>
      <c r="D281" s="2" t="str">
        <f t="shared" si="3"/>
        <v>Error?</v>
      </c>
    </row>
    <row r="282" spans="1:4" x14ac:dyDescent="0.2">
      <c r="A282" s="5">
        <v>221</v>
      </c>
      <c r="B282" s="138">
        <f>'Assets-Liab 5-6'!N21</f>
        <v>64422</v>
      </c>
      <c r="D282" s="2" t="str">
        <f t="shared" si="3"/>
        <v>Error?</v>
      </c>
    </row>
    <row r="283" spans="1:4" x14ac:dyDescent="0.2">
      <c r="A283" s="5">
        <v>222</v>
      </c>
      <c r="B283" s="138">
        <f>'Assets-Liab 5-6'!N22</f>
        <v>905978</v>
      </c>
      <c r="D283" s="2" t="str">
        <f t="shared" si="3"/>
        <v>Error?</v>
      </c>
    </row>
    <row r="284" spans="1:4" x14ac:dyDescent="0.2">
      <c r="A284" s="5">
        <v>223</v>
      </c>
      <c r="B284" s="138">
        <f>'Assets-Liab 5-6'!N23</f>
        <v>970400</v>
      </c>
      <c r="C284" s="2" t="s">
        <v>594</v>
      </c>
      <c r="D284" s="2" t="str">
        <f t="shared" si="3"/>
        <v>Error?</v>
      </c>
    </row>
    <row r="285" spans="1:4" x14ac:dyDescent="0.2">
      <c r="A285" s="5">
        <v>224</v>
      </c>
      <c r="B285" s="138">
        <f>'Assets-Liab 5-6'!N36</f>
        <v>970400</v>
      </c>
      <c r="D285" s="2" t="str">
        <f t="shared" si="3"/>
        <v>Error?</v>
      </c>
    </row>
    <row r="286" spans="1:4" x14ac:dyDescent="0.2">
      <c r="A286" s="10">
        <v>225</v>
      </c>
      <c r="D286" s="2" t="str">
        <f t="shared" si="3"/>
        <v>OK</v>
      </c>
    </row>
    <row r="287" spans="1:4" x14ac:dyDescent="0.2">
      <c r="A287" s="5">
        <v>226</v>
      </c>
      <c r="B287" s="138">
        <f>'Assets-Liab 5-6'!N37</f>
        <v>970400</v>
      </c>
      <c r="C287" s="2" t="s">
        <v>594</v>
      </c>
      <c r="D287" s="2" t="str">
        <f t="shared" si="3"/>
        <v>Error?</v>
      </c>
    </row>
    <row r="288" spans="1:4" x14ac:dyDescent="0.2">
      <c r="A288" s="5">
        <v>227</v>
      </c>
      <c r="B288" s="138">
        <f>'Assets-Liab 5-6'!N41</f>
        <v>970400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740000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1715704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126085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2611231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71189</v>
      </c>
      <c r="D722" s="2" t="str">
        <f t="shared" si="10"/>
        <v>Error?</v>
      </c>
    </row>
    <row r="723" spans="1:4" x14ac:dyDescent="0.2">
      <c r="A723" s="5">
        <v>662</v>
      </c>
      <c r="B723" s="138">
        <f>'Expenditures 15-22'!C38</f>
        <v>41725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97412</v>
      </c>
      <c r="D725" s="2" t="str">
        <f t="shared" si="10"/>
        <v>Error?</v>
      </c>
    </row>
    <row r="726" spans="1:4" x14ac:dyDescent="0.2">
      <c r="A726" s="5">
        <v>665</v>
      </c>
      <c r="B726" s="138">
        <f>'Expenditures 15-22'!C41</f>
        <v>32124</v>
      </c>
      <c r="D726" s="2" t="str">
        <f t="shared" si="10"/>
        <v>Error?</v>
      </c>
    </row>
    <row r="727" spans="1:4" x14ac:dyDescent="0.2">
      <c r="A727" s="5">
        <v>666</v>
      </c>
      <c r="B727" s="138">
        <f>'Expenditures 15-22'!C42</f>
        <v>242450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17670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17670</v>
      </c>
      <c r="C731" s="2" t="s">
        <v>594</v>
      </c>
      <c r="D731" s="2" t="str">
        <f t="shared" si="10"/>
        <v>Error?</v>
      </c>
    </row>
    <row r="732" spans="1:4" x14ac:dyDescent="0.2">
      <c r="A732" s="5">
        <v>671</v>
      </c>
      <c r="B732" s="138">
        <f>'Expenditures 15-22'!C49</f>
        <v>14222</v>
      </c>
      <c r="D732" s="2" t="str">
        <f t="shared" si="10"/>
        <v>Error?</v>
      </c>
    </row>
    <row r="733" spans="1:4" x14ac:dyDescent="0.2">
      <c r="A733" s="5">
        <v>672</v>
      </c>
      <c r="B733" s="138">
        <f>'Expenditures 15-22'!C50</f>
        <v>116330</v>
      </c>
      <c r="D733" s="2" t="str">
        <f t="shared" si="10"/>
        <v>Error?</v>
      </c>
    </row>
    <row r="734" spans="1:4" x14ac:dyDescent="0.2">
      <c r="A734" s="5">
        <v>673</v>
      </c>
      <c r="B734" s="138">
        <f>'Expenditures 15-22'!C53</f>
        <v>130552</v>
      </c>
      <c r="C734" s="2" t="s">
        <v>594</v>
      </c>
      <c r="D734" s="2" t="str">
        <f t="shared" si="10"/>
        <v>Error?</v>
      </c>
    </row>
    <row r="735" spans="1:4" x14ac:dyDescent="0.2">
      <c r="A735" s="5">
        <v>674</v>
      </c>
      <c r="B735" s="138">
        <f>'Expenditures 15-22'!C55</f>
        <v>227864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227864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112907</v>
      </c>
      <c r="D739" s="2" t="str">
        <f t="shared" si="10"/>
        <v>Error?</v>
      </c>
    </row>
    <row r="740" spans="1:4" x14ac:dyDescent="0.2">
      <c r="A740" s="5">
        <v>679</v>
      </c>
      <c r="B740" s="138">
        <f>'Expenditures 15-22'!C61</f>
        <v>230694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106110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449711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1068247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3679478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361877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26802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529915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9145</v>
      </c>
      <c r="D780" s="2" t="str">
        <f t="shared" si="11"/>
        <v>Error?</v>
      </c>
    </row>
    <row r="781" spans="1:4" x14ac:dyDescent="0.2">
      <c r="A781" s="5">
        <v>720</v>
      </c>
      <c r="B781" s="138">
        <f>'Expenditures 15-22'!D38</f>
        <v>6575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12921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28641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14880</v>
      </c>
      <c r="D791" s="2" t="str">
        <f t="shared" si="11"/>
        <v>Error?</v>
      </c>
    </row>
    <row r="792" spans="1:4" x14ac:dyDescent="0.2">
      <c r="A792" s="5">
        <v>731</v>
      </c>
      <c r="B792" s="138">
        <f>'Expenditures 15-22'!D53</f>
        <v>14880</v>
      </c>
      <c r="C792" s="2" t="s">
        <v>594</v>
      </c>
      <c r="D792" s="2" t="str">
        <f t="shared" si="11"/>
        <v>Error?</v>
      </c>
    </row>
    <row r="793" spans="1:4" x14ac:dyDescent="0.2">
      <c r="A793" s="5">
        <v>732</v>
      </c>
      <c r="B793" s="138">
        <f>'Expenditures 15-22'!D55</f>
        <v>47821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47821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13200</v>
      </c>
      <c r="D797" s="2" t="str">
        <f t="shared" si="11"/>
        <v>Error?</v>
      </c>
    </row>
    <row r="798" spans="1:4" x14ac:dyDescent="0.2">
      <c r="A798" s="5">
        <v>737</v>
      </c>
      <c r="B798" s="138">
        <f>'Expenditures 15-22'!D61</f>
        <v>16615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24650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54465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145807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675722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5719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6865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103338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254</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1498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1498</v>
      </c>
      <c r="C847" s="2" t="s">
        <v>594</v>
      </c>
      <c r="D847" s="2" t="str">
        <f t="shared" si="12"/>
        <v>Error?</v>
      </c>
    </row>
    <row r="848" spans="1:4" x14ac:dyDescent="0.2">
      <c r="A848" s="5">
        <v>787</v>
      </c>
      <c r="B848" s="138">
        <f>'Expenditures 15-22'!E49</f>
        <v>51374</v>
      </c>
      <c r="D848" s="2" t="str">
        <f t="shared" si="12"/>
        <v>Error?</v>
      </c>
    </row>
    <row r="849" spans="1:4" x14ac:dyDescent="0.2">
      <c r="A849" s="5">
        <v>788</v>
      </c>
      <c r="B849" s="138">
        <f>'Expenditures 15-22'!E50</f>
        <v>809</v>
      </c>
      <c r="D849" s="2" t="str">
        <f t="shared" si="12"/>
        <v>Error?</v>
      </c>
    </row>
    <row r="850" spans="1:4" x14ac:dyDescent="0.2">
      <c r="A850" s="5">
        <v>789</v>
      </c>
      <c r="B850" s="138">
        <f>'Expenditures 15-22'!E53</f>
        <v>52183</v>
      </c>
      <c r="C850" s="2" t="s">
        <v>594</v>
      </c>
      <c r="D850" s="2" t="str">
        <f t="shared" si="12"/>
        <v>Error?</v>
      </c>
    </row>
    <row r="851" spans="1:4" x14ac:dyDescent="0.2">
      <c r="A851" s="5">
        <v>790</v>
      </c>
      <c r="B851" s="138">
        <f>'Expenditures 15-22'!E55</f>
        <v>3732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3732</v>
      </c>
      <c r="C853" s="2" t="s">
        <v>594</v>
      </c>
      <c r="D853" s="2" t="str">
        <f t="shared" si="12"/>
        <v>Error?</v>
      </c>
    </row>
    <row r="854" spans="1:4" x14ac:dyDescent="0.2">
      <c r="A854" s="5">
        <v>793</v>
      </c>
      <c r="B854" s="138">
        <f>'Expenditures 15-22'!E59</f>
        <v>18340</v>
      </c>
      <c r="D854" s="2" t="str">
        <f t="shared" si="12"/>
        <v>Error?</v>
      </c>
    </row>
    <row r="855" spans="1:4" x14ac:dyDescent="0.2">
      <c r="A855" s="5">
        <v>794</v>
      </c>
      <c r="B855" s="138">
        <f>'Expenditures 15-22'!E60</f>
        <v>943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21728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79395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182733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49598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3025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72619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1107</v>
      </c>
      <c r="D896" s="2" t="str">
        <f t="shared" si="13"/>
        <v>Error?</v>
      </c>
    </row>
    <row r="897" spans="1:4" x14ac:dyDescent="0.2">
      <c r="A897" s="5">
        <v>836</v>
      </c>
      <c r="B897" s="138">
        <f>'Expenditures 15-22'!F38</f>
        <v>1182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360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2649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3103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3103</v>
      </c>
      <c r="C905" s="2" t="s">
        <v>594</v>
      </c>
      <c r="D905" s="2" t="str">
        <f t="shared" si="13"/>
        <v>Error?</v>
      </c>
    </row>
    <row r="906" spans="1:4" x14ac:dyDescent="0.2">
      <c r="A906" s="5">
        <v>845</v>
      </c>
      <c r="B906" s="138">
        <f>'Expenditures 15-22'!F49</f>
        <v>3652</v>
      </c>
      <c r="D906" s="2" t="str">
        <f t="shared" si="13"/>
        <v>Error?</v>
      </c>
    </row>
    <row r="907" spans="1:4" x14ac:dyDescent="0.2">
      <c r="A907" s="5">
        <v>846</v>
      </c>
      <c r="B907" s="138">
        <f>'Expenditures 15-22'!F50</f>
        <v>133</v>
      </c>
      <c r="D907" s="2" t="str">
        <f t="shared" si="13"/>
        <v>Error?</v>
      </c>
    </row>
    <row r="908" spans="1:4" x14ac:dyDescent="0.2">
      <c r="A908" s="5">
        <v>847</v>
      </c>
      <c r="B908" s="138">
        <f>'Expenditures 15-22'!F53</f>
        <v>3785</v>
      </c>
      <c r="C908" s="2" t="s">
        <v>594</v>
      </c>
      <c r="D908" s="2" t="str">
        <f t="shared" si="13"/>
        <v>Error?</v>
      </c>
    </row>
    <row r="909" spans="1:4" x14ac:dyDescent="0.2">
      <c r="A909" s="5">
        <v>848</v>
      </c>
      <c r="B909" s="138">
        <f>'Expenditures 15-22'!F55</f>
        <v>732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732</v>
      </c>
      <c r="C911" s="2" t="s">
        <v>594</v>
      </c>
      <c r="D911" s="2" t="str">
        <f t="shared" si="13"/>
        <v>Error?</v>
      </c>
    </row>
    <row r="912" spans="1:4" x14ac:dyDescent="0.2">
      <c r="A912" s="5">
        <v>851</v>
      </c>
      <c r="B912" s="138">
        <f>'Expenditures 15-22'!F59</f>
        <v>9873</v>
      </c>
      <c r="D912" s="2" t="str">
        <f t="shared" si="13"/>
        <v>Error?</v>
      </c>
    </row>
    <row r="913" spans="1:4" x14ac:dyDescent="0.2">
      <c r="A913" s="5">
        <v>852</v>
      </c>
      <c r="B913" s="138">
        <f>'Expenditures 15-22'!F60</f>
        <v>1939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184024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195836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206105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278724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5413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41423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41423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1953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3472</v>
      </c>
      <c r="D1022" s="2" t="str">
        <f t="shared" si="14"/>
        <v>Error?</v>
      </c>
    </row>
    <row r="1023" spans="1:4" x14ac:dyDescent="0.2">
      <c r="A1023" s="5">
        <v>962</v>
      </c>
      <c r="B1023" s="138">
        <f>'Expenditures 15-22'!H50</f>
        <v>1098</v>
      </c>
      <c r="D1023" s="2" t="str">
        <f t="shared" ref="D1023:D1086" si="15">IF(ISBLANK(B1023),"OK",IF(A1023-B1023=0,"OK","Error?"))</f>
        <v>Error?</v>
      </c>
    </row>
    <row r="1024" spans="1:4" x14ac:dyDescent="0.2">
      <c r="A1024" s="5">
        <v>963</v>
      </c>
      <c r="B1024" s="138">
        <f>'Expenditures 15-22'!H53</f>
        <v>4570</v>
      </c>
      <c r="C1024" s="2" t="s">
        <v>594</v>
      </c>
      <c r="D1024" s="2" t="str">
        <f t="shared" si="15"/>
        <v>Error?</v>
      </c>
    </row>
    <row r="1025" spans="1:4" x14ac:dyDescent="0.2">
      <c r="A1025" s="5">
        <v>964</v>
      </c>
      <c r="B1025" s="138">
        <f>'Expenditures 15-22'!H55</f>
        <v>359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359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310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5239</v>
      </c>
      <c r="C1045" s="2" t="s">
        <v>594</v>
      </c>
      <c r="D1045" s="2" t="str">
        <f t="shared" si="15"/>
        <v>Error?</v>
      </c>
    </row>
    <row r="1046" spans="1:4" x14ac:dyDescent="0.2">
      <c r="A1046" s="5">
        <v>985</v>
      </c>
      <c r="B1046" s="138">
        <f>'Expenditures 15-22'!H75</f>
        <v>374</v>
      </c>
      <c r="D1046" s="2" t="str">
        <f t="shared" si="15"/>
        <v>Error?</v>
      </c>
    </row>
    <row r="1047" spans="1:4" x14ac:dyDescent="0.2">
      <c r="A1047" s="5">
        <v>986</v>
      </c>
      <c r="B1047" s="138">
        <f>'Expenditures 15-22'!H102</f>
        <v>272112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279678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2138311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164730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3360479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81441</v>
      </c>
      <c r="C1110" s="2" t="s">
        <v>594</v>
      </c>
      <c r="D1110" s="2" t="str">
        <f t="shared" si="16"/>
        <v>Error?</v>
      </c>
    </row>
    <row r="1111" spans="1:4" x14ac:dyDescent="0.2">
      <c r="A1111" s="5">
        <v>1050</v>
      </c>
      <c r="B1111" s="138">
        <f>'Expenditures 15-22'!K38</f>
        <v>49736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110693</v>
      </c>
      <c r="C1113" s="2" t="s">
        <v>594</v>
      </c>
      <c r="D1113" s="2" t="str">
        <f t="shared" si="16"/>
        <v>Error?</v>
      </c>
    </row>
    <row r="1114" spans="1:4" x14ac:dyDescent="0.2">
      <c r="A1114" s="5">
        <v>1053</v>
      </c>
      <c r="B1114" s="138">
        <f>'Expenditures 15-22'!K41</f>
        <v>32124</v>
      </c>
      <c r="C1114" s="2" t="s">
        <v>594</v>
      </c>
      <c r="D1114" s="2" t="str">
        <f t="shared" si="16"/>
        <v>Error?</v>
      </c>
    </row>
    <row r="1115" spans="1:4" x14ac:dyDescent="0.2">
      <c r="A1115" s="5">
        <v>1054</v>
      </c>
      <c r="B1115" s="138">
        <f>'Expenditures 15-22'!K42</f>
        <v>273994</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22271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22271</v>
      </c>
      <c r="C1119" s="2" t="s">
        <v>594</v>
      </c>
      <c r="D1119" s="2" t="str">
        <f t="shared" si="16"/>
        <v>Error?</v>
      </c>
    </row>
    <row r="1120" spans="1:4" x14ac:dyDescent="0.2">
      <c r="A1120" s="5">
        <v>1059</v>
      </c>
      <c r="B1120" s="138">
        <f>'Expenditures 15-22'!K49</f>
        <v>72720</v>
      </c>
      <c r="C1120" s="2" t="s">
        <v>594</v>
      </c>
      <c r="D1120" s="2" t="str">
        <f t="shared" si="16"/>
        <v>Error?</v>
      </c>
    </row>
    <row r="1121" spans="1:4" x14ac:dyDescent="0.2">
      <c r="A1121" s="5">
        <v>1060</v>
      </c>
      <c r="B1121" s="138">
        <f>'Expenditures 15-22'!K50</f>
        <v>133250</v>
      </c>
      <c r="C1121" s="2" t="s">
        <v>594</v>
      </c>
      <c r="D1121" s="2" t="str">
        <f t="shared" si="16"/>
        <v>Error?</v>
      </c>
    </row>
    <row r="1122" spans="1:4" x14ac:dyDescent="0.2">
      <c r="A1122" s="5">
        <v>1061</v>
      </c>
      <c r="B1122" s="138">
        <f>'Expenditures 15-22'!K53</f>
        <v>205970</v>
      </c>
      <c r="C1122" s="2" t="s">
        <v>594</v>
      </c>
      <c r="D1122" s="2" t="str">
        <f t="shared" si="16"/>
        <v>Error?</v>
      </c>
    </row>
    <row r="1123" spans="1:4" x14ac:dyDescent="0.2">
      <c r="A1123" s="5">
        <v>1062</v>
      </c>
      <c r="B1123" s="138">
        <f>'Expenditures 15-22'!K55</f>
        <v>280508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280508</v>
      </c>
      <c r="C1125" s="2" t="s">
        <v>594</v>
      </c>
      <c r="D1125" s="2" t="str">
        <f t="shared" si="16"/>
        <v>Error?</v>
      </c>
    </row>
    <row r="1126" spans="1:4" x14ac:dyDescent="0.2">
      <c r="A1126" s="5">
        <v>1065</v>
      </c>
      <c r="B1126" s="138">
        <f>'Expenditures 15-22'!K59</f>
        <v>28213</v>
      </c>
      <c r="C1126" s="2" t="s">
        <v>594</v>
      </c>
      <c r="D1126" s="2" t="str">
        <f t="shared" si="16"/>
        <v>Error?</v>
      </c>
    </row>
    <row r="1127" spans="1:4" x14ac:dyDescent="0.2">
      <c r="A1127" s="5">
        <v>1066</v>
      </c>
      <c r="B1127" s="138">
        <f>'Expenditures 15-22'!K60</f>
        <v>128989</v>
      </c>
      <c r="C1127" s="2" t="s">
        <v>594</v>
      </c>
      <c r="D1127" s="2" t="str">
        <f t="shared" si="16"/>
        <v>Error?</v>
      </c>
    </row>
    <row r="1128" spans="1:4" x14ac:dyDescent="0.2">
      <c r="A1128" s="5">
        <v>1067</v>
      </c>
      <c r="B1128" s="138">
        <f>'Expenditures 15-22'!K61</f>
        <v>247309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317539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722050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1504793</v>
      </c>
      <c r="C1143" s="2" t="s">
        <v>594</v>
      </c>
      <c r="D1143" s="2" t="str">
        <f t="shared" si="16"/>
        <v>Error?</v>
      </c>
    </row>
    <row r="1144" spans="1:4" x14ac:dyDescent="0.2">
      <c r="A1144" s="5">
        <v>1083</v>
      </c>
      <c r="B1144" s="138">
        <f>'Expenditures 15-22'!K75</f>
        <v>374</v>
      </c>
      <c r="C1144" s="2" t="s">
        <v>594</v>
      </c>
      <c r="D1144" s="2" t="str">
        <f t="shared" si="16"/>
        <v>Error?</v>
      </c>
    </row>
    <row r="1145" spans="1:4" x14ac:dyDescent="0.2">
      <c r="A1145" s="5">
        <v>1084</v>
      </c>
      <c r="B1145" s="138">
        <f>'Expenditures 15-22'!K102</f>
        <v>272112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5137758</v>
      </c>
      <c r="C1152" s="2" t="s">
        <v>594</v>
      </c>
      <c r="D1152" s="2" t="str">
        <f t="shared" si="17"/>
        <v>Error?</v>
      </c>
    </row>
    <row r="1153" spans="1:4" x14ac:dyDescent="0.2">
      <c r="A1153" s="5">
        <v>1092</v>
      </c>
      <c r="B1153" s="138">
        <f>'Expenditures 15-22'!K115</f>
        <v>33395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39331</v>
      </c>
      <c r="D1237" s="2" t="str">
        <f t="shared" si="18"/>
        <v>Error?</v>
      </c>
    </row>
    <row r="1238" spans="1:4" x14ac:dyDescent="0.2">
      <c r="A1238" s="10">
        <v>1177</v>
      </c>
      <c r="D1238" s="2" t="str">
        <f t="shared" si="18"/>
        <v>OK</v>
      </c>
    </row>
    <row r="1239" spans="1:4" x14ac:dyDescent="0.2">
      <c r="A1239" s="5">
        <v>1178</v>
      </c>
      <c r="B1239" s="138">
        <f>'Expenditures 15-22'!E127</f>
        <v>39331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39331</v>
      </c>
      <c r="C1241" s="2" t="s">
        <v>594</v>
      </c>
      <c r="D1241" s="2" t="str">
        <f t="shared" si="18"/>
        <v>Error?</v>
      </c>
    </row>
    <row r="1242" spans="1:4" x14ac:dyDescent="0.2">
      <c r="A1242" s="5">
        <v>1181</v>
      </c>
      <c r="B1242" s="138">
        <f>'Expenditures 15-22'!E151</f>
        <v>39331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118934</v>
      </c>
      <c r="D1245" s="2" t="str">
        <f t="shared" si="18"/>
        <v>Error?</v>
      </c>
    </row>
    <row r="1246" spans="1:4" x14ac:dyDescent="0.2">
      <c r="A1246" s="10">
        <v>1185</v>
      </c>
      <c r="D1246" s="2" t="str">
        <f t="shared" si="18"/>
        <v>OK</v>
      </c>
    </row>
    <row r="1247" spans="1:4" x14ac:dyDescent="0.2">
      <c r="A1247" s="5">
        <v>1186</v>
      </c>
      <c r="B1247" s="138">
        <f>'Expenditures 15-22'!F127</f>
        <v>118934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118934</v>
      </c>
      <c r="C1249" s="2" t="s">
        <v>594</v>
      </c>
      <c r="D1249" s="2" t="str">
        <f t="shared" si="18"/>
        <v>Error?</v>
      </c>
    </row>
    <row r="1250" spans="1:4" x14ac:dyDescent="0.2">
      <c r="A1250" s="5">
        <v>1189</v>
      </c>
      <c r="B1250" s="138">
        <f>'Expenditures 15-22'!F151</f>
        <v>118934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35957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35957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35957</v>
      </c>
      <c r="C1258" s="2" t="s">
        <v>594</v>
      </c>
      <c r="D1258" s="2" t="str">
        <f t="shared" si="18"/>
        <v>Error?</v>
      </c>
    </row>
    <row r="1259" spans="1:4" x14ac:dyDescent="0.2">
      <c r="A1259" s="5">
        <v>1198</v>
      </c>
      <c r="B1259" s="138">
        <f>'Expenditures 15-22'!G151</f>
        <v>35957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194222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194222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194222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194222</v>
      </c>
      <c r="C1288" s="2" t="s">
        <v>594</v>
      </c>
      <c r="D1288" s="2" t="str">
        <f t="shared" si="19"/>
        <v>Error?</v>
      </c>
    </row>
    <row r="1289" spans="1:4" x14ac:dyDescent="0.2">
      <c r="A1289" s="5">
        <v>1228</v>
      </c>
      <c r="B1289" s="138">
        <f>'Expenditures 15-22'!K152</f>
        <v>-19382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44192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286000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330192</v>
      </c>
      <c r="C1317" s="2" t="s">
        <v>594</v>
      </c>
      <c r="D1317" s="2" t="str">
        <f t="shared" si="19"/>
        <v>Error?</v>
      </c>
    </row>
    <row r="1318" spans="1:4" x14ac:dyDescent="0.2">
      <c r="A1318" s="5">
        <v>1257</v>
      </c>
      <c r="B1318" s="138">
        <f>'Expenditures 15-22'!H174</f>
        <v>330192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44192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286000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330192</v>
      </c>
      <c r="C1331" s="2" t="s">
        <v>594</v>
      </c>
      <c r="D1331" s="2" t="str">
        <f t="shared" si="19"/>
        <v>Error?</v>
      </c>
    </row>
    <row r="1332" spans="1:4" x14ac:dyDescent="0.2">
      <c r="A1332" s="5">
        <v>1271</v>
      </c>
      <c r="B1332" s="138">
        <f>'Expenditures 15-22'!K174</f>
        <v>330192</v>
      </c>
      <c r="C1332" s="2" t="s">
        <v>594</v>
      </c>
      <c r="D1332" s="2" t="str">
        <f t="shared" si="19"/>
        <v>Error?</v>
      </c>
    </row>
    <row r="1333" spans="1:4" x14ac:dyDescent="0.2">
      <c r="A1333" s="5">
        <v>1272</v>
      </c>
      <c r="B1333" s="138">
        <f>'Expenditures 15-22'!K175</f>
        <v>-26180</v>
      </c>
      <c r="C1333" s="2" t="s">
        <v>594</v>
      </c>
      <c r="D1333" s="2" t="str">
        <f t="shared" si="19"/>
        <v>Error?</v>
      </c>
    </row>
    <row r="1334" spans="1:4" x14ac:dyDescent="0.2">
      <c r="A1334" s="10">
        <v>1273</v>
      </c>
      <c r="D1334" s="2" t="str">
        <f t="shared" si="19"/>
        <v>OK</v>
      </c>
    </row>
    <row r="1335" spans="1:4" x14ac:dyDescent="0.2">
      <c r="A1335" s="5">
        <v>1274</v>
      </c>
      <c r="B1335" s="138">
        <f>'Expenditures 15-22'!C182</f>
        <v>69652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69652</v>
      </c>
      <c r="C1339" s="2" t="s">
        <v>594</v>
      </c>
      <c r="D1339" s="2" t="str">
        <f t="shared" si="19"/>
        <v>Error?</v>
      </c>
    </row>
    <row r="1340" spans="1:4" x14ac:dyDescent="0.2">
      <c r="A1340" s="5">
        <v>1279</v>
      </c>
      <c r="B1340" s="138">
        <f>'Expenditures 15-22'!C210</f>
        <v>69652</v>
      </c>
      <c r="C1340" s="2" t="s">
        <v>594</v>
      </c>
      <c r="D1340" s="2" t="str">
        <f t="shared" si="19"/>
        <v>Error?</v>
      </c>
    </row>
    <row r="1341" spans="1:4" x14ac:dyDescent="0.2">
      <c r="A1341" s="5">
        <v>1280</v>
      </c>
      <c r="B1341" s="138">
        <f>'Expenditures 15-22'!D182</f>
        <v>2635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2635</v>
      </c>
      <c r="C1345" s="2" t="s">
        <v>594</v>
      </c>
      <c r="D1345" s="2" t="str">
        <f t="shared" si="20"/>
        <v>Error?</v>
      </c>
    </row>
    <row r="1346" spans="1:4" x14ac:dyDescent="0.2">
      <c r="A1346" s="5">
        <v>1285</v>
      </c>
      <c r="B1346" s="138">
        <f>'Expenditures 15-22'!D210</f>
        <v>2635</v>
      </c>
      <c r="C1346" s="2" t="s">
        <v>594</v>
      </c>
      <c r="D1346" s="2" t="str">
        <f t="shared" si="20"/>
        <v>Error?</v>
      </c>
    </row>
    <row r="1347" spans="1:4" x14ac:dyDescent="0.2">
      <c r="A1347" s="5">
        <v>1286</v>
      </c>
      <c r="B1347" s="138">
        <f>'Expenditures 15-22'!E182</f>
        <v>50862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50862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50862</v>
      </c>
      <c r="C1353" s="2" t="s">
        <v>594</v>
      </c>
      <c r="D1353" s="2" t="str">
        <f t="shared" si="20"/>
        <v>Error?</v>
      </c>
    </row>
    <row r="1354" spans="1:4" x14ac:dyDescent="0.2">
      <c r="A1354" s="5">
        <v>1293</v>
      </c>
      <c r="B1354" s="138">
        <f>'Expenditures 15-22'!F182</f>
        <v>19642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19642</v>
      </c>
      <c r="C1358" s="2" t="s">
        <v>594</v>
      </c>
      <c r="D1358" s="2" t="str">
        <f t="shared" si="20"/>
        <v>Error?</v>
      </c>
    </row>
    <row r="1359" spans="1:4" x14ac:dyDescent="0.2">
      <c r="A1359" s="5">
        <v>1298</v>
      </c>
      <c r="B1359" s="138">
        <f>'Expenditures 15-22'!F210</f>
        <v>19642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142791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142791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142791</v>
      </c>
      <c r="C1388" s="2" t="s">
        <v>594</v>
      </c>
      <c r="D1388" s="2" t="str">
        <f t="shared" si="20"/>
        <v>Error?</v>
      </c>
    </row>
    <row r="1389" spans="1:4" x14ac:dyDescent="0.2">
      <c r="A1389" s="5">
        <v>1328</v>
      </c>
      <c r="B1389" s="138">
        <f>'Expenditures 15-22'!K211</f>
        <v>43611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3547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69172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1031</v>
      </c>
      <c r="D1412" s="2" t="str">
        <f t="shared" si="21"/>
        <v>Error?</v>
      </c>
    </row>
    <row r="1413" spans="1:4" x14ac:dyDescent="0.2">
      <c r="A1413" s="5">
        <v>1352</v>
      </c>
      <c r="B1413" s="138">
        <f>'Expenditures 15-22'!D234</f>
        <v>8815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1357</v>
      </c>
      <c r="D1415" s="2" t="str">
        <f t="shared" si="21"/>
        <v>Error?</v>
      </c>
    </row>
    <row r="1416" spans="1:4" x14ac:dyDescent="0.2">
      <c r="A1416" s="5">
        <v>1355</v>
      </c>
      <c r="B1416" s="138">
        <f>'Expenditures 15-22'!D237</f>
        <v>6709</v>
      </c>
      <c r="D1416" s="2" t="str">
        <f t="shared" si="21"/>
        <v>Error?</v>
      </c>
    </row>
    <row r="1417" spans="1:4" x14ac:dyDescent="0.2">
      <c r="A1417" s="5">
        <v>1356</v>
      </c>
      <c r="B1417" s="138">
        <f>'Expenditures 15-22'!D238</f>
        <v>17912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1352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1352</v>
      </c>
      <c r="C1421" s="2" t="s">
        <v>594</v>
      </c>
      <c r="D1421" s="2" t="str">
        <f t="shared" si="21"/>
        <v>Error?</v>
      </c>
    </row>
    <row r="1422" spans="1:4" x14ac:dyDescent="0.2">
      <c r="A1422" s="5">
        <v>1361</v>
      </c>
      <c r="B1422" s="138">
        <f>'Expenditures 15-22'!D245</f>
        <v>2741</v>
      </c>
      <c r="D1422" s="2" t="str">
        <f t="shared" si="21"/>
        <v>Error?</v>
      </c>
    </row>
    <row r="1423" spans="1:4" x14ac:dyDescent="0.2">
      <c r="A1423" s="5">
        <v>1362</v>
      </c>
      <c r="B1423" s="138">
        <f>'Expenditures 15-22'!D246</f>
        <v>1687</v>
      </c>
      <c r="D1423" s="2" t="str">
        <f t="shared" si="21"/>
        <v>Error?</v>
      </c>
    </row>
    <row r="1424" spans="1:4" x14ac:dyDescent="0.2">
      <c r="A1424" s="5">
        <v>1363</v>
      </c>
      <c r="B1424" s="138">
        <f>'Expenditures 15-22'!D257</f>
        <v>4428</v>
      </c>
      <c r="C1424" s="2" t="s">
        <v>594</v>
      </c>
      <c r="D1424" s="2" t="str">
        <f t="shared" si="21"/>
        <v>Error?</v>
      </c>
    </row>
    <row r="1425" spans="1:4" x14ac:dyDescent="0.2">
      <c r="A1425" s="5">
        <v>1364</v>
      </c>
      <c r="B1425" s="138">
        <f>'Expenditures 15-22'!D259</f>
        <v>14554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14554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23720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47040</v>
      </c>
      <c r="D1431" s="2" t="str">
        <f t="shared" si="21"/>
        <v>Error?</v>
      </c>
    </row>
    <row r="1432" spans="1:4" x14ac:dyDescent="0.2">
      <c r="A1432" s="5">
        <v>1371</v>
      </c>
      <c r="B1432" s="138">
        <f>'Expenditures 15-22'!D267</f>
        <v>14368</v>
      </c>
      <c r="D1432" s="2" t="str">
        <f t="shared" si="21"/>
        <v>Error?</v>
      </c>
    </row>
    <row r="1433" spans="1:4" x14ac:dyDescent="0.2">
      <c r="A1433" s="5">
        <v>1372</v>
      </c>
      <c r="B1433" s="138">
        <f>'Expenditures 15-22'!D268</f>
        <v>20947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106075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144321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213493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3547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69172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1031</v>
      </c>
      <c r="C1476" s="2" t="s">
        <v>594</v>
      </c>
      <c r="D1476" s="2" t="str">
        <f t="shared" si="22"/>
        <v>Error?</v>
      </c>
    </row>
    <row r="1477" spans="1:4" x14ac:dyDescent="0.2">
      <c r="A1477" s="5">
        <v>1416</v>
      </c>
      <c r="B1477" s="138">
        <f>'Expenditures 15-22'!K234</f>
        <v>8815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1357</v>
      </c>
      <c r="C1479" s="2" t="s">
        <v>594</v>
      </c>
      <c r="D1479" s="2" t="str">
        <f t="shared" si="22"/>
        <v>Error?</v>
      </c>
    </row>
    <row r="1480" spans="1:4" x14ac:dyDescent="0.2">
      <c r="A1480" s="5">
        <v>1419</v>
      </c>
      <c r="B1480" s="138">
        <f>'Expenditures 15-22'!K237</f>
        <v>6709</v>
      </c>
      <c r="C1480" s="2" t="s">
        <v>594</v>
      </c>
      <c r="D1480" s="2" t="str">
        <f t="shared" si="22"/>
        <v>Error?</v>
      </c>
    </row>
    <row r="1481" spans="1:4" x14ac:dyDescent="0.2">
      <c r="A1481" s="5">
        <v>1420</v>
      </c>
      <c r="B1481" s="138">
        <f>'Expenditures 15-22'!K238</f>
        <v>17912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1352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1352</v>
      </c>
      <c r="C1485" s="2" t="s">
        <v>594</v>
      </c>
      <c r="D1485" s="2" t="str">
        <f t="shared" si="22"/>
        <v>Error?</v>
      </c>
    </row>
    <row r="1486" spans="1:4" x14ac:dyDescent="0.2">
      <c r="A1486" s="5">
        <v>1425</v>
      </c>
      <c r="B1486" s="138">
        <f>'Expenditures 15-22'!K245</f>
        <v>2741</v>
      </c>
      <c r="C1486" s="2" t="s">
        <v>594</v>
      </c>
      <c r="D1486" s="2" t="str">
        <f t="shared" si="22"/>
        <v>Error?</v>
      </c>
    </row>
    <row r="1487" spans="1:4" x14ac:dyDescent="0.2">
      <c r="A1487" s="5">
        <v>1426</v>
      </c>
      <c r="B1487" s="138">
        <f>'Expenditures 15-22'!K246</f>
        <v>1687</v>
      </c>
      <c r="C1487" s="2" t="s">
        <v>594</v>
      </c>
      <c r="D1487" s="2" t="str">
        <f t="shared" si="22"/>
        <v>Error?</v>
      </c>
    </row>
    <row r="1488" spans="1:4" x14ac:dyDescent="0.2">
      <c r="A1488" s="5">
        <v>1427</v>
      </c>
      <c r="B1488" s="138">
        <f>'Expenditures 15-22'!K257</f>
        <v>4428</v>
      </c>
      <c r="C1488" s="2" t="s">
        <v>594</v>
      </c>
      <c r="D1488" s="2" t="str">
        <f t="shared" si="22"/>
        <v>Error?</v>
      </c>
    </row>
    <row r="1489" spans="1:4" x14ac:dyDescent="0.2">
      <c r="A1489" s="5">
        <v>1428</v>
      </c>
      <c r="B1489" s="138">
        <f>'Expenditures 15-22'!K259</f>
        <v>14554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14554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23720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47040</v>
      </c>
      <c r="C1495" s="2" t="s">
        <v>594</v>
      </c>
      <c r="D1495" s="2" t="str">
        <f t="shared" si="22"/>
        <v>Error?</v>
      </c>
    </row>
    <row r="1496" spans="1:4" x14ac:dyDescent="0.2">
      <c r="A1496" s="5">
        <v>1435</v>
      </c>
      <c r="B1496" s="138">
        <f>'Expenditures 15-22'!K267</f>
        <v>14368</v>
      </c>
      <c r="C1496" s="2" t="s">
        <v>594</v>
      </c>
      <c r="D1496" s="2" t="str">
        <f t="shared" si="22"/>
        <v>Error?</v>
      </c>
    </row>
    <row r="1497" spans="1:4" x14ac:dyDescent="0.2">
      <c r="A1497" s="5">
        <v>1436</v>
      </c>
      <c r="B1497" s="138">
        <f>'Expenditures 15-22'!K268</f>
        <v>20947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106075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144321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213493</v>
      </c>
      <c r="C1517" s="2" t="s">
        <v>594</v>
      </c>
      <c r="D1517" s="2" t="str">
        <f t="shared" si="22"/>
        <v>Error?</v>
      </c>
    </row>
    <row r="1518" spans="1:4" x14ac:dyDescent="0.2">
      <c r="A1518" s="5">
        <v>1457</v>
      </c>
      <c r="B1518" s="138">
        <f>'Expenditures 15-22'!K296</f>
        <v>-46725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440172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440172</v>
      </c>
      <c r="C1547" s="2" t="s">
        <v>594</v>
      </c>
      <c r="D1547" s="2" t="str">
        <f t="shared" si="23"/>
        <v>Error?</v>
      </c>
    </row>
    <row r="1548" spans="1:4" x14ac:dyDescent="0.2">
      <c r="A1548" s="5">
        <v>1487</v>
      </c>
      <c r="B1548" s="138">
        <f>'Expenditures 15-22'!G312</f>
        <v>440172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440172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440172</v>
      </c>
      <c r="C1559" s="2" t="s">
        <v>594</v>
      </c>
      <c r="D1559" s="2" t="str">
        <f t="shared" si="23"/>
        <v>Error?</v>
      </c>
    </row>
    <row r="1560" spans="1:4" x14ac:dyDescent="0.2">
      <c r="A1560" s="5">
        <v>1499</v>
      </c>
      <c r="B1560" s="138">
        <f>'Expenditures 15-22'!K312</f>
        <v>440172</v>
      </c>
      <c r="C1560" s="2" t="s">
        <v>594</v>
      </c>
      <c r="D1560" s="2" t="str">
        <f t="shared" si="23"/>
        <v>Error?</v>
      </c>
    </row>
    <row r="1561" spans="1:4" x14ac:dyDescent="0.2">
      <c r="A1561" s="5">
        <v>1500</v>
      </c>
      <c r="B1561" s="138">
        <f>'Expenditures 15-22'!K313</f>
        <v>-440066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304949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385911</v>
      </c>
      <c r="C1630" s="2" t="s">
        <v>594</v>
      </c>
      <c r="D1630" s="2" t="str">
        <f t="shared" si="24"/>
        <v>Error?</v>
      </c>
    </row>
    <row r="1631" spans="1:4" x14ac:dyDescent="0.2">
      <c r="A1631" s="5">
        <v>1570</v>
      </c>
      <c r="B1631" s="138">
        <f>'Acct Summary 7-8'!D79</f>
        <v>244964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97271</v>
      </c>
      <c r="C1644" s="2" t="s">
        <v>594</v>
      </c>
      <c r="D1644" s="2" t="str">
        <f t="shared" si="24"/>
        <v>Error?</v>
      </c>
    </row>
    <row r="1645" spans="1:4" x14ac:dyDescent="0.2">
      <c r="A1645" s="5">
        <v>1584</v>
      </c>
      <c r="B1645" s="138">
        <f>'Acct Summary 7-8'!E79</f>
        <v>90602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64422</v>
      </c>
      <c r="C1658" s="2" t="s">
        <v>594</v>
      </c>
      <c r="D1658" s="2" t="str">
        <f t="shared" si="24"/>
        <v>Error?</v>
      </c>
    </row>
    <row r="1659" spans="1:4" x14ac:dyDescent="0.2">
      <c r="A1659" s="5">
        <v>1598</v>
      </c>
      <c r="B1659" s="138">
        <f>'Acct Summary 7-8'!F79</f>
        <v>179171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222782</v>
      </c>
      <c r="C1672" s="2" t="s">
        <v>594</v>
      </c>
      <c r="D1672" s="2" t="str">
        <f t="shared" si="25"/>
        <v>Error?</v>
      </c>
    </row>
    <row r="1673" spans="1:4" x14ac:dyDescent="0.2">
      <c r="A1673" s="5">
        <v>1612</v>
      </c>
      <c r="B1673" s="138">
        <f>'Acct Summary 7-8'!G79</f>
        <v>129152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82427</v>
      </c>
      <c r="C1686" s="2" t="s">
        <v>594</v>
      </c>
      <c r="D1686" s="2" t="str">
        <f t="shared" si="25"/>
        <v>Error?</v>
      </c>
    </row>
    <row r="1687" spans="1:4" x14ac:dyDescent="0.2">
      <c r="A1687" s="5">
        <v>1626</v>
      </c>
      <c r="B1687" s="138">
        <f>'Acct Summary 7-8'!H79</f>
        <v>361800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2478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892243</v>
      </c>
      <c r="C1744" s="2" t="s">
        <v>594</v>
      </c>
      <c r="D1744" s="2" t="str">
        <f t="shared" si="26"/>
        <v>Error?</v>
      </c>
    </row>
    <row r="1745" spans="1:5" x14ac:dyDescent="0.2">
      <c r="A1745" s="5">
        <v>1684</v>
      </c>
      <c r="B1745" s="138">
        <f>'Tax Sched 23'!B5</f>
        <v>174453</v>
      </c>
      <c r="C1745" s="2" t="s">
        <v>594</v>
      </c>
      <c r="D1745" s="2" t="str">
        <f t="shared" si="26"/>
        <v>Error?</v>
      </c>
    </row>
    <row r="1746" spans="1:5" x14ac:dyDescent="0.2">
      <c r="A1746" s="5">
        <v>1685</v>
      </c>
      <c r="B1746" s="138">
        <f>'Tax Sched 23'!B6</f>
        <v>303799</v>
      </c>
      <c r="C1746" s="2" t="s">
        <v>594</v>
      </c>
      <c r="D1746" s="2" t="str">
        <f t="shared" si="26"/>
        <v>Error?</v>
      </c>
    </row>
    <row r="1747" spans="1:5" x14ac:dyDescent="0.2">
      <c r="A1747" s="5">
        <v>1686</v>
      </c>
      <c r="B1747" s="138">
        <f>'Tax Sched 23'!B7</f>
        <v>84991</v>
      </c>
      <c r="C1747" s="2" t="s">
        <v>594</v>
      </c>
      <c r="D1747" s="2" t="str">
        <f t="shared" si="26"/>
        <v>Error?</v>
      </c>
    </row>
    <row r="1748" spans="1:5" x14ac:dyDescent="0.2">
      <c r="A1748" s="5">
        <v>1687</v>
      </c>
      <c r="B1748" s="138">
        <f>'Tax Sched 23'!B8</f>
        <v>89469</v>
      </c>
      <c r="C1748" s="2" t="s">
        <v>594</v>
      </c>
      <c r="D1748" s="2" t="str">
        <f t="shared" si="26"/>
        <v>Error?</v>
      </c>
    </row>
    <row r="1749" spans="1:5" x14ac:dyDescent="0.2">
      <c r="A1749" s="5">
        <v>1688</v>
      </c>
      <c r="B1749" s="138">
        <f>'Tax Sched 23'!B10</f>
        <v>35792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62630</v>
      </c>
      <c r="C1752" s="2" t="s">
        <v>594</v>
      </c>
      <c r="D1752" s="2" t="str">
        <f t="shared" si="26"/>
        <v>Error?</v>
      </c>
    </row>
    <row r="1753" spans="1:5" x14ac:dyDescent="0.2">
      <c r="A1753" s="5">
        <v>1692</v>
      </c>
      <c r="B1753" s="138">
        <f>'Tax Sched 23'!B12</f>
        <v>35792</v>
      </c>
      <c r="C1753" s="2" t="s">
        <v>594</v>
      </c>
      <c r="D1753" s="2" t="str">
        <f t="shared" si="26"/>
        <v>Error?</v>
      </c>
    </row>
    <row r="1754" spans="1:5" x14ac:dyDescent="0.2">
      <c r="A1754" s="5">
        <v>1693</v>
      </c>
      <c r="B1754" s="138">
        <f>'Tax Sched 23'!B14</f>
        <v>14316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1765062</v>
      </c>
      <c r="C1759" s="2" t="s">
        <v>594</v>
      </c>
      <c r="D1759" s="2" t="str">
        <f t="shared" si="26"/>
        <v>Error?</v>
      </c>
    </row>
    <row r="1760" spans="1:5" x14ac:dyDescent="0.2">
      <c r="A1760" s="5">
        <v>1699</v>
      </c>
      <c r="B1760" s="138">
        <f>'Tax Sched 23'!D4</f>
        <v>892243</v>
      </c>
      <c r="C1760" s="2" t="s">
        <v>594</v>
      </c>
      <c r="D1760" s="2" t="str">
        <f t="shared" si="26"/>
        <v>Error?</v>
      </c>
    </row>
    <row r="1761" spans="1:5" x14ac:dyDescent="0.2">
      <c r="A1761" s="5">
        <v>1700</v>
      </c>
      <c r="B1761" s="138">
        <f>'Tax Sched 23'!D5</f>
        <v>174453</v>
      </c>
      <c r="C1761" s="2" t="s">
        <v>594</v>
      </c>
      <c r="D1761" s="2" t="str">
        <f t="shared" si="26"/>
        <v>Error?</v>
      </c>
    </row>
    <row r="1762" spans="1:5" s="8" customFormat="1" x14ac:dyDescent="0.2">
      <c r="A1762" s="5">
        <v>1701</v>
      </c>
      <c r="B1762" s="138">
        <f>'Tax Sched 23'!D6</f>
        <v>303799</v>
      </c>
      <c r="C1762" s="2" t="s">
        <v>594</v>
      </c>
      <c r="D1762" s="2" t="str">
        <f t="shared" si="26"/>
        <v>Error?</v>
      </c>
      <c r="E1762" s="9"/>
    </row>
    <row r="1763" spans="1:5" x14ac:dyDescent="0.2">
      <c r="A1763" s="5">
        <v>1702</v>
      </c>
      <c r="B1763" s="138">
        <f>'Tax Sched 23'!D7</f>
        <v>84991</v>
      </c>
      <c r="C1763" s="2" t="s">
        <v>594</v>
      </c>
      <c r="D1763" s="2" t="str">
        <f t="shared" si="26"/>
        <v>Error?</v>
      </c>
    </row>
    <row r="1764" spans="1:5" x14ac:dyDescent="0.2">
      <c r="A1764" s="5">
        <v>1703</v>
      </c>
      <c r="B1764" s="138">
        <f>'Tax Sched 23'!D8</f>
        <v>89469</v>
      </c>
      <c r="C1764" s="2" t="s">
        <v>594</v>
      </c>
      <c r="D1764" s="2" t="str">
        <f t="shared" si="26"/>
        <v>Error?</v>
      </c>
    </row>
    <row r="1765" spans="1:5" x14ac:dyDescent="0.2">
      <c r="A1765" s="5">
        <v>1704</v>
      </c>
      <c r="B1765" s="138">
        <f>'Tax Sched 23'!D10</f>
        <v>35792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62630</v>
      </c>
      <c r="C1768" s="2" t="s">
        <v>594</v>
      </c>
      <c r="D1768" s="2" t="str">
        <f t="shared" si="26"/>
        <v>Error?</v>
      </c>
    </row>
    <row r="1769" spans="1:5" x14ac:dyDescent="0.2">
      <c r="A1769" s="5">
        <v>1708</v>
      </c>
      <c r="B1769" s="138">
        <f>'Tax Sched 23'!D12</f>
        <v>35792</v>
      </c>
      <c r="C1769" s="2" t="s">
        <v>594</v>
      </c>
      <c r="D1769" s="2" t="str">
        <f t="shared" si="26"/>
        <v>Error?</v>
      </c>
    </row>
    <row r="1770" spans="1:5" x14ac:dyDescent="0.2">
      <c r="A1770" s="5">
        <v>1709</v>
      </c>
      <c r="B1770" s="138">
        <f>'Tax Sched 23'!D14</f>
        <v>14316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1765062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1008642</v>
      </c>
      <c r="C1792" s="2" t="s">
        <v>594</v>
      </c>
      <c r="D1792" s="2" t="str">
        <f t="shared" si="27"/>
        <v>Error?</v>
      </c>
    </row>
    <row r="1793" spans="1:4" x14ac:dyDescent="0.2">
      <c r="A1793" s="5">
        <v>1732</v>
      </c>
      <c r="B1793" s="138">
        <f>'Tax Sched 23'!F5</f>
        <v>195059</v>
      </c>
      <c r="C1793" s="2" t="s">
        <v>594</v>
      </c>
      <c r="D1793" s="2" t="str">
        <f t="shared" si="27"/>
        <v>Error?</v>
      </c>
    </row>
    <row r="1794" spans="1:4" x14ac:dyDescent="0.2">
      <c r="A1794" s="5">
        <v>1733</v>
      </c>
      <c r="B1794" s="138">
        <f>'Tax Sched 23'!F6</f>
        <v>335264</v>
      </c>
      <c r="C1794" s="2" t="s">
        <v>594</v>
      </c>
      <c r="D1794" s="2" t="str">
        <f t="shared" si="27"/>
        <v>Error?</v>
      </c>
    </row>
    <row r="1795" spans="1:4" x14ac:dyDescent="0.2">
      <c r="A1795" s="5">
        <v>1734</v>
      </c>
      <c r="B1795" s="138">
        <f>'Tax Sched 23'!F7</f>
        <v>95565</v>
      </c>
      <c r="C1795" s="2" t="s">
        <v>594</v>
      </c>
      <c r="D1795" s="2" t="str">
        <f t="shared" si="27"/>
        <v>Error?</v>
      </c>
    </row>
    <row r="1796" spans="1:4" x14ac:dyDescent="0.2">
      <c r="A1796" s="5">
        <v>1735</v>
      </c>
      <c r="B1796" s="138">
        <f>'Tax Sched 23'!F8</f>
        <v>98520</v>
      </c>
      <c r="C1796" s="2" t="s">
        <v>594</v>
      </c>
      <c r="D1796" s="2" t="str">
        <f t="shared" si="27"/>
        <v>Error?</v>
      </c>
    </row>
    <row r="1797" spans="1:4" x14ac:dyDescent="0.2">
      <c r="A1797" s="5">
        <v>1736</v>
      </c>
      <c r="B1797" s="138">
        <f>'Tax Sched 23'!F10</f>
        <v>40398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68972</v>
      </c>
      <c r="C1800" s="2" t="s">
        <v>594</v>
      </c>
      <c r="D1800" s="2" t="str">
        <f t="shared" si="27"/>
        <v>Error?</v>
      </c>
    </row>
    <row r="1801" spans="1:4" x14ac:dyDescent="0.2">
      <c r="A1801" s="5">
        <v>1740</v>
      </c>
      <c r="B1801" s="138">
        <f>'Tax Sched 23'!F12</f>
        <v>40398</v>
      </c>
      <c r="C1801" s="2" t="s">
        <v>594</v>
      </c>
      <c r="D1801" s="2" t="str">
        <f t="shared" si="27"/>
        <v>Error?</v>
      </c>
    </row>
    <row r="1802" spans="1:4" x14ac:dyDescent="0.2">
      <c r="A1802" s="5">
        <v>1741</v>
      </c>
      <c r="B1802" s="138">
        <f>'Tax Sched 23'!F14</f>
        <v>16265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1977896</v>
      </c>
      <c r="C1807" s="2" t="s">
        <v>594</v>
      </c>
      <c r="D1807" s="2" t="str">
        <f t="shared" si="27"/>
        <v>Error?</v>
      </c>
    </row>
    <row r="1808" spans="1:4" x14ac:dyDescent="0.2">
      <c r="A1808" s="5">
        <v>1747</v>
      </c>
      <c r="B1808" s="138">
        <f>'Tax Sched 23'!E4</f>
        <v>1008642</v>
      </c>
      <c r="D1808" s="2" t="str">
        <f t="shared" si="27"/>
        <v>Error?</v>
      </c>
    </row>
    <row r="1809" spans="1:4" x14ac:dyDescent="0.2">
      <c r="A1809" s="5">
        <v>1748</v>
      </c>
      <c r="B1809" s="138">
        <f>'Tax Sched 23'!E5</f>
        <v>195059</v>
      </c>
      <c r="D1809" s="2" t="str">
        <f t="shared" si="27"/>
        <v>Error?</v>
      </c>
    </row>
    <row r="1810" spans="1:4" x14ac:dyDescent="0.2">
      <c r="A1810" s="5">
        <v>1749</v>
      </c>
      <c r="B1810" s="138">
        <f>'Tax Sched 23'!E6</f>
        <v>335264</v>
      </c>
      <c r="D1810" s="2" t="str">
        <f t="shared" si="27"/>
        <v>Error?</v>
      </c>
    </row>
    <row r="1811" spans="1:4" x14ac:dyDescent="0.2">
      <c r="A1811" s="5">
        <v>1750</v>
      </c>
      <c r="B1811" s="138">
        <f>'Tax Sched 23'!E7</f>
        <v>95565</v>
      </c>
      <c r="D1811" s="2" t="str">
        <f t="shared" si="27"/>
        <v>Error?</v>
      </c>
    </row>
    <row r="1812" spans="1:4" x14ac:dyDescent="0.2">
      <c r="A1812" s="5">
        <v>1751</v>
      </c>
      <c r="B1812" s="138">
        <f>'Tax Sched 23'!E8</f>
        <v>98520</v>
      </c>
      <c r="D1812" s="2" t="str">
        <f t="shared" si="27"/>
        <v>Error?</v>
      </c>
    </row>
    <row r="1813" spans="1:4" x14ac:dyDescent="0.2">
      <c r="A1813" s="5">
        <v>1752</v>
      </c>
      <c r="B1813" s="138">
        <f>'Tax Sched 23'!E10</f>
        <v>40398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68972</v>
      </c>
      <c r="D1816" s="2" t="str">
        <f t="shared" si="27"/>
        <v>Error?</v>
      </c>
    </row>
    <row r="1817" spans="1:4" x14ac:dyDescent="0.2">
      <c r="A1817" s="5">
        <v>1756</v>
      </c>
      <c r="B1817" s="138">
        <f>'Tax Sched 23'!E12</f>
        <v>40398</v>
      </c>
      <c r="D1817" s="2" t="str">
        <f t="shared" si="27"/>
        <v>Error?</v>
      </c>
    </row>
    <row r="1818" spans="1:4" x14ac:dyDescent="0.2">
      <c r="A1818" s="5">
        <v>1757</v>
      </c>
      <c r="B1818" s="138">
        <f>'Tax Sched 23'!E14</f>
        <v>16265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1977896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516400</v>
      </c>
      <c r="C1939" s="2" t="s">
        <v>594</v>
      </c>
      <c r="D1939" s="2" t="str">
        <f t="shared" si="29"/>
        <v>Error?</v>
      </c>
    </row>
    <row r="1940" spans="1:5" x14ac:dyDescent="0.2">
      <c r="A1940" s="5">
        <v>1879</v>
      </c>
      <c r="B1940" s="138">
        <f>'Short-Term Long-Term Debt 24'!F49</f>
        <v>740000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14316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14316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14316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265265</v>
      </c>
      <c r="D2008" s="2" t="str">
        <f t="shared" si="30"/>
        <v>Error?</v>
      </c>
    </row>
    <row r="2009" spans="1:4" x14ac:dyDescent="0.2">
      <c r="A2009" s="5">
        <v>1948</v>
      </c>
      <c r="B2009" s="138">
        <f>'Cap Outlay Deprec 26'!C8</f>
        <v>5513014</v>
      </c>
      <c r="D2009" s="2" t="str">
        <f t="shared" si="30"/>
        <v>Error?</v>
      </c>
    </row>
    <row r="2010" spans="1:4" x14ac:dyDescent="0.2">
      <c r="A2010" s="5">
        <v>1949</v>
      </c>
      <c r="B2010" s="138">
        <f>'Cap Outlay Deprec 26'!C10</f>
        <v>162131</v>
      </c>
      <c r="D2010" s="2" t="str">
        <f t="shared" si="30"/>
        <v>Error?</v>
      </c>
    </row>
    <row r="2011" spans="1:4" x14ac:dyDescent="0.2">
      <c r="A2011" s="5">
        <v>1950</v>
      </c>
      <c r="B2011" s="138">
        <f>'Cap Outlay Deprec 26'!C12</f>
        <v>1491150</v>
      </c>
      <c r="D2011" s="2" t="str">
        <f t="shared" si="30"/>
        <v>Error?</v>
      </c>
    </row>
    <row r="2012" spans="1:4" x14ac:dyDescent="0.2">
      <c r="A2012" s="5">
        <v>1951</v>
      </c>
      <c r="B2012" s="138">
        <f>'Cap Outlay Deprec 26'!C13</f>
        <v>676432</v>
      </c>
      <c r="D2012" s="2" t="str">
        <f t="shared" si="30"/>
        <v>Error?</v>
      </c>
    </row>
    <row r="2013" spans="1:4" x14ac:dyDescent="0.2">
      <c r="A2013" s="5">
        <v>1952</v>
      </c>
      <c r="B2013" s="138">
        <f>'Cap Outlay Deprec 26'!C16</f>
        <v>8482049</v>
      </c>
      <c r="C2013" s="2" t="s">
        <v>594</v>
      </c>
      <c r="D2013" s="2" t="str">
        <f t="shared" si="30"/>
        <v>Error?</v>
      </c>
    </row>
    <row r="2014" spans="1:4" x14ac:dyDescent="0.2">
      <c r="A2014" s="5">
        <v>1953</v>
      </c>
      <c r="B2014" s="138">
        <f>'Cap Outlay Deprec 26'!D5</f>
        <v>34257</v>
      </c>
      <c r="D2014" s="2" t="str">
        <f t="shared" si="30"/>
        <v>Error?</v>
      </c>
    </row>
    <row r="2015" spans="1:4" x14ac:dyDescent="0.2">
      <c r="A2015" s="5">
        <v>1954</v>
      </c>
      <c r="B2015" s="138">
        <f>'Cap Outlay Deprec 26'!D8</f>
        <v>631414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33950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765064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199292</v>
      </c>
      <c r="C2025" s="2" t="s">
        <v>594</v>
      </c>
      <c r="D2025" s="2" t="str">
        <f t="shared" si="30"/>
        <v>Error?</v>
      </c>
    </row>
    <row r="2026" spans="1:4" x14ac:dyDescent="0.2">
      <c r="A2026" s="5">
        <v>1965</v>
      </c>
      <c r="B2026" s="138">
        <f>'Cap Outlay Deprec 26'!F5</f>
        <v>299522</v>
      </c>
      <c r="C2026" s="2" t="s">
        <v>594</v>
      </c>
      <c r="D2026" s="2" t="str">
        <f t="shared" si="30"/>
        <v>Error?</v>
      </c>
    </row>
    <row r="2027" spans="1:4" x14ac:dyDescent="0.2">
      <c r="A2027" s="5">
        <v>1966</v>
      </c>
      <c r="B2027" s="138">
        <f>'Cap Outlay Deprec 26'!F8</f>
        <v>6144428</v>
      </c>
      <c r="C2027" s="2" t="s">
        <v>594</v>
      </c>
      <c r="D2027" s="2" t="str">
        <f t="shared" si="30"/>
        <v>Error?</v>
      </c>
    </row>
    <row r="2028" spans="1:4" x14ac:dyDescent="0.2">
      <c r="A2028" s="5">
        <v>1967</v>
      </c>
      <c r="B2028" s="138">
        <f>'Cap Outlay Deprec 26'!F10</f>
        <v>162131</v>
      </c>
      <c r="C2028" s="2" t="s">
        <v>594</v>
      </c>
      <c r="D2028" s="2" t="str">
        <f t="shared" si="30"/>
        <v>Error?</v>
      </c>
    </row>
    <row r="2029" spans="1:4" x14ac:dyDescent="0.2">
      <c r="A2029" s="5">
        <v>1968</v>
      </c>
      <c r="B2029" s="138">
        <f>'Cap Outlay Deprec 26'!F12</f>
        <v>1525100</v>
      </c>
      <c r="C2029" s="2" t="s">
        <v>594</v>
      </c>
      <c r="D2029" s="2" t="str">
        <f t="shared" si="30"/>
        <v>Error?</v>
      </c>
    </row>
    <row r="2030" spans="1:4" x14ac:dyDescent="0.2">
      <c r="A2030" s="5">
        <v>1969</v>
      </c>
      <c r="B2030" s="138">
        <f>'Cap Outlay Deprec 26'!F13</f>
        <v>676432</v>
      </c>
      <c r="C2030" s="2" t="s">
        <v>594</v>
      </c>
      <c r="D2030" s="2" t="str">
        <f t="shared" si="30"/>
        <v>Error?</v>
      </c>
    </row>
    <row r="2031" spans="1:4" x14ac:dyDescent="0.2">
      <c r="A2031" s="5">
        <v>1970</v>
      </c>
      <c r="B2031" s="138">
        <f>'Cap Outlay Deprec 26'!F16</f>
        <v>9047821</v>
      </c>
      <c r="C2031" s="2" t="s">
        <v>594</v>
      </c>
      <c r="D2031" s="2" t="str">
        <f t="shared" si="30"/>
        <v>Error?</v>
      </c>
    </row>
    <row r="2032" spans="1:4" x14ac:dyDescent="0.2">
      <c r="A2032" s="10">
        <v>1971</v>
      </c>
      <c r="D2032" s="2" t="str">
        <f t="shared" si="30"/>
        <v>OK</v>
      </c>
    </row>
    <row r="2033" spans="1:4" x14ac:dyDescent="0.2">
      <c r="A2033" s="5">
        <v>1972</v>
      </c>
      <c r="B2033" s="138">
        <f>'Cap Outlay Deprec 26'!H8</f>
        <v>1702312</v>
      </c>
      <c r="D2033" s="2" t="str">
        <f t="shared" si="30"/>
        <v>Error?</v>
      </c>
    </row>
    <row r="2034" spans="1:4" x14ac:dyDescent="0.2">
      <c r="A2034" s="5">
        <v>1973</v>
      </c>
      <c r="B2034" s="138">
        <f>'Cap Outlay Deprec 26'!H10</f>
        <v>125373</v>
      </c>
      <c r="D2034" s="2" t="str">
        <f t="shared" si="30"/>
        <v>Error?</v>
      </c>
    </row>
    <row r="2035" spans="1:4" x14ac:dyDescent="0.2">
      <c r="A2035" s="5">
        <v>1974</v>
      </c>
      <c r="B2035" s="138">
        <f>'Cap Outlay Deprec 26'!H12</f>
        <v>1368628</v>
      </c>
      <c r="D2035" s="2" t="str">
        <f t="shared" si="30"/>
        <v>Error?</v>
      </c>
    </row>
    <row r="2036" spans="1:4" x14ac:dyDescent="0.2">
      <c r="A2036" s="5">
        <v>1975</v>
      </c>
      <c r="B2036" s="138">
        <f>'Cap Outlay Deprec 26'!H13</f>
        <v>634665</v>
      </c>
      <c r="D2036" s="2" t="str">
        <f t="shared" si="30"/>
        <v>Error?</v>
      </c>
    </row>
    <row r="2037" spans="1:4" x14ac:dyDescent="0.2">
      <c r="A2037" s="5">
        <v>1976</v>
      </c>
      <c r="B2037" s="138">
        <f>'Cap Outlay Deprec 26'!H16</f>
        <v>3999895</v>
      </c>
      <c r="C2037" s="2" t="s">
        <v>594</v>
      </c>
      <c r="D2037" s="2" t="str">
        <f t="shared" si="30"/>
        <v>Error?</v>
      </c>
    </row>
    <row r="2038" spans="1:4" x14ac:dyDescent="0.2">
      <c r="A2038" s="10">
        <v>1977</v>
      </c>
      <c r="D2038" s="2" t="str">
        <f t="shared" si="30"/>
        <v>OK</v>
      </c>
    </row>
    <row r="2039" spans="1:4" x14ac:dyDescent="0.2">
      <c r="A2039" s="5">
        <v>1978</v>
      </c>
      <c r="B2039" s="138">
        <f>'Cap Outlay Deprec 26'!I8</f>
        <v>122889</v>
      </c>
      <c r="D2039" s="2" t="str">
        <f t="shared" si="30"/>
        <v>Error?</v>
      </c>
    </row>
    <row r="2040" spans="1:4" x14ac:dyDescent="0.2">
      <c r="A2040" s="5">
        <v>1979</v>
      </c>
      <c r="B2040" s="138">
        <f>'Cap Outlay Deprec 26'!I10</f>
        <v>8107</v>
      </c>
      <c r="D2040" s="2" t="str">
        <f t="shared" si="30"/>
        <v>Error?</v>
      </c>
    </row>
    <row r="2041" spans="1:4" x14ac:dyDescent="0.2">
      <c r="A2041" s="5">
        <v>1980</v>
      </c>
      <c r="B2041" s="138">
        <f>'Cap Outlay Deprec 26'!I12</f>
        <v>19591</v>
      </c>
      <c r="D2041" s="2" t="str">
        <f t="shared" si="30"/>
        <v>Error?</v>
      </c>
    </row>
    <row r="2042" spans="1:4" x14ac:dyDescent="0.2">
      <c r="A2042" s="5">
        <v>1981</v>
      </c>
      <c r="B2042" s="138">
        <f>'Cap Outlay Deprec 26'!I13</f>
        <v>25416</v>
      </c>
      <c r="D2042" s="2" t="str">
        <f t="shared" si="30"/>
        <v>Error?</v>
      </c>
    </row>
    <row r="2043" spans="1:4" x14ac:dyDescent="0.2">
      <c r="A2043" s="5">
        <v>1982</v>
      </c>
      <c r="B2043" s="138">
        <f>'Cap Outlay Deprec 26'!I16</f>
        <v>195242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1825201</v>
      </c>
      <c r="C2051" s="2" t="s">
        <v>594</v>
      </c>
      <c r="D2051" s="2" t="str">
        <f t="shared" si="31"/>
        <v>Error?</v>
      </c>
    </row>
    <row r="2052" spans="1:4" x14ac:dyDescent="0.2">
      <c r="A2052" s="5">
        <v>1991</v>
      </c>
      <c r="B2052" s="138">
        <f>'Cap Outlay Deprec 26'!K10</f>
        <v>133480</v>
      </c>
      <c r="C2052" s="2" t="s">
        <v>594</v>
      </c>
      <c r="D2052" s="2" t="str">
        <f t="shared" si="31"/>
        <v>Error?</v>
      </c>
    </row>
    <row r="2053" spans="1:4" x14ac:dyDescent="0.2">
      <c r="A2053" s="5">
        <v>1992</v>
      </c>
      <c r="B2053" s="138">
        <f>'Cap Outlay Deprec 26'!K12</f>
        <v>1388219</v>
      </c>
      <c r="C2053" s="2" t="s">
        <v>594</v>
      </c>
      <c r="D2053" s="2" t="str">
        <f t="shared" si="31"/>
        <v>Error?</v>
      </c>
    </row>
    <row r="2054" spans="1:4" x14ac:dyDescent="0.2">
      <c r="A2054" s="5">
        <v>1993</v>
      </c>
      <c r="B2054" s="138">
        <f>'Cap Outlay Deprec 26'!K13</f>
        <v>660081</v>
      </c>
      <c r="C2054" s="2" t="s">
        <v>594</v>
      </c>
      <c r="D2054" s="2" t="str">
        <f t="shared" si="31"/>
        <v>Error?</v>
      </c>
    </row>
    <row r="2055" spans="1:4" x14ac:dyDescent="0.2">
      <c r="A2055" s="5">
        <v>1994</v>
      </c>
      <c r="B2055" s="138">
        <f>'Cap Outlay Deprec 26'!K16</f>
        <v>4195137</v>
      </c>
      <c r="C2055" s="2" t="s">
        <v>594</v>
      </c>
      <c r="D2055" s="2" t="str">
        <f t="shared" si="31"/>
        <v>Error?</v>
      </c>
    </row>
    <row r="2056" spans="1:4" x14ac:dyDescent="0.2">
      <c r="A2056" s="5">
        <v>1995</v>
      </c>
      <c r="B2056" s="138">
        <f>'Cap Outlay Deprec 26'!L5</f>
        <v>299522</v>
      </c>
      <c r="C2056" s="2" t="s">
        <v>594</v>
      </c>
      <c r="D2056" s="2" t="str">
        <f t="shared" si="31"/>
        <v>Error?</v>
      </c>
    </row>
    <row r="2057" spans="1:4" x14ac:dyDescent="0.2">
      <c r="A2057" s="5">
        <v>1996</v>
      </c>
      <c r="B2057" s="138">
        <f>'Cap Outlay Deprec 26'!L8</f>
        <v>4319227</v>
      </c>
      <c r="C2057" s="2" t="s">
        <v>594</v>
      </c>
      <c r="D2057" s="2" t="str">
        <f t="shared" si="31"/>
        <v>Error?</v>
      </c>
    </row>
    <row r="2058" spans="1:4" x14ac:dyDescent="0.2">
      <c r="A2058" s="5">
        <v>1997</v>
      </c>
      <c r="B2058" s="138">
        <f>'Cap Outlay Deprec 26'!L10</f>
        <v>28651</v>
      </c>
      <c r="C2058" s="2" t="s">
        <v>594</v>
      </c>
      <c r="D2058" s="2" t="str">
        <f t="shared" si="31"/>
        <v>Error?</v>
      </c>
    </row>
    <row r="2059" spans="1:4" x14ac:dyDescent="0.2">
      <c r="A2059" s="5">
        <v>1998</v>
      </c>
      <c r="B2059" s="138">
        <f>'Cap Outlay Deprec 26'!L12</f>
        <v>136881</v>
      </c>
      <c r="C2059" s="2" t="s">
        <v>594</v>
      </c>
      <c r="D2059" s="2" t="str">
        <f t="shared" si="31"/>
        <v>Error?</v>
      </c>
    </row>
    <row r="2060" spans="1:4" x14ac:dyDescent="0.2">
      <c r="A2060" s="5">
        <v>1999</v>
      </c>
      <c r="B2060" s="138">
        <f>'Cap Outlay Deprec 26'!L13</f>
        <v>16351</v>
      </c>
      <c r="C2060" s="2" t="s">
        <v>594</v>
      </c>
      <c r="D2060" s="2" t="str">
        <f t="shared" si="31"/>
        <v>Error?</v>
      </c>
    </row>
    <row r="2061" spans="1:4" x14ac:dyDescent="0.2">
      <c r="A2061" s="5">
        <v>2000</v>
      </c>
      <c r="B2061" s="138">
        <f>'Cap Outlay Deprec 26'!L16</f>
        <v>4852684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272112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272112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16000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82427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64422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2478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1118759</v>
      </c>
      <c r="C2551" s="2" t="s">
        <v>594</v>
      </c>
      <c r="D2551" s="2" t="str">
        <f t="shared" si="38"/>
        <v>Error?</v>
      </c>
    </row>
    <row r="2552" spans="1:4" x14ac:dyDescent="0.2">
      <c r="A2552" s="10">
        <v>2491</v>
      </c>
      <c r="D2552" s="2" t="str">
        <f t="shared" si="38"/>
        <v>OK</v>
      </c>
    </row>
    <row r="2553" spans="1:4" x14ac:dyDescent="0.2">
      <c r="A2553" s="5">
        <v>2492</v>
      </c>
      <c r="B2553" s="138">
        <f>'Acct Summary 7-8'!C6</f>
        <v>3453033</v>
      </c>
      <c r="C2553" s="2" t="s">
        <v>594</v>
      </c>
      <c r="D2553" s="2" t="str">
        <f t="shared" si="38"/>
        <v>Error?</v>
      </c>
    </row>
    <row r="2554" spans="1:4" x14ac:dyDescent="0.2">
      <c r="A2554" s="5">
        <v>2493</v>
      </c>
      <c r="B2554" s="138">
        <f>'Acct Summary 7-8'!C7</f>
        <v>599361</v>
      </c>
      <c r="C2554" s="2" t="s">
        <v>594</v>
      </c>
      <c r="D2554" s="2" t="str">
        <f t="shared" si="38"/>
        <v>Error?</v>
      </c>
    </row>
    <row r="2555" spans="1:4" x14ac:dyDescent="0.2">
      <c r="A2555" s="5">
        <v>2494</v>
      </c>
      <c r="B2555" s="138">
        <f>'Acct Summary 7-8'!C8</f>
        <v>5171153</v>
      </c>
      <c r="C2555" s="2" t="s">
        <v>594</v>
      </c>
      <c r="D2555" s="2" t="str">
        <f t="shared" si="38"/>
        <v>Error?</v>
      </c>
    </row>
    <row r="2556" spans="1:4" x14ac:dyDescent="0.2">
      <c r="A2556" s="5">
        <v>2495</v>
      </c>
      <c r="B2556" s="138">
        <f>'Acct Summary 7-8'!C12</f>
        <v>3360479</v>
      </c>
      <c r="C2556" s="2" t="s">
        <v>594</v>
      </c>
      <c r="D2556" s="2" t="str">
        <f t="shared" si="38"/>
        <v>Error?</v>
      </c>
    </row>
    <row r="2557" spans="1:4" x14ac:dyDescent="0.2">
      <c r="A2557" s="5">
        <v>2496</v>
      </c>
      <c r="B2557" s="138">
        <f>'Acct Summary 7-8'!C13</f>
        <v>1504793</v>
      </c>
      <c r="C2557" s="2" t="s">
        <v>594</v>
      </c>
      <c r="D2557" s="2" t="str">
        <f t="shared" si="38"/>
        <v>Error?</v>
      </c>
    </row>
    <row r="2558" spans="1:4" x14ac:dyDescent="0.2">
      <c r="A2558" s="5">
        <v>2497</v>
      </c>
      <c r="B2558" s="138">
        <f>'Acct Summary 7-8'!C14</f>
        <v>374</v>
      </c>
      <c r="C2558" s="2" t="s">
        <v>594</v>
      </c>
      <c r="D2558" s="2" t="str">
        <f t="shared" si="38"/>
        <v>Error?</v>
      </c>
    </row>
    <row r="2559" spans="1:4" x14ac:dyDescent="0.2">
      <c r="A2559" s="5">
        <v>2498</v>
      </c>
      <c r="B2559" s="138">
        <f>'Acct Summary 7-8'!C15</f>
        <v>272112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5137758</v>
      </c>
      <c r="C2561" s="2" t="s">
        <v>594</v>
      </c>
      <c r="D2561" s="2" t="str">
        <f t="shared" si="39"/>
        <v>Error?</v>
      </c>
    </row>
    <row r="2562" spans="1:4" x14ac:dyDescent="0.2">
      <c r="A2562" s="5">
        <v>2501</v>
      </c>
      <c r="B2562" s="138">
        <f>'Acct Summary 7-8'!C20</f>
        <v>33395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174840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174840</v>
      </c>
      <c r="C2568" s="2" t="s">
        <v>594</v>
      </c>
      <c r="D2568" s="2" t="str">
        <f t="shared" si="39"/>
        <v>Error?</v>
      </c>
    </row>
    <row r="2569" spans="1:4" x14ac:dyDescent="0.2">
      <c r="A2569" s="5">
        <v>2508</v>
      </c>
      <c r="B2569" s="138">
        <f>'Acct Summary 7-8'!D13</f>
        <v>194222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194222</v>
      </c>
      <c r="C2573" s="2" t="s">
        <v>594</v>
      </c>
      <c r="D2573" s="2" t="str">
        <f t="shared" si="39"/>
        <v>Error?</v>
      </c>
    </row>
    <row r="2574" spans="1:4" x14ac:dyDescent="0.2">
      <c r="A2574" s="5">
        <v>2513</v>
      </c>
      <c r="B2574" s="138">
        <f>'Acct Summary 7-8'!D20</f>
        <v>-19382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87331</v>
      </c>
      <c r="C2591" s="2" t="s">
        <v>594</v>
      </c>
      <c r="D2591" s="2" t="str">
        <f t="shared" si="39"/>
        <v>Error?</v>
      </c>
    </row>
    <row r="2592" spans="1:4" x14ac:dyDescent="0.2">
      <c r="A2592" s="10">
        <v>2531</v>
      </c>
      <c r="D2592" s="2" t="str">
        <f t="shared" si="39"/>
        <v>OK</v>
      </c>
    </row>
    <row r="2593" spans="1:4" x14ac:dyDescent="0.2">
      <c r="A2593" s="5">
        <v>2532</v>
      </c>
      <c r="B2593" s="138">
        <f>'Acct Summary 7-8'!F6</f>
        <v>99071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186402</v>
      </c>
      <c r="C2595" s="2" t="s">
        <v>594</v>
      </c>
      <c r="D2595" s="2" t="str">
        <f t="shared" si="39"/>
        <v>Error?</v>
      </c>
    </row>
    <row r="2596" spans="1:4" x14ac:dyDescent="0.2">
      <c r="A2596" s="5">
        <v>2535</v>
      </c>
      <c r="B2596" s="138">
        <f>'Acct Summary 7-8'!F13</f>
        <v>142791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142791</v>
      </c>
      <c r="C2600" s="2" t="s">
        <v>594</v>
      </c>
      <c r="D2600" s="2" t="str">
        <f t="shared" si="39"/>
        <v>Error?</v>
      </c>
    </row>
    <row r="2601" spans="1:4" x14ac:dyDescent="0.2">
      <c r="A2601" s="5">
        <v>2540</v>
      </c>
      <c r="B2601" s="138">
        <f>'Acct Summary 7-8'!F20</f>
        <v>43611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166768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166768</v>
      </c>
      <c r="C2606" s="2" t="s">
        <v>594</v>
      </c>
      <c r="D2606" s="2" t="str">
        <f t="shared" si="39"/>
        <v>Error?</v>
      </c>
    </row>
    <row r="2607" spans="1:4" x14ac:dyDescent="0.2">
      <c r="A2607" s="5">
        <v>2546</v>
      </c>
      <c r="B2607" s="138">
        <f>'Acct Summary 7-8'!G12</f>
        <v>69172</v>
      </c>
      <c r="C2607" s="2" t="s">
        <v>594</v>
      </c>
      <c r="D2607" s="2" t="str">
        <f t="shared" si="39"/>
        <v>Error?</v>
      </c>
    </row>
    <row r="2608" spans="1:4" x14ac:dyDescent="0.2">
      <c r="A2608" s="5">
        <v>2547</v>
      </c>
      <c r="B2608" s="138">
        <f>'Acct Summary 7-8'!G13</f>
        <v>144321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213493</v>
      </c>
      <c r="C2612" s="2" t="s">
        <v>594</v>
      </c>
      <c r="D2612" s="2" t="str">
        <f t="shared" si="39"/>
        <v>Error?</v>
      </c>
    </row>
    <row r="2613" spans="1:4" x14ac:dyDescent="0.2">
      <c r="A2613" s="5">
        <v>2552</v>
      </c>
      <c r="B2613" s="138">
        <f>'Acct Summary 7-8'!G20</f>
        <v>-46725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304012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304012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330192</v>
      </c>
      <c r="C2634" s="2" t="s">
        <v>594</v>
      </c>
      <c r="D2634" s="2" t="str">
        <f t="shared" si="40"/>
        <v>Error?</v>
      </c>
    </row>
    <row r="2635" spans="1:4" x14ac:dyDescent="0.2">
      <c r="A2635" s="5">
        <v>2574</v>
      </c>
      <c r="B2635" s="138">
        <f>'Acct Summary 7-8'!E17</f>
        <v>330192</v>
      </c>
      <c r="C2635" s="2" t="s">
        <v>594</v>
      </c>
      <c r="D2635" s="2" t="str">
        <f t="shared" si="40"/>
        <v>Error?</v>
      </c>
    </row>
    <row r="2636" spans="1:4" x14ac:dyDescent="0.2">
      <c r="A2636" s="5">
        <v>2575</v>
      </c>
      <c r="B2636" s="138">
        <f>'Acct Summary 7-8'!E20</f>
        <v>-26180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106</v>
      </c>
      <c r="C2658" s="2" t="s">
        <v>594</v>
      </c>
      <c r="D2658" s="2" t="str">
        <f t="shared" si="40"/>
        <v>Error?</v>
      </c>
    </row>
    <row r="2659" spans="1:4" x14ac:dyDescent="0.2">
      <c r="A2659" s="5">
        <v>2598</v>
      </c>
      <c r="B2659" s="138">
        <f>'Acct Summary 7-8'!H13</f>
        <v>440172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440172</v>
      </c>
      <c r="C2661" s="2" t="s">
        <v>594</v>
      </c>
      <c r="D2661" s="2" t="str">
        <f t="shared" si="40"/>
        <v>Error?</v>
      </c>
    </row>
    <row r="2662" spans="1:4" x14ac:dyDescent="0.2">
      <c r="A2662" s="5">
        <v>2601</v>
      </c>
      <c r="B2662" s="138">
        <f>'Acct Summary 7-8'!H20</f>
        <v>-440066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24020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740000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2045645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79998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2045645</v>
      </c>
      <c r="D2912" s="2" t="str">
        <f t="shared" si="44"/>
        <v>Error?</v>
      </c>
    </row>
    <row r="2913" spans="1:4" x14ac:dyDescent="0.2">
      <c r="A2913" s="5">
        <v>2852</v>
      </c>
      <c r="B2913" s="138">
        <f>'Assets-Liab 5-6'!I41</f>
        <v>2045645</v>
      </c>
      <c r="C2913" s="2" t="s">
        <v>594</v>
      </c>
      <c r="D2913" s="2" t="str">
        <f t="shared" si="44"/>
        <v>Error?</v>
      </c>
    </row>
    <row r="2914" spans="1:4" x14ac:dyDescent="0.2">
      <c r="A2914" s="5">
        <v>2853</v>
      </c>
      <c r="B2914" s="138">
        <f>'Assets-Liab 5-6'!L33</f>
        <v>79998</v>
      </c>
      <c r="D2914" s="2" t="str">
        <f t="shared" si="44"/>
        <v>Error?</v>
      </c>
    </row>
    <row r="2915" spans="1:4" x14ac:dyDescent="0.2">
      <c r="A2915" s="10">
        <v>2854</v>
      </c>
      <c r="D2915" s="2" t="str">
        <f t="shared" si="44"/>
        <v>OK</v>
      </c>
    </row>
    <row r="2916" spans="1:4" x14ac:dyDescent="0.2">
      <c r="A2916" s="5">
        <v>2855</v>
      </c>
      <c r="B2916" s="138">
        <f>'Assets-Liab 5-6'!L34</f>
        <v>79998</v>
      </c>
      <c r="C2916" s="2" t="s">
        <v>594</v>
      </c>
      <c r="D2916" s="2" t="str">
        <f t="shared" si="44"/>
        <v>Error?</v>
      </c>
    </row>
    <row r="2917" spans="1:4" x14ac:dyDescent="0.2">
      <c r="A2917" s="5">
        <v>2856</v>
      </c>
      <c r="B2917" s="138">
        <f>'Assets-Liab 5-6'!L41</f>
        <v>79998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272112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272112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161116</v>
      </c>
      <c r="D3055" s="2" t="str">
        <f t="shared" si="46"/>
        <v>Error?</v>
      </c>
    </row>
    <row r="3056" spans="1:4" x14ac:dyDescent="0.2">
      <c r="A3056" s="5">
        <v>2995</v>
      </c>
      <c r="B3056" s="138">
        <f>'Expenditures 15-22'!D10</f>
        <v>35418</v>
      </c>
      <c r="D3056" s="2" t="str">
        <f t="shared" si="46"/>
        <v>Error?</v>
      </c>
    </row>
    <row r="3057" spans="1:4" x14ac:dyDescent="0.2">
      <c r="A3057" s="5">
        <v>2996</v>
      </c>
      <c r="B3057" s="138">
        <f>'Expenditures 15-22'!E10</f>
        <v>10902</v>
      </c>
      <c r="D3057" s="2" t="str">
        <f t="shared" si="46"/>
        <v>Error?</v>
      </c>
    </row>
    <row r="3058" spans="1:4" x14ac:dyDescent="0.2">
      <c r="A3058" s="5">
        <v>2997</v>
      </c>
      <c r="B3058" s="138">
        <f>'Expenditures 15-22'!F10</f>
        <v>10009</v>
      </c>
      <c r="D3058" s="2" t="str">
        <f t="shared" si="46"/>
        <v>Error?</v>
      </c>
    </row>
    <row r="3059" spans="1:4" x14ac:dyDescent="0.2">
      <c r="A3059" s="5">
        <v>2998</v>
      </c>
      <c r="B3059" s="138">
        <f>'Expenditures 15-22'!G10</f>
        <v>33664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251109</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37897</v>
      </c>
      <c r="C3225" s="2" t="s">
        <v>594</v>
      </c>
      <c r="D3225" s="2" t="str">
        <f t="shared" si="49"/>
        <v>Error?</v>
      </c>
    </row>
    <row r="3226" spans="1:4" x14ac:dyDescent="0.2">
      <c r="A3226" s="5">
        <v>3165</v>
      </c>
      <c r="B3226" s="138">
        <f>'Acct Summary 7-8'!I8</f>
        <v>37897</v>
      </c>
      <c r="C3226" s="2" t="s">
        <v>594</v>
      </c>
      <c r="D3226" s="2" t="str">
        <f t="shared" si="49"/>
        <v>Error?</v>
      </c>
    </row>
    <row r="3227" spans="1:4" x14ac:dyDescent="0.2">
      <c r="A3227" s="5">
        <v>3166</v>
      </c>
      <c r="B3227" s="138">
        <f>'Acct Summary 7-8'!I20</f>
        <v>37897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88000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40433</v>
      </c>
      <c r="C3231" s="2" t="s">
        <v>594</v>
      </c>
      <c r="D3231" s="2" t="str">
        <f t="shared" si="49"/>
        <v>Error?</v>
      </c>
    </row>
    <row r="3232" spans="1:4" x14ac:dyDescent="0.2">
      <c r="A3232" s="5">
        <v>3171</v>
      </c>
      <c r="B3232" s="138">
        <f>'Acct Summary 7-8'!C77</f>
        <v>47567</v>
      </c>
      <c r="C3232" s="2" t="s">
        <v>594</v>
      </c>
      <c r="D3232" s="2" t="str">
        <f t="shared" si="49"/>
        <v>Error?</v>
      </c>
    </row>
    <row r="3233" spans="1:4" x14ac:dyDescent="0.2">
      <c r="A3233" s="5">
        <v>3172</v>
      </c>
      <c r="B3233" s="138">
        <f>'Acct Summary 7-8'!C78</f>
        <v>80962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128311</v>
      </c>
      <c r="C3237" s="2" t="s">
        <v>594</v>
      </c>
      <c r="D3237" s="2" t="str">
        <f t="shared" si="49"/>
        <v>Error?</v>
      </c>
    </row>
    <row r="3238" spans="1:4" x14ac:dyDescent="0.2">
      <c r="A3238" s="5">
        <v>3177</v>
      </c>
      <c r="B3238" s="138">
        <f>'Acct Summary 7-8'!D77</f>
        <v>-128311</v>
      </c>
      <c r="C3238" s="2" t="s">
        <v>594</v>
      </c>
      <c r="D3238" s="2" t="str">
        <f t="shared" si="49"/>
        <v>Error?</v>
      </c>
    </row>
    <row r="3239" spans="1:4" x14ac:dyDescent="0.2">
      <c r="A3239" s="5">
        <v>3178</v>
      </c>
      <c r="B3239" s="138">
        <f>'Acct Summary 7-8'!D78</f>
        <v>-147693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43611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-46725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-26180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80744</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80744</v>
      </c>
      <c r="C3299" s="2" t="s">
        <v>594</v>
      </c>
      <c r="D3299" s="2" t="str">
        <f t="shared" si="50"/>
        <v>Error?</v>
      </c>
    </row>
    <row r="3300" spans="1:4" x14ac:dyDescent="0.2">
      <c r="A3300" s="5">
        <v>3239</v>
      </c>
      <c r="B3300" s="138">
        <f>'Acct Summary 7-8'!H78</f>
        <v>-359322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740000</v>
      </c>
      <c r="C3317" s="2" t="s">
        <v>594</v>
      </c>
      <c r="D3317" s="2" t="str">
        <f t="shared" si="50"/>
        <v>Error?</v>
      </c>
    </row>
    <row r="3318" spans="1:4" x14ac:dyDescent="0.2">
      <c r="A3318" s="5">
        <v>3257</v>
      </c>
      <c r="B3318" s="138">
        <f>'Acct Summary 7-8'!I76</f>
        <v>29900</v>
      </c>
      <c r="C3318" s="2" t="s">
        <v>594</v>
      </c>
      <c r="D3318" s="2" t="str">
        <f t="shared" si="50"/>
        <v>Error?</v>
      </c>
    </row>
    <row r="3319" spans="1:4" x14ac:dyDescent="0.2">
      <c r="A3319" s="5">
        <v>3258</v>
      </c>
      <c r="B3319" s="138">
        <f>'Acct Summary 7-8'!I77</f>
        <v>710100</v>
      </c>
      <c r="C3319" s="2" t="s">
        <v>594</v>
      </c>
      <c r="D3319" s="2" t="str">
        <f t="shared" si="50"/>
        <v>Error?</v>
      </c>
    </row>
    <row r="3320" spans="1:4" x14ac:dyDescent="0.2">
      <c r="A3320" s="5">
        <v>3259</v>
      </c>
      <c r="B3320" s="138">
        <f>'Acct Summary 7-8'!I78</f>
        <v>747997</v>
      </c>
      <c r="C3320" s="2" t="s">
        <v>594</v>
      </c>
      <c r="D3320" s="2" t="str">
        <f t="shared" si="50"/>
        <v>Error?</v>
      </c>
    </row>
    <row r="3321" spans="1:4" x14ac:dyDescent="0.2">
      <c r="A3321" s="5">
        <v>3260</v>
      </c>
      <c r="B3321" s="138">
        <f>'Acct Summary 7-8'!I79</f>
        <v>1297648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2045645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523281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85393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77496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686571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26374</v>
      </c>
      <c r="D3387" s="2" t="str">
        <f t="shared" si="51"/>
        <v>Error?</v>
      </c>
    </row>
    <row r="3388" spans="1:4" x14ac:dyDescent="0.2">
      <c r="A3388" s="5">
        <v>3327</v>
      </c>
      <c r="B3388" s="138">
        <f>'Expenditures 15-22'!D217</f>
        <v>39251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26374</v>
      </c>
      <c r="C3390" s="2" t="s">
        <v>594</v>
      </c>
      <c r="D3390" s="2" t="str">
        <f t="shared" si="51"/>
        <v>Error?</v>
      </c>
    </row>
    <row r="3391" spans="1:4" x14ac:dyDescent="0.2">
      <c r="A3391" s="5">
        <v>3330</v>
      </c>
      <c r="B3391" s="138">
        <f>'Expenditures 15-22'!K217</f>
        <v>39251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385911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97271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64422</v>
      </c>
      <c r="D3417" s="2" t="str">
        <f t="shared" si="52"/>
        <v>Error?</v>
      </c>
    </row>
    <row r="3418" spans="1:4" x14ac:dyDescent="0.2">
      <c r="A3418" s="10">
        <v>3357</v>
      </c>
      <c r="D3418" s="2" t="str">
        <f t="shared" si="52"/>
        <v>OK</v>
      </c>
    </row>
    <row r="3419" spans="1:4" x14ac:dyDescent="0.2">
      <c r="A3419" s="5">
        <v>3358</v>
      </c>
      <c r="B3419" s="138">
        <f>'Assets-Liab 5-6'!F4</f>
        <v>222782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82427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2478</v>
      </c>
      <c r="D3425" s="2" t="str">
        <f t="shared" si="52"/>
        <v>Error?</v>
      </c>
    </row>
    <row r="3426" spans="1:4" x14ac:dyDescent="0.2">
      <c r="A3426" s="10">
        <v>3365</v>
      </c>
      <c r="D3426" s="2" t="str">
        <f t="shared" si="52"/>
        <v>OK</v>
      </c>
    </row>
    <row r="3427" spans="1:4" x14ac:dyDescent="0.2">
      <c r="A3427" s="5">
        <v>3366</v>
      </c>
      <c r="B3427" s="138">
        <f>'Assets-Liab 5-6'!I4</f>
        <v>1305645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79998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71577</v>
      </c>
      <c r="C3446" s="2" t="s">
        <v>594</v>
      </c>
      <c r="D3446" s="2" t="str">
        <f t="shared" si="52"/>
        <v>Error?</v>
      </c>
    </row>
    <row r="3447" spans="1:4" x14ac:dyDescent="0.2">
      <c r="A3447" s="5">
        <v>3386</v>
      </c>
      <c r="B3447" s="138">
        <f>'Tax Sched 23'!D16</f>
        <v>71577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78813</v>
      </c>
      <c r="C3449" s="2" t="s">
        <v>594</v>
      </c>
      <c r="D3449" s="2" t="str">
        <f t="shared" si="52"/>
        <v>Error?</v>
      </c>
    </row>
    <row r="3450" spans="1:4" x14ac:dyDescent="0.2">
      <c r="A3450" s="5">
        <v>3389</v>
      </c>
      <c r="B3450" s="138">
        <f>'Tax Sched 23'!E16</f>
        <v>78813</v>
      </c>
      <c r="D3450" s="2" t="str">
        <f t="shared" si="52"/>
        <v>Error?</v>
      </c>
    </row>
    <row r="3451" spans="1:4" x14ac:dyDescent="0.2">
      <c r="A3451" s="5">
        <v>3390</v>
      </c>
      <c r="B3451" s="138">
        <f>'Cap Outlay Deprec 26'!C15</f>
        <v>199292</v>
      </c>
      <c r="D3451" s="2" t="str">
        <f t="shared" si="52"/>
        <v>Error?</v>
      </c>
    </row>
    <row r="3452" spans="1:4" x14ac:dyDescent="0.2">
      <c r="A3452" s="5">
        <v>3391</v>
      </c>
      <c r="B3452" s="138">
        <f>'Cap Outlay Deprec 26'!D15</f>
        <v>24020</v>
      </c>
      <c r="D3452" s="2" t="str">
        <f t="shared" si="52"/>
        <v>Error?</v>
      </c>
    </row>
    <row r="3453" spans="1:4" x14ac:dyDescent="0.2">
      <c r="A3453" s="5">
        <v>3392</v>
      </c>
      <c r="B3453" s="138">
        <f>'Cap Outlay Deprec 26'!E15</f>
        <v>199292</v>
      </c>
      <c r="D3453" s="2" t="str">
        <f t="shared" si="52"/>
        <v>Error?</v>
      </c>
    </row>
    <row r="3454" spans="1:4" x14ac:dyDescent="0.2">
      <c r="A3454" s="5">
        <v>3393</v>
      </c>
      <c r="B3454" s="138">
        <f>'Cap Outlay Deprec 26'!F15</f>
        <v>24020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24020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276034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276034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276034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276034</v>
      </c>
      <c r="C3568" s="2" t="s">
        <v>594</v>
      </c>
      <c r="D3568" s="2" t="str">
        <f t="shared" si="54"/>
        <v>Error?</v>
      </c>
    </row>
    <row r="3569" spans="1:4" x14ac:dyDescent="0.2">
      <c r="A3569" s="5">
        <v>3508</v>
      </c>
      <c r="B3569" s="138">
        <f>'Acct Summary 7-8'!K4</f>
        <v>40388</v>
      </c>
      <c r="C3569" s="2" t="s">
        <v>594</v>
      </c>
      <c r="D3569" s="2" t="str">
        <f t="shared" si="54"/>
        <v>Error?</v>
      </c>
    </row>
    <row r="3570" spans="1:4" x14ac:dyDescent="0.2">
      <c r="A3570" s="5">
        <v>3509</v>
      </c>
      <c r="B3570" s="138">
        <f>'Acct Summary 7-8'!K6</f>
        <v>88000</v>
      </c>
      <c r="C3570" s="2" t="s">
        <v>594</v>
      </c>
      <c r="D3570" s="2" t="str">
        <f t="shared" si="54"/>
        <v>Error?</v>
      </c>
    </row>
    <row r="3571" spans="1:4" x14ac:dyDescent="0.2">
      <c r="A3571" s="5">
        <v>3510</v>
      </c>
      <c r="B3571" s="138">
        <f>'Acct Summary 7-8'!K8</f>
        <v>128388</v>
      </c>
      <c r="C3571" s="2" t="s">
        <v>594</v>
      </c>
      <c r="D3571" s="2" t="str">
        <f t="shared" si="54"/>
        <v>Error?</v>
      </c>
    </row>
    <row r="3572" spans="1:4" x14ac:dyDescent="0.2">
      <c r="A3572" s="5">
        <v>3511</v>
      </c>
      <c r="B3572" s="138">
        <f>'Acct Summary 7-8'!K13</f>
        <v>69589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69589</v>
      </c>
      <c r="C3575" s="2" t="s">
        <v>594</v>
      </c>
      <c r="D3575" s="2" t="str">
        <f t="shared" si="54"/>
        <v>Error?</v>
      </c>
    </row>
    <row r="3576" spans="1:4" x14ac:dyDescent="0.2">
      <c r="A3576" s="5">
        <v>3515</v>
      </c>
      <c r="B3576" s="138">
        <f>'Acct Summary 7-8'!K20</f>
        <v>58799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58799</v>
      </c>
      <c r="C3588" s="2" t="s">
        <v>594</v>
      </c>
      <c r="D3588" s="2" t="str">
        <f t="shared" si="55"/>
        <v>Error?</v>
      </c>
    </row>
    <row r="3589" spans="1:4" x14ac:dyDescent="0.2">
      <c r="A3589" s="5">
        <v>3528</v>
      </c>
      <c r="B3589" s="138">
        <f>'Acct Summary 7-8'!K79</f>
        <v>217235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276034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21369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21369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21369</v>
      </c>
      <c r="C3635" s="2" t="s">
        <v>594</v>
      </c>
      <c r="D3635" s="2" t="str">
        <f t="shared" si="55"/>
        <v>Error?</v>
      </c>
    </row>
    <row r="3636" spans="1:4" x14ac:dyDescent="0.2">
      <c r="A3636" s="5">
        <v>3575</v>
      </c>
      <c r="B3636" s="138">
        <f>'Expenditures 15-22'!E367</f>
        <v>21369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48220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48220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48220</v>
      </c>
      <c r="C3649" s="2" t="s">
        <v>594</v>
      </c>
      <c r="D3649" s="2" t="str">
        <f t="shared" si="56"/>
        <v>Error?</v>
      </c>
    </row>
    <row r="3650" spans="1:4" x14ac:dyDescent="0.2">
      <c r="A3650" s="5">
        <v>3589</v>
      </c>
      <c r="B3650" s="138">
        <f>'Expenditures 15-22'!G367</f>
        <v>48220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69589</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69589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69589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69589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58799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317230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2167619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7338772</v>
      </c>
      <c r="C4122" s="2" t="s">
        <v>594</v>
      </c>
      <c r="D4122" s="2" t="str">
        <f t="shared" si="63"/>
        <v>Error?</v>
      </c>
    </row>
    <row r="4123" spans="1:4" x14ac:dyDescent="0.2">
      <c r="A4123" s="5">
        <v>4062</v>
      </c>
      <c r="B4123" s="138">
        <f>'Acct Summary 7-8'!D10</f>
        <v>174840</v>
      </c>
      <c r="C4123" s="2" t="s">
        <v>594</v>
      </c>
      <c r="D4123" s="2" t="str">
        <f t="shared" si="63"/>
        <v>Error?</v>
      </c>
    </row>
    <row r="4124" spans="1:4" x14ac:dyDescent="0.2">
      <c r="A4124" s="5">
        <v>4063</v>
      </c>
      <c r="B4124" s="138">
        <f>'Acct Summary 7-8'!E10</f>
        <v>304012</v>
      </c>
      <c r="C4124" s="2" t="s">
        <v>594</v>
      </c>
      <c r="D4124" s="2" t="str">
        <f t="shared" si="63"/>
        <v>Error?</v>
      </c>
    </row>
    <row r="4125" spans="1:4" x14ac:dyDescent="0.2">
      <c r="A4125" s="5">
        <v>4064</v>
      </c>
      <c r="B4125" s="138">
        <f>'Acct Summary 7-8'!F10</f>
        <v>186402</v>
      </c>
      <c r="C4125" s="2" t="s">
        <v>594</v>
      </c>
      <c r="D4125" s="2" t="str">
        <f t="shared" si="63"/>
        <v>Error?</v>
      </c>
    </row>
    <row r="4126" spans="1:4" x14ac:dyDescent="0.2">
      <c r="A4126" s="5">
        <v>4065</v>
      </c>
      <c r="B4126" s="138">
        <f>'Acct Summary 7-8'!G10</f>
        <v>166768</v>
      </c>
      <c r="C4126" s="2" t="s">
        <v>594</v>
      </c>
      <c r="D4126" s="2" t="str">
        <f t="shared" si="63"/>
        <v>Error?</v>
      </c>
    </row>
    <row r="4127" spans="1:4" x14ac:dyDescent="0.2">
      <c r="A4127" s="5">
        <v>4066</v>
      </c>
      <c r="B4127" s="138">
        <f>'Acct Summary 7-8'!H10</f>
        <v>106</v>
      </c>
      <c r="C4127" s="2" t="s">
        <v>594</v>
      </c>
      <c r="D4127" s="2" t="str">
        <f t="shared" si="63"/>
        <v>Error?</v>
      </c>
    </row>
    <row r="4128" spans="1:4" x14ac:dyDescent="0.2">
      <c r="A4128" s="5">
        <v>4067</v>
      </c>
      <c r="B4128" s="138">
        <f>'Acct Summary 7-8'!I10</f>
        <v>37897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128388</v>
      </c>
      <c r="C4130" s="2" t="s">
        <v>594</v>
      </c>
      <c r="D4130" s="2" t="str">
        <f t="shared" si="63"/>
        <v>Error?</v>
      </c>
    </row>
    <row r="4131" spans="1:4" x14ac:dyDescent="0.2">
      <c r="A4131" s="5">
        <v>4070</v>
      </c>
      <c r="B4131" s="138">
        <f>'Acct Summary 7-8'!C18</f>
        <v>2167619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7305377</v>
      </c>
      <c r="C4136" s="2" t="s">
        <v>594</v>
      </c>
      <c r="D4136" s="2" t="str">
        <f t="shared" si="63"/>
        <v>Error?</v>
      </c>
    </row>
    <row r="4137" spans="1:4" x14ac:dyDescent="0.2">
      <c r="A4137" s="5">
        <v>4076</v>
      </c>
      <c r="B4137" s="138">
        <f>'Acct Summary 7-8'!D19</f>
        <v>194222</v>
      </c>
      <c r="C4137" s="2" t="s">
        <v>594</v>
      </c>
      <c r="D4137" s="2" t="str">
        <f t="shared" si="63"/>
        <v>Error?</v>
      </c>
    </row>
    <row r="4138" spans="1:4" x14ac:dyDescent="0.2">
      <c r="A4138" s="5">
        <v>4077</v>
      </c>
      <c r="B4138" s="138">
        <f>'Acct Summary 7-8'!E19</f>
        <v>330192</v>
      </c>
      <c r="C4138" s="2" t="s">
        <v>594</v>
      </c>
      <c r="D4138" s="2" t="str">
        <f t="shared" si="63"/>
        <v>Error?</v>
      </c>
    </row>
    <row r="4139" spans="1:4" x14ac:dyDescent="0.2">
      <c r="A4139" s="5">
        <v>4078</v>
      </c>
      <c r="B4139" s="138">
        <f>'Acct Summary 7-8'!F19</f>
        <v>142791</v>
      </c>
      <c r="C4139" s="2" t="s">
        <v>594</v>
      </c>
      <c r="D4139" s="2" t="str">
        <f t="shared" si="63"/>
        <v>Error?</v>
      </c>
    </row>
    <row r="4140" spans="1:4" x14ac:dyDescent="0.2">
      <c r="A4140" s="5">
        <v>4079</v>
      </c>
      <c r="B4140" s="138">
        <f>'Acct Summary 7-8'!G19</f>
        <v>213493</v>
      </c>
      <c r="C4140" s="2" t="s">
        <v>594</v>
      </c>
      <c r="D4140" s="2" t="str">
        <f t="shared" si="63"/>
        <v>Error?</v>
      </c>
    </row>
    <row r="4141" spans="1:4" x14ac:dyDescent="0.2">
      <c r="A4141" s="5">
        <v>4080</v>
      </c>
      <c r="B4141" s="138">
        <f>'Acct Summary 7-8'!H19</f>
        <v>440172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69589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970400</v>
      </c>
      <c r="C4171" s="2" t="s">
        <v>594</v>
      </c>
      <c r="D4171" s="2" t="str">
        <f t="shared" si="64"/>
        <v>Error?</v>
      </c>
    </row>
    <row r="4172" spans="1:4" x14ac:dyDescent="0.2">
      <c r="A4172" s="5">
        <v>4111</v>
      </c>
      <c r="B4172" s="138">
        <f>'Short-Term Long-Term Debt 24'!J49</f>
        <v>905978</v>
      </c>
      <c r="C4172" s="2" t="s">
        <v>594</v>
      </c>
      <c r="D4172" s="2" t="str">
        <f t="shared" si="64"/>
        <v>Error?</v>
      </c>
    </row>
    <row r="4173" spans="1:4" x14ac:dyDescent="0.2">
      <c r="A4173" s="5">
        <v>4112</v>
      </c>
      <c r="B4173" s="138">
        <f>'Short-Term Long-Term Debt 24'!H49</f>
        <v>286000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1160.2600000000002</v>
      </c>
      <c r="C4265" s="2" t="s">
        <v>594</v>
      </c>
      <c r="D4265" s="2" t="str">
        <f t="shared" si="65"/>
        <v>Error?</v>
      </c>
      <c r="E4265" s="128"/>
    </row>
    <row r="4266" spans="1:5" x14ac:dyDescent="0.2">
      <c r="A4266" s="12">
        <v>4205</v>
      </c>
      <c r="B4266" s="138">
        <f>('FP Info 3'!F10)*100000</f>
        <v>224.37999999999997</v>
      </c>
      <c r="C4266" s="2" t="s">
        <v>594</v>
      </c>
      <c r="D4266" s="2" t="str">
        <f t="shared" si="65"/>
        <v>Error?</v>
      </c>
      <c r="E4266" s="128"/>
    </row>
    <row r="4267" spans="1:5" x14ac:dyDescent="0.2">
      <c r="A4267" s="12">
        <v>4206</v>
      </c>
      <c r="B4267" s="138">
        <f>('FP Info 3'!H10)*100000</f>
        <v>109.93</v>
      </c>
      <c r="C4267" s="2" t="s">
        <v>594</v>
      </c>
      <c r="D4267" s="2" t="str">
        <f t="shared" si="65"/>
        <v>Error?</v>
      </c>
      <c r="E4267" s="128"/>
    </row>
    <row r="4268" spans="1:5" x14ac:dyDescent="0.2">
      <c r="A4268" s="12">
        <v>4207</v>
      </c>
      <c r="B4268" s="138">
        <f>('FP Info 3'!J10)*100000</f>
        <v>1495</v>
      </c>
      <c r="C4268" s="2" t="s">
        <v>594</v>
      </c>
      <c r="D4268" s="2" t="str">
        <f t="shared" si="65"/>
        <v>Error?</v>
      </c>
    </row>
    <row r="4269" spans="1:5" x14ac:dyDescent="0.2">
      <c r="A4269" s="12">
        <v>4208</v>
      </c>
      <c r="B4269" s="138">
        <f>'FP Info 3'!J16</f>
        <v>2751609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16173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49103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12866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12866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46.47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7119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40433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86932443</v>
      </c>
      <c r="D4995" s="2" t="str">
        <f t="shared" si="77"/>
        <v>Error?</v>
      </c>
    </row>
    <row r="4996" spans="1:4" x14ac:dyDescent="0.2">
      <c r="A4996" s="12">
        <v>4935</v>
      </c>
      <c r="B4996" s="138">
        <f>'FP Info 3'!H31</f>
        <v>5998338.5670000007</v>
      </c>
      <c r="D4996" s="2" t="str">
        <f t="shared" si="77"/>
        <v>Error?</v>
      </c>
    </row>
    <row r="4997" spans="1:4" x14ac:dyDescent="0.2">
      <c r="A4997" s="12">
        <v>4936</v>
      </c>
      <c r="B4997" s="138">
        <f>'FP Info 3'!H37</f>
        <v>970400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88000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88000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892243</v>
      </c>
      <c r="D5061" s="2" t="str">
        <f t="shared" si="78"/>
        <v>Error?</v>
      </c>
    </row>
    <row r="5062" spans="1:4" x14ac:dyDescent="0.2">
      <c r="A5062" s="10">
        <v>5001</v>
      </c>
      <c r="D5062" s="2" t="str">
        <f t="shared" si="78"/>
        <v>OK</v>
      </c>
    </row>
    <row r="5063" spans="1:4" x14ac:dyDescent="0.2">
      <c r="A5063" s="5">
        <v>5002</v>
      </c>
      <c r="B5063" s="138">
        <f>'Revenues 9-14'!C7</f>
        <v>14316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906559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102949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102949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677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5637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63561</v>
      </c>
      <c r="C5096" s="2" t="s">
        <v>594</v>
      </c>
      <c r="D5096" s="2" t="str">
        <f t="shared" si="78"/>
        <v>Error?</v>
      </c>
    </row>
    <row r="5097" spans="1:4" x14ac:dyDescent="0.2">
      <c r="A5097" s="5">
        <v>5036</v>
      </c>
      <c r="B5097" s="138">
        <f>'Revenues 9-14'!C77</f>
        <v>9468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10038</v>
      </c>
      <c r="C5102" s="2" t="s">
        <v>594</v>
      </c>
      <c r="D5102" s="2" t="str">
        <f t="shared" si="78"/>
        <v>Error?</v>
      </c>
    </row>
    <row r="5103" spans="1:4" x14ac:dyDescent="0.2">
      <c r="A5103" s="5">
        <v>5042</v>
      </c>
      <c r="B5103" s="138">
        <f>'Revenues 9-14'!C84</f>
        <v>8820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8820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8561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1133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9342</v>
      </c>
      <c r="D5119" s="2" t="str">
        <f t="shared" ref="D5119:D5182" si="79">IF(ISBLANK(B5119),"OK",IF(A5119-B5119=0,"OK","Error?"))</f>
        <v>Error?</v>
      </c>
    </row>
    <row r="5120" spans="1:4" x14ac:dyDescent="0.2">
      <c r="A5120" s="5">
        <v>5059</v>
      </c>
      <c r="B5120" s="138">
        <f>'Revenues 9-14'!C108</f>
        <v>26155</v>
      </c>
      <c r="C5120" s="2" t="s">
        <v>594</v>
      </c>
      <c r="D5120" s="2" t="str">
        <f t="shared" si="79"/>
        <v>Error?</v>
      </c>
    </row>
    <row r="5121" spans="1:4" x14ac:dyDescent="0.2">
      <c r="A5121" s="5">
        <v>5060</v>
      </c>
      <c r="B5121" s="138">
        <f>'Revenues 9-14'!C109</f>
        <v>1118759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3139316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3139316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48070</v>
      </c>
      <c r="D5134" s="2" t="str">
        <f t="shared" si="79"/>
        <v>Error?</v>
      </c>
    </row>
    <row r="5135" spans="1:4" x14ac:dyDescent="0.2">
      <c r="A5135" s="5">
        <v>5074</v>
      </c>
      <c r="B5135" s="138">
        <f>'Revenues 9-14'!C126</f>
        <v>51134</v>
      </c>
      <c r="D5135" s="2" t="str">
        <f t="shared" si="79"/>
        <v>Error?</v>
      </c>
    </row>
    <row r="5136" spans="1:4" x14ac:dyDescent="0.2">
      <c r="A5136" s="10">
        <v>5075</v>
      </c>
      <c r="D5136" s="2" t="str">
        <f t="shared" si="79"/>
        <v>OK</v>
      </c>
    </row>
    <row r="5137" spans="1:4" x14ac:dyDescent="0.2">
      <c r="A5137" s="5">
        <v>5076</v>
      </c>
      <c r="B5137" s="138">
        <f>'Revenues 9-14'!C127</f>
        <v>61517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774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161495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3669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148553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313717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3453033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168176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59350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227526</v>
      </c>
      <c r="C5246" s="2" t="s">
        <v>594</v>
      </c>
      <c r="D5246" s="2" t="str">
        <f t="shared" si="80"/>
        <v>Error?</v>
      </c>
    </row>
    <row r="5247" spans="1:4" x14ac:dyDescent="0.2">
      <c r="A5247" s="5">
        <v>5186</v>
      </c>
      <c r="B5247" s="138">
        <f>'Revenues 9-14'!C203</f>
        <v>249994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249994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3266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3266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599361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599361</v>
      </c>
      <c r="C5326" s="2" t="s">
        <v>594</v>
      </c>
      <c r="D5326" s="2" t="str">
        <f t="shared" si="82"/>
        <v>Error?</v>
      </c>
    </row>
    <row r="5327" spans="1:4" x14ac:dyDescent="0.2">
      <c r="A5327" s="5">
        <v>5266</v>
      </c>
      <c r="B5327" s="138">
        <f>'Revenues 9-14'!C275</f>
        <v>5171153</v>
      </c>
      <c r="C5327" s="2" t="s">
        <v>594</v>
      </c>
      <c r="D5327" s="2" t="str">
        <f t="shared" si="82"/>
        <v>Error?</v>
      </c>
    </row>
    <row r="5328" spans="1:4" x14ac:dyDescent="0.2">
      <c r="A5328" s="5">
        <v>5267</v>
      </c>
      <c r="B5328" s="138">
        <f>'Revenues 9-14'!D5</f>
        <v>174453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174453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174840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174840</v>
      </c>
      <c r="C5508" s="2" t="s">
        <v>594</v>
      </c>
      <c r="D5508" s="2" t="str">
        <f t="shared" si="85"/>
        <v>Error?</v>
      </c>
    </row>
    <row r="5509" spans="1:4" x14ac:dyDescent="0.2">
      <c r="A5509" s="5">
        <v>5448</v>
      </c>
      <c r="B5509" s="138">
        <f>'Revenues 9-14'!E5</f>
        <v>303799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303799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213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304012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304012</v>
      </c>
      <c r="C5552" s="2" t="s">
        <v>594</v>
      </c>
      <c r="D5552" s="2" t="str">
        <f t="shared" si="85"/>
        <v>Error?</v>
      </c>
    </row>
    <row r="5553" spans="1:4" x14ac:dyDescent="0.2">
      <c r="A5553" s="5">
        <v>5492</v>
      </c>
      <c r="B5553" s="138">
        <f>'Revenues 9-14'!F5</f>
        <v>84991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84991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363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363</v>
      </c>
      <c r="C5582" s="2" t="s">
        <v>594</v>
      </c>
      <c r="D5582" s="2" t="str">
        <f t="shared" si="86"/>
        <v>Error?</v>
      </c>
    </row>
    <row r="5583" spans="1:4" x14ac:dyDescent="0.2">
      <c r="A5583" s="5">
        <v>5522</v>
      </c>
      <c r="B5583" s="138">
        <f>'Revenues 9-14'!F96</f>
        <v>1977</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1977</v>
      </c>
      <c r="C5587" s="2" t="s">
        <v>594</v>
      </c>
      <c r="D5587" s="2" t="str">
        <f t="shared" si="86"/>
        <v>Error?</v>
      </c>
    </row>
    <row r="5588" spans="1:4" x14ac:dyDescent="0.2">
      <c r="A5588" s="5">
        <v>5527</v>
      </c>
      <c r="B5588" s="138">
        <f>'Revenues 9-14'!F109</f>
        <v>87331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23088</v>
      </c>
      <c r="D5615" s="2" t="str">
        <f t="shared" si="86"/>
        <v>Error?</v>
      </c>
    </row>
    <row r="5616" spans="1:4" x14ac:dyDescent="0.2">
      <c r="A5616" s="10">
        <v>5555</v>
      </c>
      <c r="D5616" s="2" t="str">
        <f t="shared" si="86"/>
        <v>OK</v>
      </c>
    </row>
    <row r="5617" spans="1:4" x14ac:dyDescent="0.2">
      <c r="A5617" s="5">
        <v>5556</v>
      </c>
      <c r="B5617" s="138">
        <f>'Revenues 9-14'!F152</f>
        <v>75983</v>
      </c>
      <c r="D5617" s="2" t="str">
        <f t="shared" si="86"/>
        <v>Error?</v>
      </c>
    </row>
    <row r="5618" spans="1:4" x14ac:dyDescent="0.2">
      <c r="A5618" s="5">
        <v>5557</v>
      </c>
      <c r="B5618" s="138">
        <f>'Revenues 9-14'!F154</f>
        <v>99071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99071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99071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186402</v>
      </c>
      <c r="C5720" s="2" t="s">
        <v>594</v>
      </c>
      <c r="D5720" s="2" t="str">
        <f t="shared" si="88"/>
        <v>Error?</v>
      </c>
    </row>
    <row r="5721" spans="1:4" x14ac:dyDescent="0.2">
      <c r="A5721" s="5">
        <v>5660</v>
      </c>
      <c r="B5721" s="138">
        <f>'Revenues 9-14'!G5</f>
        <v>89469</v>
      </c>
      <c r="D5721" s="2" t="str">
        <f t="shared" si="88"/>
        <v>Error?</v>
      </c>
    </row>
    <row r="5722" spans="1:4" x14ac:dyDescent="0.2">
      <c r="A5722" s="5">
        <v>5661</v>
      </c>
      <c r="B5722" s="138">
        <f>'Revenues 9-14'!G7</f>
        <v>0</v>
      </c>
      <c r="D5722" s="2" t="str">
        <f t="shared" si="88"/>
        <v>Error?</v>
      </c>
    </row>
    <row r="5723" spans="1:4" x14ac:dyDescent="0.2">
      <c r="A5723" s="5">
        <v>5662</v>
      </c>
      <c r="B5723" s="138">
        <f>'Revenues 9-14'!G8</f>
        <v>71577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161046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304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304</v>
      </c>
      <c r="C5733" s="2" t="s">
        <v>594</v>
      </c>
      <c r="D5733" s="2" t="str">
        <f t="shared" si="88"/>
        <v>Error?</v>
      </c>
    </row>
    <row r="5734" spans="1:4" x14ac:dyDescent="0.2">
      <c r="A5734" s="5">
        <v>5673</v>
      </c>
      <c r="B5734" s="138">
        <f>'Revenues 9-14'!G96</f>
        <v>418</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418</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166768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106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106</v>
      </c>
      <c r="C5915" s="2" t="s">
        <v>594</v>
      </c>
      <c r="D5915" s="2" t="str">
        <f t="shared" si="91"/>
        <v>Error?</v>
      </c>
    </row>
    <row r="5916" spans="1:4" x14ac:dyDescent="0.2">
      <c r="A5916" s="5">
        <v>5855</v>
      </c>
      <c r="B5916" s="138">
        <f>'Revenues 9-14'!I5</f>
        <v>35792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35792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2105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37897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35792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35792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359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359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4237</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4237</v>
      </c>
      <c r="C5999" s="2" t="s">
        <v>594</v>
      </c>
      <c r="D5999" s="2" t="str">
        <f t="shared" si="92"/>
        <v>Error?</v>
      </c>
    </row>
    <row r="6000" spans="1:4" x14ac:dyDescent="0.2">
      <c r="A6000" s="5">
        <v>5939</v>
      </c>
      <c r="B6000" s="138">
        <f>'Revenues 9-14'!K117</f>
        <v>88000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88000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88000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128388</v>
      </c>
      <c r="C6023" s="2" t="s">
        <v>594</v>
      </c>
      <c r="D6023" s="2" t="str">
        <f t="shared" si="93"/>
        <v>Error?</v>
      </c>
    </row>
    <row r="6024" spans="1:5" x14ac:dyDescent="0.2">
      <c r="A6024" s="5">
        <v>5963</v>
      </c>
      <c r="B6024" s="138">
        <f>'Revenues 9-14'!G109</f>
        <v>166768</v>
      </c>
      <c r="C6024" s="2" t="s">
        <v>594</v>
      </c>
      <c r="D6024" s="2" t="str">
        <f t="shared" si="93"/>
        <v>Error?</v>
      </c>
    </row>
    <row r="6025" spans="1:5" x14ac:dyDescent="0.2">
      <c r="A6025" s="5">
        <v>5964</v>
      </c>
      <c r="B6025" s="138">
        <f>'Revenues 9-14'!H109</f>
        <v>106</v>
      </c>
      <c r="C6025" s="2" t="s">
        <v>594</v>
      </c>
      <c r="D6025" s="2" t="str">
        <f t="shared" si="93"/>
        <v>Error?</v>
      </c>
    </row>
    <row r="6026" spans="1:5" x14ac:dyDescent="0.2">
      <c r="A6026" s="5">
        <v>5965</v>
      </c>
      <c r="B6026" s="138">
        <f>'Revenues 9-14'!I109</f>
        <v>37897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40388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57924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28669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630.26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429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429</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429</v>
      </c>
      <c r="D6216" s="2" t="str">
        <f t="shared" si="96"/>
        <v>Error?</v>
      </c>
      <c r="E6216" s="2" t="s">
        <v>199</v>
      </c>
    </row>
    <row r="6217" spans="1:5" x14ac:dyDescent="0.2">
      <c r="A6217">
        <v>6156</v>
      </c>
      <c r="B6217" s="138">
        <f>'Assets-Liab 5-6'!J4</f>
        <v>429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62630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62630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62630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78201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78201</v>
      </c>
      <c r="D6229" s="2" t="str">
        <f t="shared" si="96"/>
        <v>Error?</v>
      </c>
      <c r="E6229" s="2" t="s">
        <v>199</v>
      </c>
    </row>
    <row r="6230" spans="1:5" x14ac:dyDescent="0.2">
      <c r="A6230">
        <v>6169</v>
      </c>
      <c r="B6230" s="138">
        <f>'Acct Summary 7-8'!J20</f>
        <v>-15571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16000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13900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16000</v>
      </c>
      <c r="D6262" s="2" t="str">
        <f t="shared" si="96"/>
        <v>Error?</v>
      </c>
      <c r="E6262" s="2" t="s">
        <v>199</v>
      </c>
    </row>
    <row r="6263" spans="1:5" x14ac:dyDescent="0.2">
      <c r="A6263">
        <v>6202</v>
      </c>
      <c r="B6263" s="138">
        <f>'Acct Summary 7-8'!J78</f>
        <v>429</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429</v>
      </c>
      <c r="D6266" s="2" t="str">
        <f t="shared" si="96"/>
        <v>Error?</v>
      </c>
      <c r="E6266" s="2" t="s">
        <v>199</v>
      </c>
    </row>
    <row r="6267" spans="1:5" x14ac:dyDescent="0.2">
      <c r="A6267">
        <v>6206</v>
      </c>
      <c r="B6267" s="138">
        <f>'Acct Summary 7-8'!C82</f>
        <v>80962</v>
      </c>
      <c r="D6267" s="2" t="str">
        <f t="shared" si="96"/>
        <v>Error?</v>
      </c>
      <c r="E6267" s="2" t="s">
        <v>199</v>
      </c>
    </row>
    <row r="6268" spans="1:5" x14ac:dyDescent="0.2">
      <c r="A6268">
        <v>6207</v>
      </c>
      <c r="B6268" s="138">
        <f>'Acct Summary 7-8'!D82</f>
        <v>-147693</v>
      </c>
      <c r="D6268" s="2" t="str">
        <f t="shared" si="96"/>
        <v>Error?</v>
      </c>
      <c r="E6268" s="2" t="s">
        <v>199</v>
      </c>
    </row>
    <row r="6269" spans="1:5" x14ac:dyDescent="0.2">
      <c r="A6269">
        <v>6208</v>
      </c>
      <c r="B6269" s="138">
        <f>'Acct Summary 7-8'!E82</f>
        <v>-26180</v>
      </c>
      <c r="D6269" s="2" t="str">
        <f t="shared" si="96"/>
        <v>Error?</v>
      </c>
      <c r="E6269" s="2" t="s">
        <v>199</v>
      </c>
    </row>
    <row r="6270" spans="1:5" x14ac:dyDescent="0.2">
      <c r="A6270">
        <v>6209</v>
      </c>
      <c r="B6270" s="138">
        <f>'Acct Summary 7-8'!F82</f>
        <v>43611</v>
      </c>
      <c r="D6270" s="2" t="str">
        <f t="shared" si="96"/>
        <v>Error?</v>
      </c>
      <c r="E6270" s="2" t="s">
        <v>199</v>
      </c>
    </row>
    <row r="6271" spans="1:5" x14ac:dyDescent="0.2">
      <c r="A6271">
        <v>6210</v>
      </c>
      <c r="B6271" s="138">
        <f>'Acct Summary 7-8'!G82</f>
        <v>-46725</v>
      </c>
      <c r="D6271" s="2" t="str">
        <f t="shared" ref="D6271:D6334" si="97">IF(ISBLANK(B6271),"OK",IF(A6271-B6271=0,"OK","Error?"))</f>
        <v>Error?</v>
      </c>
      <c r="E6271" s="2" t="s">
        <v>199</v>
      </c>
    </row>
    <row r="6272" spans="1:5" x14ac:dyDescent="0.2">
      <c r="A6272">
        <v>6211</v>
      </c>
      <c r="B6272" s="138">
        <f>'Acct Summary 7-8'!H82</f>
        <v>-359322</v>
      </c>
      <c r="D6272" s="2" t="str">
        <f t="shared" si="97"/>
        <v>Error?</v>
      </c>
      <c r="E6272" s="2" t="s">
        <v>199</v>
      </c>
    </row>
    <row r="6273" spans="1:5" x14ac:dyDescent="0.2">
      <c r="A6273">
        <v>6212</v>
      </c>
      <c r="B6273" s="138">
        <f>'Acct Summary 7-8'!I82</f>
        <v>747997</v>
      </c>
      <c r="D6273" s="2" t="str">
        <f t="shared" si="97"/>
        <v>Error?</v>
      </c>
      <c r="E6273" s="2" t="s">
        <v>199</v>
      </c>
    </row>
    <row r="6274" spans="1:5" x14ac:dyDescent="0.2">
      <c r="A6274">
        <v>6213</v>
      </c>
      <c r="B6274" s="138">
        <f>'Acct Summary 7-8'!J82</f>
        <v>429</v>
      </c>
      <c r="D6274" s="2" t="str">
        <f t="shared" si="97"/>
        <v>Error?</v>
      </c>
      <c r="E6274" s="2" t="s">
        <v>199</v>
      </c>
    </row>
    <row r="6275" spans="1:5" x14ac:dyDescent="0.2">
      <c r="A6275">
        <v>6214</v>
      </c>
      <c r="B6275" s="138">
        <f>'Acct Summary 7-8'!K82</f>
        <v>58799</v>
      </c>
      <c r="D6275" s="2" t="str">
        <f t="shared" si="97"/>
        <v>Error?</v>
      </c>
      <c r="E6275" s="2" t="s">
        <v>199</v>
      </c>
    </row>
    <row r="6276" spans="1:5" x14ac:dyDescent="0.2">
      <c r="A6276">
        <v>6215</v>
      </c>
      <c r="B6276" s="138">
        <f>'Acct Summary 7-8'!C83</f>
        <v>0.2097944862934718</v>
      </c>
      <c r="D6276" s="2" t="str">
        <f t="shared" si="97"/>
        <v>Error?</v>
      </c>
      <c r="E6276" s="2" t="s">
        <v>199</v>
      </c>
    </row>
    <row r="6277" spans="1:5" x14ac:dyDescent="0.2">
      <c r="A6277">
        <v>6216</v>
      </c>
      <c r="B6277" s="138">
        <f>'Acct Summary 7-8'!D83</f>
        <v>-1.5183662139795007</v>
      </c>
      <c r="D6277" s="2" t="str">
        <f t="shared" si="97"/>
        <v>Error?</v>
      </c>
      <c r="E6277" s="2" t="s">
        <v>199</v>
      </c>
    </row>
    <row r="6278" spans="1:5" x14ac:dyDescent="0.2">
      <c r="A6278">
        <v>6217</v>
      </c>
      <c r="B6278" s="138">
        <f>'Acct Summary 7-8'!E83</f>
        <v>-0.40638291266958493</v>
      </c>
      <c r="D6278" s="2" t="str">
        <f t="shared" si="97"/>
        <v>Error?</v>
      </c>
      <c r="E6278" s="2" t="s">
        <v>199</v>
      </c>
    </row>
    <row r="6279" spans="1:5" x14ac:dyDescent="0.2">
      <c r="A6279">
        <v>6218</v>
      </c>
      <c r="B6279" s="138">
        <f>'Acct Summary 7-8'!F83</f>
        <v>0.19575638965446041</v>
      </c>
      <c r="D6279" s="2" t="str">
        <f t="shared" si="97"/>
        <v>Error?</v>
      </c>
      <c r="E6279" s="2" t="s">
        <v>199</v>
      </c>
    </row>
    <row r="6280" spans="1:5" x14ac:dyDescent="0.2">
      <c r="A6280">
        <v>6219</v>
      </c>
      <c r="B6280" s="138">
        <f>'Acct Summary 7-8'!G83</f>
        <v>-0.56686522620015289</v>
      </c>
      <c r="D6280" s="2" t="str">
        <f t="shared" si="97"/>
        <v>Error?</v>
      </c>
      <c r="E6280" s="2" t="s">
        <v>199</v>
      </c>
    </row>
    <row r="6281" spans="1:5" x14ac:dyDescent="0.2">
      <c r="A6281">
        <v>6220</v>
      </c>
      <c r="B6281" s="138">
        <f>'Acct Summary 7-8'!H83</f>
        <v>-145.00484261501211</v>
      </c>
      <c r="D6281" s="2" t="str">
        <f t="shared" si="97"/>
        <v>Error?</v>
      </c>
      <c r="E6281" s="2" t="s">
        <v>199</v>
      </c>
    </row>
    <row r="6282" spans="1:5" x14ac:dyDescent="0.2">
      <c r="A6282">
        <v>6221</v>
      </c>
      <c r="B6282" s="138">
        <f>'Acct Summary 7-8'!I83</f>
        <v>0.36565337583011714</v>
      </c>
      <c r="D6282" s="2" t="str">
        <f t="shared" si="97"/>
        <v>Error?</v>
      </c>
      <c r="E6282" s="2" t="s">
        <v>199</v>
      </c>
    </row>
    <row r="6283" spans="1:5" x14ac:dyDescent="0.2">
      <c r="A6283">
        <v>6222</v>
      </c>
      <c r="B6283" s="138">
        <f>'Acct Summary 7-8'!J83</f>
        <v>1</v>
      </c>
      <c r="D6283" s="2" t="str">
        <f t="shared" si="97"/>
        <v>Error?</v>
      </c>
      <c r="E6283" s="2" t="s">
        <v>199</v>
      </c>
    </row>
    <row r="6284" spans="1:5" x14ac:dyDescent="0.2">
      <c r="A6284">
        <v>6223</v>
      </c>
      <c r="B6284" s="138">
        <f>'Acct Summary 7-8'!K83</f>
        <v>0.21301361426490939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80744</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62630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62630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62630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85045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119758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78201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62630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35869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35869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42332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42332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78201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78201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78201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78201</v>
      </c>
      <c r="D7224" s="2" t="str">
        <f t="shared" si="111"/>
        <v>Error?</v>
      </c>
    </row>
    <row r="7225" spans="1:4" x14ac:dyDescent="0.2">
      <c r="A7225">
        <v>7164</v>
      </c>
      <c r="B7225" s="138">
        <f>'Expenditures 15-22'!K343</f>
        <v>-15571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20425</v>
      </c>
      <c r="D7246" s="2" t="str">
        <f t="shared" si="112"/>
        <v>Error?</v>
      </c>
    </row>
    <row r="7247" spans="1:4" x14ac:dyDescent="0.2">
      <c r="A7247">
        <f t="shared" si="113"/>
        <v>7186</v>
      </c>
      <c r="B7247" s="138">
        <f>'Expenditures 15-22'!E7</f>
        <v>2356</v>
      </c>
      <c r="D7247" s="2" t="str">
        <f t="shared" si="112"/>
        <v>Error?</v>
      </c>
    </row>
    <row r="7248" spans="1:4" x14ac:dyDescent="0.2">
      <c r="A7248">
        <f t="shared" si="113"/>
        <v>7187</v>
      </c>
      <c r="B7248" s="138">
        <f>'Expenditures 15-22'!F7</f>
        <v>9586</v>
      </c>
      <c r="D7248" s="2" t="str">
        <f t="shared" si="112"/>
        <v>Error?</v>
      </c>
    </row>
    <row r="7249" spans="1:4" x14ac:dyDescent="0.2">
      <c r="A7249">
        <f t="shared" si="113"/>
        <v>7188</v>
      </c>
      <c r="B7249" s="138">
        <f>'Expenditures 15-22'!G7</f>
        <v>2346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174765</v>
      </c>
      <c r="D7615" s="2" t="str">
        <f t="shared" ref="D7615:D7678" si="124">IF(ISBLANK(B7615),"OK",IF(A7615-B7615=0,"OK","Error?"))</f>
        <v>Error?</v>
      </c>
      <c r="E7615" s="2" t="s">
        <v>19</v>
      </c>
    </row>
    <row r="7616" spans="1:5" x14ac:dyDescent="0.2">
      <c r="A7616">
        <f t="shared" si="123"/>
        <v>7555</v>
      </c>
      <c r="B7616" s="138">
        <f>'Cap Outlay Deprec 26'!D14</f>
        <v>41423</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216188</v>
      </c>
      <c r="D7618" s="2" t="str">
        <f t="shared" si="124"/>
        <v>Error?</v>
      </c>
      <c r="E7618" s="2" t="s">
        <v>19</v>
      </c>
    </row>
    <row r="7619" spans="1:5" x14ac:dyDescent="0.2">
      <c r="A7619">
        <f t="shared" si="123"/>
        <v>7558</v>
      </c>
      <c r="B7619" s="138">
        <f>'Cap Outlay Deprec 26'!H14</f>
        <v>168917</v>
      </c>
      <c r="D7619" s="2" t="str">
        <f t="shared" si="124"/>
        <v>Error?</v>
      </c>
      <c r="E7619" s="2" t="s">
        <v>19</v>
      </c>
    </row>
    <row r="7620" spans="1:5" x14ac:dyDescent="0.2">
      <c r="A7620">
        <f t="shared" si="123"/>
        <v>7559</v>
      </c>
      <c r="B7620" s="138">
        <f>'Cap Outlay Deprec 26'!I14</f>
        <v>19239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188156</v>
      </c>
      <c r="D7622" s="2" t="str">
        <f t="shared" si="124"/>
        <v>Error?</v>
      </c>
      <c r="E7622" s="2" t="s">
        <v>19</v>
      </c>
    </row>
    <row r="7623" spans="1:5" x14ac:dyDescent="0.2">
      <c r="A7623">
        <f t="shared" si="123"/>
        <v>7562</v>
      </c>
      <c r="B7623" s="138">
        <f>'Cap Outlay Deprec 26'!L14</f>
        <v>28032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195242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40433</v>
      </c>
      <c r="D7681" s="2" t="str">
        <f t="shared" si="126"/>
        <v>Error?</v>
      </c>
      <c r="E7681" s="2" t="s">
        <v>881</v>
      </c>
    </row>
    <row r="7682" spans="1:5" x14ac:dyDescent="0.2">
      <c r="A7682">
        <v>7621</v>
      </c>
      <c r="B7682" s="138">
        <f>'Acct Summary 7-8'!D71</f>
        <v>40311</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14316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16000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Anna CCSD 37</v>
      </c>
      <c r="B7" s="2422"/>
      <c r="C7" s="2422"/>
      <c r="D7" s="2423"/>
      <c r="E7" s="2424">
        <f>COVER!A13</f>
        <v>30091037004</v>
      </c>
      <c r="F7" s="2425"/>
      <c r="G7" s="2431" t="str">
        <f>COVER!T23</f>
        <v>066-005023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BEUSSINK &amp; HICKAM PC</v>
      </c>
      <c r="H9" s="2437"/>
      <c r="I9" s="2437"/>
      <c r="J9" s="2437"/>
      <c r="K9" s="2437"/>
      <c r="L9" s="2438"/>
    </row>
    <row r="10" spans="1:29" ht="13.5" customHeight="1" x14ac:dyDescent="0.2">
      <c r="A10" s="2411" t="str">
        <f>COVER!A38</f>
        <v>CHARLES GOFORTH</v>
      </c>
      <c r="B10" s="2412"/>
      <c r="C10" s="2412"/>
      <c r="D10" s="2412"/>
      <c r="E10" s="2412"/>
      <c r="F10" s="2413"/>
      <c r="G10" s="2405" t="str">
        <f>COVER!T17</f>
        <v>139 W VIENNA ST - PO BOX 556</v>
      </c>
      <c r="H10" s="2406"/>
      <c r="I10" s="2406"/>
      <c r="J10" s="2406"/>
      <c r="K10" s="2406"/>
      <c r="L10" s="2407"/>
    </row>
    <row r="11" spans="1:29" ht="13.5" customHeight="1" x14ac:dyDescent="0.2">
      <c r="A11" s="1185" t="s">
        <v>1599</v>
      </c>
      <c r="B11" s="1186"/>
      <c r="C11" s="1187"/>
      <c r="D11" s="1192"/>
      <c r="E11" s="1187"/>
      <c r="F11" s="1191"/>
      <c r="G11" s="2405" t="str">
        <f>COVER!T19</f>
        <v>ANNA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shickam@frontier.com</v>
      </c>
      <c r="J13" s="2418"/>
      <c r="K13" s="2418"/>
      <c r="L13" s="2419"/>
    </row>
    <row r="14" spans="1:29" ht="13.5" customHeight="1" x14ac:dyDescent="0.2">
      <c r="A14" s="2405" t="str">
        <f>COVER!A19</f>
        <v>301 S GREEN ST</v>
      </c>
      <c r="B14" s="2406"/>
      <c r="C14" s="2406"/>
      <c r="D14" s="2406"/>
      <c r="E14" s="2406"/>
      <c r="F14" s="2407"/>
      <c r="G14" s="1196" t="s">
        <v>1247</v>
      </c>
      <c r="H14" s="1194"/>
      <c r="I14" s="1194"/>
      <c r="J14" s="1194"/>
      <c r="K14" s="1194"/>
      <c r="L14" s="1195"/>
    </row>
    <row r="15" spans="1:29" ht="13.5" customHeight="1" x14ac:dyDescent="0.2">
      <c r="A15" s="2405" t="str">
        <f>COVER!A21</f>
        <v>ANNA</v>
      </c>
      <c r="B15" s="2406"/>
      <c r="C15" s="2406"/>
      <c r="D15" s="2406"/>
      <c r="E15" s="2406"/>
      <c r="F15" s="2407"/>
      <c r="G15" s="2402" t="str">
        <f>COVER!T15</f>
        <v>SCOTT A HICKAM</v>
      </c>
      <c r="H15" s="2403"/>
      <c r="I15" s="2403"/>
      <c r="J15" s="2403"/>
      <c r="K15" s="2403"/>
      <c r="L15" s="2404"/>
    </row>
    <row r="16" spans="1:29" ht="12.2" customHeight="1" x14ac:dyDescent="0.2">
      <c r="A16" s="2427">
        <f>COVER!A25</f>
        <v>62906</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618-833-2721</v>
      </c>
      <c r="H18" s="2422"/>
      <c r="I18" s="2422"/>
      <c r="J18" s="2422"/>
      <c r="K18" s="2421" t="str">
        <f>COVER!X21</f>
        <v>618-833-7077</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Anna CCSD 37</v>
      </c>
      <c r="B1" s="2420"/>
      <c r="C1" s="2420"/>
      <c r="D1" s="2420"/>
    </row>
    <row r="2" spans="1:11" s="1215" customFormat="1" ht="12.75" x14ac:dyDescent="0.2">
      <c r="A2" s="2444">
        <f>'Single Audit Cover'!E7</f>
        <v>30091037004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Anna CCSD 37</v>
      </c>
      <c r="B1" s="2447"/>
      <c r="C1" s="2447"/>
      <c r="D1" s="2447"/>
      <c r="E1" s="2447"/>
    </row>
    <row r="2" spans="1:5" x14ac:dyDescent="0.2">
      <c r="A2" s="2448">
        <f>'Single Audit Cover'!E7</f>
        <v>30091037004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599361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28669</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-49103</v>
      </c>
    </row>
    <row r="19" spans="1:4" ht="13.5" thickBot="1" x14ac:dyDescent="0.25">
      <c r="A19" s="1265" t="s">
        <v>1297</v>
      </c>
      <c r="D19" s="1266">
        <f>SUM(D10:D17)</f>
        <v>578927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578927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578927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Anna CCSD 37</v>
      </c>
      <c r="B1" s="2460"/>
      <c r="C1" s="2460"/>
      <c r="D1" s="2460"/>
      <c r="E1" s="2460"/>
      <c r="F1" s="2460"/>
    </row>
    <row r="2" spans="1:7" ht="13.5" customHeight="1" x14ac:dyDescent="0.2">
      <c r="A2" s="2461">
        <f>'Single Audit Cover'!E7</f>
        <v>30091037004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Anna CCSD 37</v>
      </c>
      <c r="C1" s="2464"/>
      <c r="D1" s="2464"/>
      <c r="E1" s="2464"/>
      <c r="F1" s="2464"/>
      <c r="G1" s="2464"/>
      <c r="H1" s="2464"/>
      <c r="I1" s="2464"/>
      <c r="J1" s="2464"/>
      <c r="K1" s="2464"/>
      <c r="L1" s="2464"/>
      <c r="M1" s="2464"/>
    </row>
    <row r="2" spans="2:14" ht="15" x14ac:dyDescent="0.2">
      <c r="B2" s="2461">
        <f>'Single Audit Cover'!E7</f>
        <v>30091037004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2077</v>
      </c>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2099</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Anna CCSD 37</v>
      </c>
      <c r="C1" s="2479"/>
      <c r="D1" s="2479"/>
      <c r="E1" s="2479"/>
      <c r="F1" s="2479"/>
      <c r="G1" s="2479"/>
      <c r="H1" s="2479"/>
      <c r="I1" s="2479"/>
      <c r="J1" s="1422"/>
    </row>
    <row r="2" spans="2:10" s="317" customFormat="1" ht="12.75" customHeight="1" x14ac:dyDescent="0.2">
      <c r="B2" s="2480">
        <f>'Single Audit Cover'!E7</f>
        <v>30091037004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Anna CCSD 37</v>
      </c>
      <c r="C1" s="2478"/>
      <c r="D1" s="2478"/>
      <c r="E1" s="2478"/>
      <c r="F1" s="2478"/>
      <c r="G1" s="2478"/>
      <c r="H1" s="2478"/>
      <c r="I1" s="2478"/>
      <c r="J1" s="2478"/>
      <c r="K1" s="2478"/>
      <c r="L1" s="1374"/>
      <c r="M1" s="1374"/>
    </row>
    <row r="2" spans="1:13" ht="12" customHeight="1" x14ac:dyDescent="0.2">
      <c r="B2" s="2480">
        <f>'Single Audit Cover'!E7</f>
        <v>30091037004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Anna CCSD 37</v>
      </c>
      <c r="C1" s="2501"/>
      <c r="D1" s="2501"/>
      <c r="E1" s="2501"/>
      <c r="F1" s="2501"/>
      <c r="G1" s="2501"/>
      <c r="H1" s="2501"/>
      <c r="I1" s="2501"/>
      <c r="J1" s="2501"/>
      <c r="K1" s="2501"/>
      <c r="L1" s="1465"/>
    </row>
    <row r="2" spans="1:12" ht="12.75" customHeight="1" x14ac:dyDescent="0.2">
      <c r="B2" s="2502">
        <f>'Single Audit Cover'!E7</f>
        <v>30091037004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Anna CCSD 37</v>
      </c>
      <c r="C1" s="2478"/>
      <c r="D1" s="2478"/>
      <c r="E1" s="1491"/>
    </row>
    <row r="2" spans="2:5" s="1282" customFormat="1" ht="12.75" customHeight="1" x14ac:dyDescent="0.2">
      <c r="B2" s="2480">
        <f>'Single Audit Cover'!E7</f>
        <v>30091037004</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86932443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1.16026/100</f>
        <v>1.1602600000000001E-2</v>
      </c>
      <c r="E10" s="356" t="s">
        <v>1062</v>
      </c>
      <c r="F10" s="355">
        <f>0.22438/100</f>
        <v>2.2437999999999998E-3</v>
      </c>
      <c r="G10" s="356" t="s">
        <v>1062</v>
      </c>
      <c r="H10" s="355">
        <f>0.10993/100</f>
        <v>1.0993000000000001E-3</v>
      </c>
      <c r="I10" s="356" t="s">
        <v>1063</v>
      </c>
      <c r="J10" s="1754">
        <f>ROUND(D10+F10+H10,5)</f>
        <v>1.495E-2</v>
      </c>
      <c r="K10" s="222"/>
      <c r="L10" s="355">
        <f>0.04647/100</f>
        <v>4.6469999999999997E-4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5570292</v>
      </c>
      <c r="E16" s="356"/>
      <c r="F16" s="1755">
        <f>SUM('Acct Summary 7-8'!C17,'Acct Summary 7-8'!D17,'Acct Summary 7-8'!F17)</f>
        <v>5474771</v>
      </c>
      <c r="G16" s="356"/>
      <c r="H16" s="1755">
        <f>SUM(D16-F16)</f>
        <v>95521</v>
      </c>
      <c r="I16" s="222"/>
      <c r="J16" s="1755">
        <f>SUM('Acct Summary 7-8'!C81,'Acct Summary 7-8'!D81,'Acct Summary 7-8'!F81,'Acct Summary 7-8'!I81)</f>
        <v>2751609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5998338.5670000007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970400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Anna CCSD 37</v>
      </c>
      <c r="E7" s="391"/>
      <c r="G7" s="252"/>
      <c r="H7" s="387"/>
      <c r="I7" s="387"/>
      <c r="J7" s="387"/>
      <c r="K7" s="387"/>
      <c r="L7" s="329"/>
      <c r="M7" s="329"/>
      <c r="N7" s="329"/>
      <c r="O7" s="329"/>
      <c r="P7" s="329"/>
    </row>
    <row r="8" spans="1:18" ht="12.75" x14ac:dyDescent="0.2">
      <c r="A8" s="329"/>
      <c r="B8" s="329"/>
      <c r="C8" s="389" t="s">
        <v>1187</v>
      </c>
      <c r="D8" s="392">
        <f>COVER!A13</f>
        <v>30091037004</v>
      </c>
      <c r="E8" s="393"/>
      <c r="G8" s="329"/>
      <c r="H8" s="329"/>
      <c r="I8" s="329"/>
      <c r="J8" s="329"/>
      <c r="K8" s="329"/>
      <c r="L8" s="329"/>
      <c r="M8" s="329"/>
      <c r="N8" s="329"/>
      <c r="O8" s="329"/>
      <c r="P8" s="329"/>
    </row>
    <row r="9" spans="1:18" ht="12.75" x14ac:dyDescent="0.2">
      <c r="A9" s="329"/>
      <c r="B9" s="329"/>
      <c r="C9" s="389" t="s">
        <v>737</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2751609</v>
      </c>
      <c r="I12" s="404"/>
      <c r="J12" s="404"/>
      <c r="K12" s="405">
        <f>TRUNC((H12/H13*100000),5)/100000</f>
        <v>0.50124509340000001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5489548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-80744</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5474771</v>
      </c>
      <c r="I17" s="404"/>
      <c r="J17" s="416"/>
      <c r="K17" s="405">
        <f>TRUNC((H17/H18*100000),5)/100000</f>
        <v>0.99730815719999999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5489548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-80744</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2751609</v>
      </c>
      <c r="I24" s="422"/>
      <c r="J24" s="422"/>
      <c r="K24" s="423">
        <f>TRUNC(((H24/H25*100000)/100000),2)</f>
        <v>180.93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15207.69722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1104694.01942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970400</v>
      </c>
      <c r="I32" s="420"/>
      <c r="J32" s="420"/>
      <c r="K32" s="423">
        <f>TRUNC(100-((((H32/H33*100))*100)/100),2)</f>
        <v>83.82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5998338.5670000007</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377156+50+7500+1205</f>
        <v>385911</v>
      </c>
      <c r="D4" s="466">
        <v>97271</v>
      </c>
      <c r="E4" s="466">
        <v>64422</v>
      </c>
      <c r="F4" s="466">
        <v>222782</v>
      </c>
      <c r="G4" s="466">
        <v>82427</v>
      </c>
      <c r="H4" s="466">
        <v>2478</v>
      </c>
      <c r="I4" s="466">
        <v>1305645</v>
      </c>
      <c r="J4" s="467">
        <v>429</v>
      </c>
      <c r="K4" s="466">
        <v>276034</v>
      </c>
      <c r="L4" s="466">
        <v>79998</v>
      </c>
      <c r="M4" s="468"/>
      <c r="N4" s="469"/>
    </row>
    <row r="5" spans="1:14" x14ac:dyDescent="0.2">
      <c r="A5" s="463" t="s">
        <v>1049</v>
      </c>
      <c r="B5" s="470">
        <v>120</v>
      </c>
      <c r="C5" s="465"/>
      <c r="D5" s="466"/>
      <c r="E5" s="466"/>
      <c r="F5" s="466"/>
      <c r="G5" s="466"/>
      <c r="H5" s="466"/>
      <c r="I5" s="466">
        <v>740000</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385911</v>
      </c>
      <c r="D13" s="1759">
        <f t="shared" ref="D13:L13" si="0">SUM(D4:D12)</f>
        <v>97271</v>
      </c>
      <c r="E13" s="1759">
        <f t="shared" si="0"/>
        <v>64422</v>
      </c>
      <c r="F13" s="1759">
        <f t="shared" si="0"/>
        <v>222782</v>
      </c>
      <c r="G13" s="1759">
        <f t="shared" si="0"/>
        <v>82427</v>
      </c>
      <c r="H13" s="1759">
        <f t="shared" si="0"/>
        <v>2478</v>
      </c>
      <c r="I13" s="1759">
        <f t="shared" si="0"/>
        <v>2045645</v>
      </c>
      <c r="J13" s="1759">
        <f t="shared" si="0"/>
        <v>429</v>
      </c>
      <c r="K13" s="1759">
        <f t="shared" si="0"/>
        <v>276034</v>
      </c>
      <c r="L13" s="1759">
        <f t="shared" si="0"/>
        <v>79998</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299522</v>
      </c>
      <c r="N16" s="484"/>
    </row>
    <row r="17" spans="1:14" s="485" customFormat="1" ht="12.75" customHeight="1" x14ac:dyDescent="0.2">
      <c r="A17" s="482" t="s">
        <v>1470</v>
      </c>
      <c r="B17" s="483">
        <v>230</v>
      </c>
      <c r="C17" s="477"/>
      <c r="D17" s="477"/>
      <c r="E17" s="477"/>
      <c r="F17" s="477"/>
      <c r="G17" s="477"/>
      <c r="H17" s="477"/>
      <c r="I17" s="477"/>
      <c r="J17" s="477"/>
      <c r="K17" s="477"/>
      <c r="L17" s="477"/>
      <c r="M17" s="467">
        <v>6144428</v>
      </c>
      <c r="N17" s="484"/>
    </row>
    <row r="18" spans="1:14" s="485" customFormat="1" ht="12.75" customHeight="1" x14ac:dyDescent="0.2">
      <c r="A18" s="482" t="s">
        <v>1471</v>
      </c>
      <c r="B18" s="483">
        <v>240</v>
      </c>
      <c r="C18" s="477"/>
      <c r="D18" s="477"/>
      <c r="E18" s="477"/>
      <c r="F18" s="477"/>
      <c r="G18" s="477"/>
      <c r="H18" s="477"/>
      <c r="I18" s="477"/>
      <c r="J18" s="477"/>
      <c r="K18" s="477"/>
      <c r="L18" s="477"/>
      <c r="M18" s="467">
        <v>162131</v>
      </c>
      <c r="N18" s="484"/>
    </row>
    <row r="19" spans="1:14" s="485" customFormat="1" ht="12.75" customHeight="1" x14ac:dyDescent="0.2">
      <c r="A19" s="482" t="s">
        <v>1472</v>
      </c>
      <c r="B19" s="483">
        <v>250</v>
      </c>
      <c r="C19" s="477"/>
      <c r="D19" s="477"/>
      <c r="E19" s="477"/>
      <c r="F19" s="477"/>
      <c r="G19" s="477"/>
      <c r="H19" s="477"/>
      <c r="I19" s="477"/>
      <c r="J19" s="477"/>
      <c r="K19" s="477"/>
      <c r="L19" s="477"/>
      <c r="M19" s="467">
        <f>1525100+676432+216188</f>
        <v>2417720</v>
      </c>
      <c r="N19" s="484"/>
    </row>
    <row r="20" spans="1:14" s="485" customFormat="1" ht="12.75" customHeight="1" x14ac:dyDescent="0.2">
      <c r="A20" s="482" t="s">
        <v>1473</v>
      </c>
      <c r="B20" s="483">
        <v>260</v>
      </c>
      <c r="C20" s="477"/>
      <c r="D20" s="477"/>
      <c r="E20" s="477"/>
      <c r="F20" s="477"/>
      <c r="G20" s="477"/>
      <c r="H20" s="477"/>
      <c r="I20" s="477"/>
      <c r="J20" s="477"/>
      <c r="K20" s="477"/>
      <c r="L20" s="477"/>
      <c r="M20" s="467">
        <v>24020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64422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905978</v>
      </c>
    </row>
    <row r="23" spans="1:14" ht="13.5" customHeight="1" thickBot="1" x14ac:dyDescent="0.25">
      <c r="A23" s="1758" t="s">
        <v>664</v>
      </c>
      <c r="B23" s="1763"/>
      <c r="C23" s="468"/>
      <c r="D23" s="468"/>
      <c r="E23" s="468"/>
      <c r="F23" s="468"/>
      <c r="G23" s="468"/>
      <c r="H23" s="468"/>
      <c r="I23" s="468"/>
      <c r="J23" s="468"/>
      <c r="K23" s="468"/>
      <c r="L23" s="468"/>
      <c r="M23" s="1710">
        <f>SUM(M15:M22)</f>
        <v>9047821</v>
      </c>
      <c r="N23" s="1710">
        <f>SUM(N21:N22)</f>
        <v>970400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79998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79998</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970400</v>
      </c>
    </row>
    <row r="37" spans="1:14" ht="13.5" thickBot="1" x14ac:dyDescent="0.25">
      <c r="A37" s="1758" t="s">
        <v>674</v>
      </c>
      <c r="B37" s="1763"/>
      <c r="C37" s="477"/>
      <c r="D37" s="477"/>
      <c r="E37" s="477"/>
      <c r="F37" s="477"/>
      <c r="G37" s="477"/>
      <c r="H37" s="477"/>
      <c r="I37" s="477"/>
      <c r="J37" s="477"/>
      <c r="K37" s="477"/>
      <c r="L37" s="480"/>
      <c r="M37" s="468"/>
      <c r="N37" s="1710">
        <f>SUM(N36:N36)</f>
        <v>970400</v>
      </c>
    </row>
    <row r="38" spans="1:14" s="329" customFormat="1" ht="13.5" customHeight="1" thickTop="1" x14ac:dyDescent="0.2">
      <c r="A38" s="496" t="s">
        <v>440</v>
      </c>
      <c r="B38" s="483">
        <v>714</v>
      </c>
      <c r="C38" s="466">
        <v>0</v>
      </c>
      <c r="D38" s="466">
        <v>0</v>
      </c>
      <c r="E38" s="466">
        <v>64422</v>
      </c>
      <c r="F38" s="466">
        <v>0</v>
      </c>
      <c r="G38" s="466">
        <v>82427</v>
      </c>
      <c r="H38" s="466">
        <v>2478</v>
      </c>
      <c r="I38" s="466">
        <v>0</v>
      </c>
      <c r="J38" s="467">
        <v>429</v>
      </c>
      <c r="K38" s="466">
        <v>276034</v>
      </c>
      <c r="L38" s="481">
        <v>0</v>
      </c>
      <c r="M38" s="497"/>
      <c r="N38" s="497"/>
    </row>
    <row r="39" spans="1:14" s="329" customFormat="1" ht="13.5" customHeight="1" x14ac:dyDescent="0.2">
      <c r="A39" s="496" t="s">
        <v>360</v>
      </c>
      <c r="B39" s="483">
        <v>730</v>
      </c>
      <c r="C39" s="466">
        <v>385911</v>
      </c>
      <c r="D39" s="466">
        <v>97271</v>
      </c>
      <c r="E39" s="466">
        <v>0</v>
      </c>
      <c r="F39" s="466">
        <v>222782</v>
      </c>
      <c r="G39" s="466">
        <v>0</v>
      </c>
      <c r="H39" s="466">
        <v>0</v>
      </c>
      <c r="I39" s="466">
        <v>2045645</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9047821</v>
      </c>
      <c r="N40" s="497"/>
    </row>
    <row r="41" spans="1:14" ht="13.5" customHeight="1" thickBot="1" x14ac:dyDescent="0.25">
      <c r="A41" s="1758" t="s">
        <v>676</v>
      </c>
      <c r="B41" s="1728"/>
      <c r="C41" s="1710">
        <f>(SUM(C34,C37,C38,C39))</f>
        <v>385911</v>
      </c>
      <c r="D41" s="1710">
        <f t="shared" ref="D41:L41" si="2">SUM(D34,D37,D38:D39)</f>
        <v>97271</v>
      </c>
      <c r="E41" s="1710">
        <f t="shared" si="2"/>
        <v>64422</v>
      </c>
      <c r="F41" s="1710">
        <f t="shared" si="2"/>
        <v>222782</v>
      </c>
      <c r="G41" s="1710">
        <f t="shared" si="2"/>
        <v>82427</v>
      </c>
      <c r="H41" s="1710">
        <f t="shared" si="2"/>
        <v>2478</v>
      </c>
      <c r="I41" s="1710">
        <f t="shared" si="2"/>
        <v>2045645</v>
      </c>
      <c r="J41" s="1710">
        <f t="shared" si="2"/>
        <v>429</v>
      </c>
      <c r="K41" s="1710">
        <f t="shared" si="2"/>
        <v>276034</v>
      </c>
      <c r="L41" s="1710">
        <f t="shared" si="2"/>
        <v>79998</v>
      </c>
      <c r="M41" s="1710">
        <f>SUM(M40)</f>
        <v>9047821</v>
      </c>
      <c r="N41" s="1710">
        <f>SUM(N37)</f>
        <v>970400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J25" sqref="J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1118759</v>
      </c>
      <c r="D4" s="1764">
        <f>'Revenues 9-14'!D109</f>
        <v>174840</v>
      </c>
      <c r="E4" s="1764">
        <f>'Revenues 9-14'!E109</f>
        <v>304012</v>
      </c>
      <c r="F4" s="1764">
        <f>'Revenues 9-14'!F109</f>
        <v>87331</v>
      </c>
      <c r="G4" s="1764">
        <f>'Revenues 9-14'!G109</f>
        <v>166768</v>
      </c>
      <c r="H4" s="1764">
        <f>'Revenues 9-14'!H109</f>
        <v>106</v>
      </c>
      <c r="I4" s="1764">
        <f>'Revenues 9-14'!I109</f>
        <v>37897</v>
      </c>
      <c r="J4" s="1764">
        <f>'Revenues 9-14'!J109</f>
        <v>62630</v>
      </c>
      <c r="K4" s="1764">
        <f>'Revenues 9-14'!K109</f>
        <v>40388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3453033</v>
      </c>
      <c r="D6" s="1765">
        <f>'Revenues 9-14'!D173</f>
        <v>0</v>
      </c>
      <c r="E6" s="1765">
        <f>'Revenues 9-14'!E173</f>
        <v>0</v>
      </c>
      <c r="F6" s="1765">
        <f>'Revenues 9-14'!F173</f>
        <v>99071</v>
      </c>
      <c r="G6" s="1765">
        <f>'Revenues 9-14'!G173</f>
        <v>0</v>
      </c>
      <c r="H6" s="1765">
        <f>'Revenues 9-14'!H173</f>
        <v>0</v>
      </c>
      <c r="I6" s="1765">
        <f>'Revenues 9-14'!I173</f>
        <v>0</v>
      </c>
      <c r="J6" s="1765">
        <f>'Revenues 9-14'!J173</f>
        <v>0</v>
      </c>
      <c r="K6" s="1765">
        <f>'Revenues 9-14'!K173</f>
        <v>88000</v>
      </c>
      <c r="L6" s="347"/>
      <c r="M6" s="513"/>
    </row>
    <row r="7" spans="1:13" ht="15.75" customHeight="1" x14ac:dyDescent="0.2">
      <c r="A7" s="1598" t="s">
        <v>1582</v>
      </c>
      <c r="B7" s="1600">
        <v>4000</v>
      </c>
      <c r="C7" s="1765">
        <f>'Revenues 9-14'!C274</f>
        <v>599361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5171153</v>
      </c>
      <c r="D8" s="1710">
        <f t="shared" ref="D8:K8" si="0">SUM(D4:D7)</f>
        <v>174840</v>
      </c>
      <c r="E8" s="1710">
        <f t="shared" si="0"/>
        <v>304012</v>
      </c>
      <c r="F8" s="1710">
        <f t="shared" si="0"/>
        <v>186402</v>
      </c>
      <c r="G8" s="1710">
        <f t="shared" si="0"/>
        <v>166768</v>
      </c>
      <c r="H8" s="1710">
        <f t="shared" si="0"/>
        <v>106</v>
      </c>
      <c r="I8" s="1710">
        <f t="shared" si="0"/>
        <v>37897</v>
      </c>
      <c r="J8" s="1710">
        <f t="shared" si="0"/>
        <v>62630</v>
      </c>
      <c r="K8" s="1710">
        <f t="shared" si="0"/>
        <v>128388</v>
      </c>
      <c r="L8" s="347"/>
    </row>
    <row r="9" spans="1:13" ht="15.75" thickTop="1" x14ac:dyDescent="0.2">
      <c r="A9" s="514" t="s">
        <v>1752</v>
      </c>
      <c r="B9" s="515">
        <v>3998</v>
      </c>
      <c r="C9" s="481">
        <v>2167619</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7338772</v>
      </c>
      <c r="D10" s="1710">
        <f t="shared" ref="D10:K10" si="1">SUM(D8:D9)</f>
        <v>174840</v>
      </c>
      <c r="E10" s="1710">
        <f t="shared" si="1"/>
        <v>304012</v>
      </c>
      <c r="F10" s="1710">
        <f t="shared" si="1"/>
        <v>186402</v>
      </c>
      <c r="G10" s="1710">
        <f t="shared" si="1"/>
        <v>166768</v>
      </c>
      <c r="H10" s="1710">
        <f t="shared" si="1"/>
        <v>106</v>
      </c>
      <c r="I10" s="1710">
        <f t="shared" si="1"/>
        <v>37897</v>
      </c>
      <c r="J10" s="1710">
        <f t="shared" si="1"/>
        <v>62630</v>
      </c>
      <c r="K10" s="1710">
        <f t="shared" si="1"/>
        <v>128388</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3360479</v>
      </c>
      <c r="D12" s="520" t="s">
        <v>1231</v>
      </c>
      <c r="E12" s="468" t="s">
        <v>1231</v>
      </c>
      <c r="F12" s="468" t="s">
        <v>1231</v>
      </c>
      <c r="G12" s="1764">
        <f>'Expenditures 15-22'!K229</f>
        <v>69172</v>
      </c>
      <c r="H12" s="521"/>
      <c r="I12" s="468" t="s">
        <v>1231</v>
      </c>
      <c r="J12" s="468" t="s">
        <v>1231</v>
      </c>
      <c r="K12" s="521" t="s">
        <v>1231</v>
      </c>
      <c r="L12" s="347"/>
    </row>
    <row r="13" spans="1:13" ht="15.75" customHeight="1" x14ac:dyDescent="0.2">
      <c r="A13" s="1598" t="s">
        <v>477</v>
      </c>
      <c r="B13" s="1600">
        <v>2000</v>
      </c>
      <c r="C13" s="1765">
        <f>'Expenditures 15-22'!K74</f>
        <v>1504793</v>
      </c>
      <c r="D13" s="1765">
        <f>'Expenditures 15-22'!K129</f>
        <v>194222</v>
      </c>
      <c r="E13" s="469" t="s">
        <v>1231</v>
      </c>
      <c r="F13" s="1765">
        <f>'Expenditures 15-22'!K184</f>
        <v>142791</v>
      </c>
      <c r="G13" s="1765">
        <f>'Expenditures 15-22'!K279</f>
        <v>144321</v>
      </c>
      <c r="H13" s="1765">
        <f>'Expenditures 15-22'!K303</f>
        <v>440172</v>
      </c>
      <c r="I13" s="468" t="s">
        <v>1231</v>
      </c>
      <c r="J13" s="1765">
        <f>'Expenditures 15-22'!K330</f>
        <v>78201</v>
      </c>
      <c r="K13" s="1769">
        <f>'Expenditures 15-22'!K352</f>
        <v>69589</v>
      </c>
      <c r="L13" s="347"/>
    </row>
    <row r="14" spans="1:13" ht="15.75" customHeight="1" x14ac:dyDescent="0.2">
      <c r="A14" s="1598" t="s">
        <v>469</v>
      </c>
      <c r="B14" s="1600">
        <v>3000</v>
      </c>
      <c r="C14" s="1765">
        <f>'Expenditures 15-22'!K75</f>
        <v>374</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272112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330192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5137758</v>
      </c>
      <c r="D17" s="1710">
        <f t="shared" si="2"/>
        <v>194222</v>
      </c>
      <c r="E17" s="1710">
        <f t="shared" si="2"/>
        <v>330192</v>
      </c>
      <c r="F17" s="1710">
        <f t="shared" si="2"/>
        <v>142791</v>
      </c>
      <c r="G17" s="1710">
        <f t="shared" si="2"/>
        <v>213493</v>
      </c>
      <c r="H17" s="1710">
        <f t="shared" si="2"/>
        <v>440172</v>
      </c>
      <c r="I17" s="468"/>
      <c r="J17" s="1710">
        <f>SUM(J12:J16)</f>
        <v>78201</v>
      </c>
      <c r="K17" s="1710">
        <f>SUM(K12:K16)</f>
        <v>69589</v>
      </c>
      <c r="L17" s="347"/>
    </row>
    <row r="18" spans="1:12" ht="15" customHeight="1" thickTop="1" x14ac:dyDescent="0.2">
      <c r="A18" s="1766" t="s">
        <v>1753</v>
      </c>
      <c r="B18" s="1767">
        <v>4180</v>
      </c>
      <c r="C18" s="1764">
        <f t="shared" ref="C18:H18" si="3">C9</f>
        <v>2167619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7305377</v>
      </c>
      <c r="D19" s="1710">
        <f t="shared" si="4"/>
        <v>194222</v>
      </c>
      <c r="E19" s="1710">
        <f t="shared" si="4"/>
        <v>330192</v>
      </c>
      <c r="F19" s="1710">
        <f t="shared" si="4"/>
        <v>142791</v>
      </c>
      <c r="G19" s="1710">
        <f t="shared" si="4"/>
        <v>213493</v>
      </c>
      <c r="H19" s="1710">
        <f t="shared" si="4"/>
        <v>440172</v>
      </c>
      <c r="I19" s="468"/>
      <c r="J19" s="1710">
        <f>SUM(J17:J18)</f>
        <v>78201</v>
      </c>
      <c r="K19" s="1710">
        <f>SUM(K17:K18)</f>
        <v>69589</v>
      </c>
      <c r="L19" s="347"/>
    </row>
    <row r="20" spans="1:12" ht="16.5" thickTop="1" thickBot="1" x14ac:dyDescent="0.25">
      <c r="A20" s="2144" t="s">
        <v>1754</v>
      </c>
      <c r="B20" s="2145"/>
      <c r="C20" s="1768">
        <f>C8-C17</f>
        <v>33395</v>
      </c>
      <c r="D20" s="1768">
        <f t="shared" ref="D20:K20" si="5">D8-D17</f>
        <v>-19382</v>
      </c>
      <c r="E20" s="1768">
        <f t="shared" si="5"/>
        <v>-26180</v>
      </c>
      <c r="F20" s="1768">
        <f t="shared" si="5"/>
        <v>43611</v>
      </c>
      <c r="G20" s="1768">
        <f t="shared" si="5"/>
        <v>-46725</v>
      </c>
      <c r="H20" s="1768">
        <f t="shared" si="5"/>
        <v>-440066</v>
      </c>
      <c r="I20" s="1768">
        <f t="shared" si="5"/>
        <v>37897</v>
      </c>
      <c r="J20" s="1768">
        <f t="shared" si="5"/>
        <v>-15571</v>
      </c>
      <c r="K20" s="1768">
        <f t="shared" si="5"/>
        <v>58799</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16000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88000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740000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80744</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8" t="s">
        <v>392</v>
      </c>
      <c r="B44" s="2159"/>
      <c r="C44" s="1725">
        <f>SUM(C24:C43)</f>
        <v>88000</v>
      </c>
      <c r="D44" s="1725">
        <f t="shared" ref="D44:K44" si="6">SUM(D24:D43)</f>
        <v>0</v>
      </c>
      <c r="E44" s="1725">
        <f t="shared" si="6"/>
        <v>0</v>
      </c>
      <c r="F44" s="1725">
        <f t="shared" si="6"/>
        <v>0</v>
      </c>
      <c r="G44" s="1725">
        <f t="shared" si="6"/>
        <v>0</v>
      </c>
      <c r="H44" s="1725">
        <f t="shared" si="6"/>
        <v>80744</v>
      </c>
      <c r="I44" s="1725">
        <f t="shared" si="6"/>
        <v>740000</v>
      </c>
      <c r="J44" s="1725">
        <f t="shared" si="6"/>
        <v>16000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16000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88000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40433</v>
      </c>
      <c r="D71" s="531">
        <v>40311</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13900</v>
      </c>
      <c r="J75" s="530">
        <v>0</v>
      </c>
      <c r="K75" s="532">
        <v>0</v>
      </c>
      <c r="L75" s="524"/>
    </row>
    <row r="76" spans="1:12" s="485" customFormat="1" ht="14.25" thickTop="1" thickBot="1" x14ac:dyDescent="0.25">
      <c r="A76" s="2134" t="s">
        <v>460</v>
      </c>
      <c r="B76" s="2135"/>
      <c r="C76" s="1725">
        <f t="shared" ref="C76:K76" si="7">SUM(C47:C75)</f>
        <v>40433</v>
      </c>
      <c r="D76" s="1725">
        <f t="shared" si="7"/>
        <v>128311</v>
      </c>
      <c r="E76" s="1725">
        <f t="shared" si="7"/>
        <v>0</v>
      </c>
      <c r="F76" s="1725">
        <f t="shared" si="7"/>
        <v>0</v>
      </c>
      <c r="G76" s="1725">
        <f t="shared" si="7"/>
        <v>0</v>
      </c>
      <c r="H76" s="1725">
        <f t="shared" si="7"/>
        <v>0</v>
      </c>
      <c r="I76" s="1725">
        <f t="shared" si="7"/>
        <v>29900</v>
      </c>
      <c r="J76" s="1725">
        <f t="shared" si="7"/>
        <v>0</v>
      </c>
      <c r="K76" s="1725">
        <f t="shared" si="7"/>
        <v>0</v>
      </c>
      <c r="L76" s="524"/>
    </row>
    <row r="77" spans="1:12" ht="14.25" thickTop="1" thickBot="1" x14ac:dyDescent="0.25">
      <c r="A77" s="2136" t="s">
        <v>1239</v>
      </c>
      <c r="B77" s="2137"/>
      <c r="C77" s="1725">
        <f t="shared" ref="C77:K77" si="8">C44-C76</f>
        <v>47567</v>
      </c>
      <c r="D77" s="1725">
        <f t="shared" si="8"/>
        <v>-128311</v>
      </c>
      <c r="E77" s="1725">
        <f t="shared" si="8"/>
        <v>0</v>
      </c>
      <c r="F77" s="1725">
        <f t="shared" si="8"/>
        <v>0</v>
      </c>
      <c r="G77" s="1725">
        <f t="shared" si="8"/>
        <v>0</v>
      </c>
      <c r="H77" s="1725">
        <f t="shared" si="8"/>
        <v>80744</v>
      </c>
      <c r="I77" s="1725">
        <f t="shared" si="8"/>
        <v>710100</v>
      </c>
      <c r="J77" s="1725">
        <f t="shared" si="8"/>
        <v>16000</v>
      </c>
      <c r="K77" s="1725">
        <f t="shared" si="8"/>
        <v>0</v>
      </c>
      <c r="L77" s="347"/>
    </row>
    <row r="78" spans="1:12" ht="21.75" customHeight="1" thickTop="1" thickBot="1" x14ac:dyDescent="0.25">
      <c r="A78" s="2140" t="s">
        <v>618</v>
      </c>
      <c r="B78" s="2141"/>
      <c r="C78" s="1724">
        <f t="shared" ref="C78:K78" si="9">C20+C77</f>
        <v>80962</v>
      </c>
      <c r="D78" s="1724">
        <f t="shared" si="9"/>
        <v>-147693</v>
      </c>
      <c r="E78" s="1724">
        <f t="shared" si="9"/>
        <v>-26180</v>
      </c>
      <c r="F78" s="1724">
        <f t="shared" si="9"/>
        <v>43611</v>
      </c>
      <c r="G78" s="1724">
        <f t="shared" si="9"/>
        <v>-46725</v>
      </c>
      <c r="H78" s="1724">
        <f t="shared" si="9"/>
        <v>-359322</v>
      </c>
      <c r="I78" s="1724">
        <f t="shared" si="9"/>
        <v>747997</v>
      </c>
      <c r="J78" s="1724">
        <f t="shared" si="9"/>
        <v>429</v>
      </c>
      <c r="K78" s="1724">
        <f t="shared" si="9"/>
        <v>58799</v>
      </c>
      <c r="L78" s="533"/>
    </row>
    <row r="79" spans="1:12" ht="13.5" thickTop="1" x14ac:dyDescent="0.2">
      <c r="A79" s="1516" t="s">
        <v>2071</v>
      </c>
      <c r="B79" s="534"/>
      <c r="C79" s="478">
        <v>304949</v>
      </c>
      <c r="D79" s="535">
        <v>244964</v>
      </c>
      <c r="E79" s="535">
        <v>90602</v>
      </c>
      <c r="F79" s="535">
        <v>179171</v>
      </c>
      <c r="G79" s="535">
        <v>129152</v>
      </c>
      <c r="H79" s="535">
        <v>361800</v>
      </c>
      <c r="I79" s="535">
        <v>1297648</v>
      </c>
      <c r="J79" s="535">
        <v>0</v>
      </c>
      <c r="K79" s="535">
        <v>217235</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2072</v>
      </c>
      <c r="B81" s="2139"/>
      <c r="C81" s="1710">
        <f>(SUM(C78:C80))</f>
        <v>385911</v>
      </c>
      <c r="D81" s="1710">
        <f>SUM(D78:D80)</f>
        <v>97271</v>
      </c>
      <c r="E81" s="1710">
        <f t="shared" ref="E81:K81" si="10">SUM(E78:E80)</f>
        <v>64422</v>
      </c>
      <c r="F81" s="1710">
        <f t="shared" si="10"/>
        <v>222782</v>
      </c>
      <c r="G81" s="1710">
        <f t="shared" si="10"/>
        <v>82427</v>
      </c>
      <c r="H81" s="1710">
        <f t="shared" si="10"/>
        <v>2478</v>
      </c>
      <c r="I81" s="1710">
        <f t="shared" si="10"/>
        <v>2045645</v>
      </c>
      <c r="J81" s="1710">
        <f t="shared" si="10"/>
        <v>429</v>
      </c>
      <c r="K81" s="1710">
        <f t="shared" si="10"/>
        <v>276034</v>
      </c>
      <c r="L81" s="347"/>
    </row>
    <row r="82" spans="1:12" ht="0.75" customHeight="1" thickTop="1" thickBot="1" x14ac:dyDescent="0.25">
      <c r="A82" s="536" t="s">
        <v>361</v>
      </c>
      <c r="B82" s="537"/>
      <c r="C82" s="538">
        <f>(C81-C79)</f>
        <v>80962</v>
      </c>
      <c r="D82" s="538">
        <f t="shared" ref="D82:K82" si="11">(D81-D79)</f>
        <v>-147693</v>
      </c>
      <c r="E82" s="538">
        <f t="shared" si="11"/>
        <v>-26180</v>
      </c>
      <c r="F82" s="538">
        <f t="shared" si="11"/>
        <v>43611</v>
      </c>
      <c r="G82" s="538">
        <f t="shared" si="11"/>
        <v>-46725</v>
      </c>
      <c r="H82" s="538">
        <f t="shared" si="11"/>
        <v>-359322</v>
      </c>
      <c r="I82" s="538">
        <f t="shared" si="11"/>
        <v>747997</v>
      </c>
      <c r="J82" s="538">
        <f t="shared" si="11"/>
        <v>429</v>
      </c>
      <c r="K82" s="538">
        <f t="shared" si="11"/>
        <v>58799</v>
      </c>
    </row>
    <row r="83" spans="1:12" ht="14.25" hidden="1" thickTop="1" thickBot="1" x14ac:dyDescent="0.25">
      <c r="A83" s="539" t="s">
        <v>362</v>
      </c>
      <c r="B83" s="464"/>
      <c r="C83" s="540">
        <f>C82/C81</f>
        <v>0.2097944862934718</v>
      </c>
      <c r="D83" s="540">
        <f t="shared" ref="D83:K83" si="12">D82/D81</f>
        <v>-1.5183662139795007</v>
      </c>
      <c r="E83" s="540">
        <f t="shared" si="12"/>
        <v>-0.40638291266958493</v>
      </c>
      <c r="F83" s="540">
        <f t="shared" si="12"/>
        <v>0.19575638965446041</v>
      </c>
      <c r="G83" s="540">
        <f t="shared" si="12"/>
        <v>-0.56686522620015289</v>
      </c>
      <c r="H83" s="540">
        <f t="shared" si="12"/>
        <v>-145.00484261501211</v>
      </c>
      <c r="I83" s="540">
        <f t="shared" si="12"/>
        <v>0.36565337583011714</v>
      </c>
      <c r="J83" s="540">
        <f t="shared" si="12"/>
        <v>1</v>
      </c>
      <c r="K83" s="540">
        <f t="shared" si="12"/>
        <v>0.21301361426490939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&amp;L&amp;8&amp;F&amp;C&amp;8The accompanying Notes to Financial Statements are an intergral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892243</v>
      </c>
      <c r="D5" s="481">
        <v>174453</v>
      </c>
      <c r="E5" s="466">
        <v>303799</v>
      </c>
      <c r="F5" s="548">
        <v>84991</v>
      </c>
      <c r="G5" s="466">
        <v>89469</v>
      </c>
      <c r="H5" s="466"/>
      <c r="I5" s="466">
        <v>35792</v>
      </c>
      <c r="J5" s="467">
        <v>62630</v>
      </c>
      <c r="K5" s="466">
        <v>35792</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14316</v>
      </c>
      <c r="D7" s="466"/>
      <c r="E7" s="468"/>
      <c r="F7" s="467"/>
      <c r="G7" s="467"/>
      <c r="H7" s="467"/>
      <c r="I7" s="468"/>
      <c r="J7" s="468"/>
      <c r="K7" s="468"/>
    </row>
    <row r="8" spans="1:12" x14ac:dyDescent="0.2">
      <c r="A8" s="463" t="s">
        <v>433</v>
      </c>
      <c r="B8" s="470">
        <v>1150</v>
      </c>
      <c r="C8" s="475"/>
      <c r="D8" s="475"/>
      <c r="E8" s="477"/>
      <c r="F8" s="477"/>
      <c r="G8" s="481">
        <v>71577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906559</v>
      </c>
      <c r="D12" s="1729">
        <f t="shared" si="0"/>
        <v>174453</v>
      </c>
      <c r="E12" s="1729">
        <f t="shared" si="0"/>
        <v>303799</v>
      </c>
      <c r="F12" s="1729">
        <f t="shared" si="0"/>
        <v>84991</v>
      </c>
      <c r="G12" s="1729">
        <f t="shared" si="0"/>
        <v>161046</v>
      </c>
      <c r="H12" s="1729">
        <f t="shared" si="0"/>
        <v>0</v>
      </c>
      <c r="I12" s="1729">
        <f t="shared" si="0"/>
        <v>35792</v>
      </c>
      <c r="J12" s="1729">
        <f t="shared" si="0"/>
        <v>62630</v>
      </c>
      <c r="K12" s="1710">
        <f t="shared" si="0"/>
        <v>35792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102949</v>
      </c>
      <c r="D16" s="466"/>
      <c r="E16" s="466"/>
      <c r="F16" s="466"/>
      <c r="G16" s="466">
        <v>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102949</v>
      </c>
      <c r="D18" s="1732">
        <f t="shared" ref="D18:K18" si="1">SUM(D14:D17)</f>
        <v>0</v>
      </c>
      <c r="E18" s="1732">
        <f t="shared" si="1"/>
        <v>0</v>
      </c>
      <c r="F18" s="1732">
        <f t="shared" si="1"/>
        <v>0</v>
      </c>
      <c r="G18" s="1732">
        <f t="shared" si="1"/>
        <v>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677</v>
      </c>
      <c r="D65" s="466">
        <v>387</v>
      </c>
      <c r="E65" s="466">
        <v>213</v>
      </c>
      <c r="F65" s="467">
        <v>363</v>
      </c>
      <c r="G65" s="466">
        <v>304</v>
      </c>
      <c r="H65" s="466">
        <v>106</v>
      </c>
      <c r="I65" s="466">
        <v>2105</v>
      </c>
      <c r="J65" s="467"/>
      <c r="K65" s="466">
        <v>359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677</v>
      </c>
      <c r="D67" s="1710">
        <f t="shared" ref="D67:K67" si="2">SUM(D65:D66)</f>
        <v>387</v>
      </c>
      <c r="E67" s="1710">
        <f t="shared" si="2"/>
        <v>213</v>
      </c>
      <c r="F67" s="1710">
        <f t="shared" si="2"/>
        <v>363</v>
      </c>
      <c r="G67" s="1710">
        <f t="shared" si="2"/>
        <v>304</v>
      </c>
      <c r="H67" s="1710">
        <f t="shared" si="2"/>
        <v>106</v>
      </c>
      <c r="I67" s="1710">
        <f t="shared" si="2"/>
        <v>2105</v>
      </c>
      <c r="J67" s="1710">
        <f t="shared" si="2"/>
        <v>0</v>
      </c>
      <c r="K67" s="1710">
        <f t="shared" si="2"/>
        <v>359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57924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5637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63561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9468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570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10038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8820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8820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8561</v>
      </c>
      <c r="D96" s="551"/>
      <c r="E96" s="479"/>
      <c r="F96" s="478">
        <v>1977</v>
      </c>
      <c r="G96" s="478">
        <v>418</v>
      </c>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1133</v>
      </c>
      <c r="D99" s="466"/>
      <c r="E99" s="466"/>
      <c r="F99" s="466"/>
      <c r="G99" s="466"/>
      <c r="H99" s="466"/>
      <c r="I99" s="468"/>
      <c r="J99" s="467"/>
      <c r="K99" s="466">
        <v>4237</v>
      </c>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7119</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9342</v>
      </c>
      <c r="D107" s="466"/>
      <c r="E107" s="466"/>
      <c r="F107" s="466"/>
      <c r="G107" s="466"/>
      <c r="H107" s="466"/>
      <c r="I107" s="466"/>
      <c r="J107" s="467"/>
      <c r="K107" s="466"/>
    </row>
    <row r="108" spans="1:12" ht="12.75" customHeight="1" thickBot="1" x14ac:dyDescent="0.25">
      <c r="A108" s="1730" t="s">
        <v>508</v>
      </c>
      <c r="B108" s="1734"/>
      <c r="C108" s="1729">
        <f>SUM(C95:C107)</f>
        <v>26155</v>
      </c>
      <c r="D108" s="1729">
        <f t="shared" ref="D108:K108" si="3">SUM(D95:D107)</f>
        <v>0</v>
      </c>
      <c r="E108" s="1729">
        <f t="shared" si="3"/>
        <v>0</v>
      </c>
      <c r="F108" s="1729">
        <f t="shared" si="3"/>
        <v>1977</v>
      </c>
      <c r="G108" s="1729">
        <f t="shared" si="3"/>
        <v>418</v>
      </c>
      <c r="H108" s="1729">
        <f t="shared" si="3"/>
        <v>0</v>
      </c>
      <c r="I108" s="1729">
        <f t="shared" si="3"/>
        <v>0</v>
      </c>
      <c r="J108" s="1729">
        <f t="shared" si="3"/>
        <v>0</v>
      </c>
      <c r="K108" s="1710">
        <f t="shared" si="3"/>
        <v>4237</v>
      </c>
    </row>
    <row r="109" spans="1:12" ht="14.25" thickTop="1" thickBot="1" x14ac:dyDescent="0.25">
      <c r="A109" s="1735" t="s">
        <v>266</v>
      </c>
      <c r="B109" s="1736" t="s">
        <v>591</v>
      </c>
      <c r="C109" s="1737">
        <f t="shared" ref="C109:K109" si="4">SUM(C12,C18,C40,C63,C67,C75,C82,C93,C108,)</f>
        <v>1118759</v>
      </c>
      <c r="D109" s="1737">
        <f t="shared" si="4"/>
        <v>174840</v>
      </c>
      <c r="E109" s="1737">
        <f t="shared" si="4"/>
        <v>304012</v>
      </c>
      <c r="F109" s="1737">
        <f t="shared" si="4"/>
        <v>87331</v>
      </c>
      <c r="G109" s="1737">
        <f t="shared" si="4"/>
        <v>166768</v>
      </c>
      <c r="H109" s="1737">
        <f t="shared" si="4"/>
        <v>106</v>
      </c>
      <c r="I109" s="1737">
        <f t="shared" si="4"/>
        <v>37897</v>
      </c>
      <c r="J109" s="1737">
        <f t="shared" si="4"/>
        <v>62630</v>
      </c>
      <c r="K109" s="1724">
        <f t="shared" si="4"/>
        <v>40388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3139316</v>
      </c>
      <c r="D117" s="481"/>
      <c r="E117" s="466"/>
      <c r="F117" s="481"/>
      <c r="G117" s="481"/>
      <c r="H117" s="466"/>
      <c r="I117" s="468"/>
      <c r="J117" s="467"/>
      <c r="K117" s="466">
        <v>88000</v>
      </c>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3139316</v>
      </c>
      <c r="D121" s="1729">
        <f t="shared" si="5"/>
        <v>0</v>
      </c>
      <c r="E121" s="1729">
        <f t="shared" si="5"/>
        <v>0</v>
      </c>
      <c r="F121" s="1729">
        <f t="shared" si="5"/>
        <v>0</v>
      </c>
      <c r="G121" s="1729">
        <f t="shared" si="5"/>
        <v>0</v>
      </c>
      <c r="H121" s="1729">
        <f t="shared" si="5"/>
        <v>0</v>
      </c>
      <c r="I121" s="468"/>
      <c r="J121" s="1729">
        <f>SUM(J117:J120)</f>
        <v>0</v>
      </c>
      <c r="K121" s="1710">
        <f>SUM(K117:K120)</f>
        <v>88000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48070</v>
      </c>
      <c r="D125" s="561"/>
      <c r="E125" s="468"/>
      <c r="F125" s="466"/>
      <c r="G125" s="468"/>
      <c r="H125" s="468"/>
      <c r="I125" s="468"/>
      <c r="J125" s="468"/>
      <c r="K125" s="468"/>
    </row>
    <row r="126" spans="1:11" ht="12.75" customHeight="1" x14ac:dyDescent="0.2">
      <c r="A126" s="463" t="s">
        <v>922</v>
      </c>
      <c r="B126" s="562">
        <v>3110</v>
      </c>
      <c r="C126" s="551">
        <v>51134</v>
      </c>
      <c r="D126" s="466"/>
      <c r="E126" s="468"/>
      <c r="F126" s="466"/>
      <c r="G126" s="468"/>
      <c r="H126" s="468"/>
      <c r="I126" s="468"/>
      <c r="J126" s="468"/>
      <c r="K126" s="468"/>
    </row>
    <row r="127" spans="1:11" ht="12.75" customHeight="1" x14ac:dyDescent="0.2">
      <c r="A127" s="463" t="s">
        <v>107</v>
      </c>
      <c r="B127" s="562">
        <v>3120</v>
      </c>
      <c r="C127" s="466">
        <v>61517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774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161495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3669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23088</v>
      </c>
      <c r="G151" s="467"/>
      <c r="H151" s="468"/>
      <c r="I151" s="468"/>
      <c r="J151" s="468"/>
      <c r="K151" s="468"/>
    </row>
    <row r="152" spans="1:11" ht="12.75" customHeight="1" x14ac:dyDescent="0.2">
      <c r="A152" s="463" t="s">
        <v>1117</v>
      </c>
      <c r="B152" s="562">
        <v>3510</v>
      </c>
      <c r="C152" s="551"/>
      <c r="D152" s="466"/>
      <c r="E152" s="561"/>
      <c r="F152" s="466">
        <v>75983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99071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148553</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313717</v>
      </c>
      <c r="D172" s="1744">
        <f t="shared" si="6"/>
        <v>0</v>
      </c>
      <c r="E172" s="1744">
        <f t="shared" si="6"/>
        <v>0</v>
      </c>
      <c r="F172" s="1744">
        <f t="shared" si="6"/>
        <v>99071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3453033</v>
      </c>
      <c r="D173" s="1737">
        <f>SUM(D121,D172)</f>
        <v>0</v>
      </c>
      <c r="E173" s="1737">
        <f>SUM(E121,E172)</f>
        <v>0</v>
      </c>
      <c r="F173" s="1737">
        <f t="shared" ref="F173:K173" si="7">SUM(F121,F172)</f>
        <v>99071</v>
      </c>
      <c r="G173" s="1737">
        <f t="shared" si="7"/>
        <v>0</v>
      </c>
      <c r="H173" s="1737">
        <f t="shared" si="7"/>
        <v>0</v>
      </c>
      <c r="I173" s="1737">
        <f t="shared" si="7"/>
        <v>0</v>
      </c>
      <c r="J173" s="1737">
        <f t="shared" si="7"/>
        <v>0</v>
      </c>
      <c r="K173" s="1724">
        <f t="shared" si="7"/>
        <v>88000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12866</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12866</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168176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59350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227526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249994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249994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3266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3266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16173</v>
      </c>
      <c r="D270" s="576"/>
      <c r="E270" s="468"/>
      <c r="F270" s="576"/>
      <c r="G270" s="576"/>
      <c r="H270" s="468"/>
      <c r="I270" s="468"/>
      <c r="J270" s="468"/>
      <c r="K270" s="468"/>
    </row>
    <row r="271" spans="1:11" ht="12.75" customHeight="1" thickTop="1" thickBot="1" x14ac:dyDescent="0.25">
      <c r="A271" s="463" t="s">
        <v>395</v>
      </c>
      <c r="B271" s="470">
        <v>4992</v>
      </c>
      <c r="C271" s="575">
        <v>49103</v>
      </c>
      <c r="D271" s="576"/>
      <c r="E271" s="468"/>
      <c r="F271" s="576"/>
      <c r="G271" s="576"/>
      <c r="H271" s="468"/>
      <c r="I271" s="468"/>
      <c r="J271" s="468"/>
      <c r="K271" s="468"/>
    </row>
    <row r="272" spans="1:11" s="594" customFormat="1" ht="12.75" customHeight="1" thickTop="1" thickBot="1" x14ac:dyDescent="0.25">
      <c r="A272" s="563" t="s">
        <v>77</v>
      </c>
      <c r="B272" s="557">
        <v>4999</v>
      </c>
      <c r="C272" s="575">
        <v>40433</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599361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599361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5171153</v>
      </c>
      <c r="D275" s="1737">
        <f t="shared" si="12"/>
        <v>174840</v>
      </c>
      <c r="E275" s="1737">
        <f t="shared" si="12"/>
        <v>304012</v>
      </c>
      <c r="F275" s="1737">
        <f t="shared" si="12"/>
        <v>186402</v>
      </c>
      <c r="G275" s="1737">
        <f t="shared" si="12"/>
        <v>166768</v>
      </c>
      <c r="H275" s="1737">
        <f t="shared" si="12"/>
        <v>106</v>
      </c>
      <c r="I275" s="1737">
        <f t="shared" si="12"/>
        <v>37897</v>
      </c>
      <c r="J275" s="1737">
        <f t="shared" si="12"/>
        <v>62630</v>
      </c>
      <c r="K275" s="1724">
        <f t="shared" si="12"/>
        <v>128388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&amp;L&amp;8&amp;F&amp;C&amp;8The accompanying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1715704</v>
      </c>
      <c r="D5" s="466">
        <f>217019+144858</f>
        <v>361877</v>
      </c>
      <c r="E5" s="466">
        <f>4182+1537</f>
        <v>5719</v>
      </c>
      <c r="F5" s="466">
        <f>40872+6101+2625</f>
        <v>49598</v>
      </c>
      <c r="G5" s="466">
        <v>5413</v>
      </c>
      <c r="H5" s="466"/>
      <c r="I5" s="467"/>
      <c r="J5" s="467"/>
      <c r="K5" s="1693">
        <f>SUM(C5:J5)</f>
        <v>2138311</v>
      </c>
      <c r="L5" s="466">
        <v>2142004</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f>78441+6604</f>
        <v>85045</v>
      </c>
      <c r="D7" s="467">
        <f>12451+1399+6575</f>
        <v>20425</v>
      </c>
      <c r="E7" s="467">
        <f>1838+18+500</f>
        <v>2356</v>
      </c>
      <c r="F7" s="467">
        <f>6663+2822+101</f>
        <v>9586</v>
      </c>
      <c r="G7" s="467">
        <v>2346</v>
      </c>
      <c r="H7" s="467"/>
      <c r="I7" s="467"/>
      <c r="J7" s="467"/>
      <c r="K7" s="1693">
        <f t="shared" ref="K7:K32" si="0">SUM(C7:J7)</f>
        <v>119758</v>
      </c>
      <c r="L7" s="466">
        <v>102724</v>
      </c>
    </row>
    <row r="8" spans="1:14" x14ac:dyDescent="0.2">
      <c r="A8" s="1526" t="s">
        <v>166</v>
      </c>
      <c r="B8" s="615">
        <v>1200</v>
      </c>
      <c r="C8" s="466">
        <v>523281</v>
      </c>
      <c r="D8" s="466">
        <f>44268+41125</f>
        <v>85393</v>
      </c>
      <c r="E8" s="466">
        <v>77496</v>
      </c>
      <c r="F8" s="466">
        <v>401</v>
      </c>
      <c r="G8" s="466"/>
      <c r="H8" s="466"/>
      <c r="I8" s="467"/>
      <c r="J8" s="467"/>
      <c r="K8" s="1693">
        <f t="shared" si="0"/>
        <v>686571</v>
      </c>
      <c r="L8" s="466">
        <v>692390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f>149247+2475+9394</f>
        <v>161116</v>
      </c>
      <c r="D10" s="466">
        <f>33295+131+1992</f>
        <v>35418</v>
      </c>
      <c r="E10" s="466">
        <f>10350+552</f>
        <v>10902</v>
      </c>
      <c r="F10" s="466">
        <f>9196+813</f>
        <v>10009</v>
      </c>
      <c r="G10" s="466">
        <v>33664</v>
      </c>
      <c r="H10" s="466"/>
      <c r="I10" s="467"/>
      <c r="J10" s="467"/>
      <c r="K10" s="1693">
        <f t="shared" si="0"/>
        <v>251109</v>
      </c>
      <c r="L10" s="466">
        <v>227262</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126085</v>
      </c>
      <c r="D14" s="466">
        <f>13652+13150</f>
        <v>26802</v>
      </c>
      <c r="E14" s="466">
        <v>6865</v>
      </c>
      <c r="F14" s="466">
        <v>3025</v>
      </c>
      <c r="G14" s="466"/>
      <c r="H14" s="466">
        <v>1953</v>
      </c>
      <c r="I14" s="467"/>
      <c r="J14" s="467"/>
      <c r="K14" s="1693">
        <f t="shared" si="0"/>
        <v>164730</v>
      </c>
      <c r="L14" s="466">
        <v>172613</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2611231</v>
      </c>
      <c r="D33" s="1692">
        <f t="shared" ref="D33:L33" si="1">SUM(D5:D32)</f>
        <v>529915</v>
      </c>
      <c r="E33" s="1692">
        <f t="shared" si="1"/>
        <v>103338</v>
      </c>
      <c r="F33" s="1692">
        <f t="shared" si="1"/>
        <v>72619</v>
      </c>
      <c r="G33" s="1692">
        <f t="shared" si="1"/>
        <v>41423</v>
      </c>
      <c r="H33" s="1692">
        <f t="shared" si="1"/>
        <v>1953</v>
      </c>
      <c r="I33" s="1692">
        <f t="shared" si="1"/>
        <v>0</v>
      </c>
      <c r="J33" s="1692">
        <f t="shared" si="1"/>
        <v>0</v>
      </c>
      <c r="K33" s="1692">
        <f t="shared" si="1"/>
        <v>3360479</v>
      </c>
      <c r="L33" s="1692">
        <f t="shared" si="1"/>
        <v>3336993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71189</v>
      </c>
      <c r="D37" s="466">
        <v>9145</v>
      </c>
      <c r="E37" s="466"/>
      <c r="F37" s="466">
        <v>1107</v>
      </c>
      <c r="G37" s="466"/>
      <c r="H37" s="466"/>
      <c r="I37" s="467"/>
      <c r="J37" s="467"/>
      <c r="K37" s="1693">
        <f t="shared" si="2"/>
        <v>81441</v>
      </c>
      <c r="L37" s="466">
        <v>84376</v>
      </c>
    </row>
    <row r="38" spans="1:14" x14ac:dyDescent="0.2">
      <c r="A38" s="1526" t="s">
        <v>207</v>
      </c>
      <c r="B38" s="615">
        <v>2130</v>
      </c>
      <c r="C38" s="466">
        <v>41725</v>
      </c>
      <c r="D38" s="466">
        <v>6575</v>
      </c>
      <c r="E38" s="466">
        <v>254</v>
      </c>
      <c r="F38" s="466">
        <v>1182</v>
      </c>
      <c r="G38" s="466"/>
      <c r="H38" s="466"/>
      <c r="I38" s="467"/>
      <c r="J38" s="467"/>
      <c r="K38" s="1693">
        <f t="shared" si="2"/>
        <v>49736</v>
      </c>
      <c r="L38" s="466">
        <v>52514</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97412</v>
      </c>
      <c r="D40" s="466">
        <v>12921</v>
      </c>
      <c r="E40" s="466"/>
      <c r="F40" s="466">
        <v>360</v>
      </c>
      <c r="G40" s="466"/>
      <c r="H40" s="466"/>
      <c r="I40" s="467"/>
      <c r="J40" s="467"/>
      <c r="K40" s="1693">
        <f t="shared" si="2"/>
        <v>110693</v>
      </c>
      <c r="L40" s="466">
        <v>117432</v>
      </c>
    </row>
    <row r="41" spans="1:14" x14ac:dyDescent="0.2">
      <c r="A41" s="1526" t="s">
        <v>1768</v>
      </c>
      <c r="B41" s="615">
        <v>2190</v>
      </c>
      <c r="C41" s="466">
        <v>32124</v>
      </c>
      <c r="D41" s="466"/>
      <c r="E41" s="466"/>
      <c r="F41" s="466"/>
      <c r="G41" s="466"/>
      <c r="H41" s="466"/>
      <c r="I41" s="467"/>
      <c r="J41" s="467"/>
      <c r="K41" s="1693">
        <f t="shared" si="2"/>
        <v>32124</v>
      </c>
      <c r="L41" s="466">
        <v>35937</v>
      </c>
    </row>
    <row r="42" spans="1:14" ht="12.75" customHeight="1" thickBot="1" x14ac:dyDescent="0.25">
      <c r="A42" s="1690" t="s">
        <v>581</v>
      </c>
      <c r="B42" s="1691" t="s">
        <v>740</v>
      </c>
      <c r="C42" s="1692">
        <f>SUM(C36:C41)</f>
        <v>242450</v>
      </c>
      <c r="D42" s="1692">
        <f t="shared" ref="D42:L42" si="3">SUM(D36:D41)</f>
        <v>28641</v>
      </c>
      <c r="E42" s="1692">
        <f t="shared" si="3"/>
        <v>254</v>
      </c>
      <c r="F42" s="1692">
        <f t="shared" si="3"/>
        <v>2649</v>
      </c>
      <c r="G42" s="1692">
        <f t="shared" si="3"/>
        <v>0</v>
      </c>
      <c r="H42" s="1692">
        <f t="shared" si="3"/>
        <v>0</v>
      </c>
      <c r="I42" s="1692">
        <f t="shared" si="3"/>
        <v>0</v>
      </c>
      <c r="J42" s="1692">
        <f t="shared" si="3"/>
        <v>0</v>
      </c>
      <c r="K42" s="1692">
        <f t="shared" si="3"/>
        <v>273994</v>
      </c>
      <c r="L42" s="1692">
        <f t="shared" si="3"/>
        <v>290259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v>9700</v>
      </c>
    </row>
    <row r="45" spans="1:14" x14ac:dyDescent="0.2">
      <c r="A45" s="1526" t="s">
        <v>869</v>
      </c>
      <c r="B45" s="615">
        <v>2220</v>
      </c>
      <c r="C45" s="466">
        <v>17670</v>
      </c>
      <c r="D45" s="466"/>
      <c r="E45" s="466">
        <v>1498</v>
      </c>
      <c r="F45" s="466">
        <v>3103</v>
      </c>
      <c r="G45" s="466"/>
      <c r="H45" s="466"/>
      <c r="I45" s="467"/>
      <c r="J45" s="467"/>
      <c r="K45" s="1694">
        <f>SUM(C45:J45)</f>
        <v>22271</v>
      </c>
      <c r="L45" s="466">
        <v>44320</v>
      </c>
    </row>
    <row r="46" spans="1:14" x14ac:dyDescent="0.2">
      <c r="A46" s="1526" t="s">
        <v>870</v>
      </c>
      <c r="B46" s="615">
        <v>2230</v>
      </c>
      <c r="C46" s="466"/>
      <c r="D46" s="466"/>
      <c r="E46" s="466"/>
      <c r="F46" s="466"/>
      <c r="G46" s="466"/>
      <c r="H46" s="466"/>
      <c r="I46" s="467"/>
      <c r="J46" s="467"/>
      <c r="K46" s="1694">
        <f>SUM(C46:J46)</f>
        <v>0</v>
      </c>
      <c r="L46" s="466">
        <v>550</v>
      </c>
    </row>
    <row r="47" spans="1:14" ht="12.75" customHeight="1" thickBot="1" x14ac:dyDescent="0.25">
      <c r="A47" s="1690" t="s">
        <v>582</v>
      </c>
      <c r="B47" s="1691" t="s">
        <v>32</v>
      </c>
      <c r="C47" s="1692">
        <f>SUM(C44:C46)</f>
        <v>17670</v>
      </c>
      <c r="D47" s="1692">
        <f t="shared" ref="D47:K47" si="4">SUM(D44:D46)</f>
        <v>0</v>
      </c>
      <c r="E47" s="1692">
        <f t="shared" si="4"/>
        <v>1498</v>
      </c>
      <c r="F47" s="1692">
        <f t="shared" si="4"/>
        <v>3103</v>
      </c>
      <c r="G47" s="1692">
        <f t="shared" si="4"/>
        <v>0</v>
      </c>
      <c r="H47" s="1692">
        <f t="shared" si="4"/>
        <v>0</v>
      </c>
      <c r="I47" s="1692">
        <f t="shared" si="4"/>
        <v>0</v>
      </c>
      <c r="J47" s="1692">
        <f t="shared" si="4"/>
        <v>0</v>
      </c>
      <c r="K47" s="1692">
        <f t="shared" si="4"/>
        <v>22271</v>
      </c>
      <c r="L47" s="1692">
        <f>SUM(L44:L46)</f>
        <v>54570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14222</v>
      </c>
      <c r="D49" s="481"/>
      <c r="E49" s="481">
        <v>51374</v>
      </c>
      <c r="F49" s="481">
        <v>3652</v>
      </c>
      <c r="G49" s="481"/>
      <c r="H49" s="481">
        <v>3472</v>
      </c>
      <c r="I49" s="467"/>
      <c r="J49" s="467"/>
      <c r="K49" s="1694">
        <f>SUM(C49:J49)</f>
        <v>72720</v>
      </c>
      <c r="L49" s="481">
        <v>71622</v>
      </c>
    </row>
    <row r="50" spans="1:14" x14ac:dyDescent="0.2">
      <c r="A50" s="1526" t="s">
        <v>872</v>
      </c>
      <c r="B50" s="615">
        <v>2320</v>
      </c>
      <c r="C50" s="466">
        <v>116330</v>
      </c>
      <c r="D50" s="466">
        <v>14880</v>
      </c>
      <c r="E50" s="466">
        <v>809</v>
      </c>
      <c r="F50" s="466">
        <v>133</v>
      </c>
      <c r="G50" s="466"/>
      <c r="H50" s="466">
        <v>1098</v>
      </c>
      <c r="I50" s="467"/>
      <c r="J50" s="467"/>
      <c r="K50" s="1694">
        <f>SUM(C50:J50)</f>
        <v>133250</v>
      </c>
      <c r="L50" s="466">
        <v>133359</v>
      </c>
    </row>
    <row r="51" spans="1:14" x14ac:dyDescent="0.2">
      <c r="A51" s="1526" t="s">
        <v>44</v>
      </c>
      <c r="B51" s="615">
        <v>2330</v>
      </c>
      <c r="C51" s="466"/>
      <c r="D51" s="466"/>
      <c r="E51" s="466"/>
      <c r="F51" s="466"/>
      <c r="G51" s="466"/>
      <c r="H51" s="466"/>
      <c r="I51" s="467"/>
      <c r="J51" s="467"/>
      <c r="K51" s="1694">
        <f>SUM(C51:J51)</f>
        <v>0</v>
      </c>
      <c r="L51" s="466">
        <v>500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130552</v>
      </c>
      <c r="D53" s="1692">
        <f t="shared" ref="D53:L53" si="5">SUM(D49:D52)</f>
        <v>14880</v>
      </c>
      <c r="E53" s="1692">
        <f t="shared" si="5"/>
        <v>52183</v>
      </c>
      <c r="F53" s="1692">
        <f t="shared" si="5"/>
        <v>3785</v>
      </c>
      <c r="G53" s="1692">
        <f t="shared" si="5"/>
        <v>0</v>
      </c>
      <c r="H53" s="1692">
        <f t="shared" si="5"/>
        <v>4570</v>
      </c>
      <c r="I53" s="1692">
        <f t="shared" si="5"/>
        <v>0</v>
      </c>
      <c r="J53" s="1692">
        <f t="shared" si="5"/>
        <v>0</v>
      </c>
      <c r="K53" s="1692">
        <f t="shared" si="5"/>
        <v>205970</v>
      </c>
      <c r="L53" s="1692">
        <f t="shared" si="5"/>
        <v>205481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227864</v>
      </c>
      <c r="D55" s="481">
        <f>21471+26350</f>
        <v>47821</v>
      </c>
      <c r="E55" s="481">
        <v>3732</v>
      </c>
      <c r="F55" s="481">
        <v>732</v>
      </c>
      <c r="G55" s="481"/>
      <c r="H55" s="481">
        <v>359</v>
      </c>
      <c r="I55" s="467"/>
      <c r="J55" s="467"/>
      <c r="K55" s="1694">
        <f>SUM(C55:J55)</f>
        <v>280508</v>
      </c>
      <c r="L55" s="481">
        <v>295515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227864</v>
      </c>
      <c r="D57" s="1696">
        <f t="shared" ref="D57:K57" si="6">SUM(D55:D56)</f>
        <v>47821</v>
      </c>
      <c r="E57" s="1696">
        <f t="shared" si="6"/>
        <v>3732</v>
      </c>
      <c r="F57" s="1696">
        <f t="shared" si="6"/>
        <v>732</v>
      </c>
      <c r="G57" s="1696">
        <f t="shared" si="6"/>
        <v>0</v>
      </c>
      <c r="H57" s="1696">
        <f t="shared" si="6"/>
        <v>359</v>
      </c>
      <c r="I57" s="1696">
        <f t="shared" si="6"/>
        <v>0</v>
      </c>
      <c r="J57" s="1696">
        <f t="shared" si="6"/>
        <v>0</v>
      </c>
      <c r="K57" s="1696">
        <f t="shared" si="6"/>
        <v>280508</v>
      </c>
      <c r="L57" s="1692">
        <f>SUM(L55:L56)</f>
        <v>295515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v>18340</v>
      </c>
      <c r="F59" s="481">
        <v>9873</v>
      </c>
      <c r="G59" s="481"/>
      <c r="H59" s="481"/>
      <c r="I59" s="467"/>
      <c r="J59" s="467"/>
      <c r="K59" s="1694">
        <f t="shared" ref="K59:K64" si="7">SUM(C59:J59)</f>
        <v>28213</v>
      </c>
      <c r="L59" s="481">
        <v>30700</v>
      </c>
      <c r="M59" s="610"/>
      <c r="N59" s="610"/>
    </row>
    <row r="60" spans="1:14" s="343" customFormat="1" x14ac:dyDescent="0.2">
      <c r="A60" s="1526" t="s">
        <v>483</v>
      </c>
      <c r="B60" s="615">
        <v>2520</v>
      </c>
      <c r="C60" s="466">
        <v>112907</v>
      </c>
      <c r="D60" s="466">
        <v>13200</v>
      </c>
      <c r="E60" s="466">
        <v>943</v>
      </c>
      <c r="F60" s="466">
        <v>1939</v>
      </c>
      <c r="G60" s="466"/>
      <c r="H60" s="466"/>
      <c r="I60" s="467"/>
      <c r="J60" s="467"/>
      <c r="K60" s="1694">
        <f t="shared" si="7"/>
        <v>128989</v>
      </c>
      <c r="L60" s="466">
        <v>130436</v>
      </c>
      <c r="M60" s="610"/>
      <c r="N60" s="610"/>
    </row>
    <row r="61" spans="1:14" s="343" customFormat="1" x14ac:dyDescent="0.2">
      <c r="A61" s="1526" t="s">
        <v>206</v>
      </c>
      <c r="B61" s="615">
        <v>2540</v>
      </c>
      <c r="C61" s="466">
        <v>230694</v>
      </c>
      <c r="D61" s="466">
        <v>16615</v>
      </c>
      <c r="E61" s="466"/>
      <c r="F61" s="466"/>
      <c r="G61" s="466"/>
      <c r="H61" s="466"/>
      <c r="I61" s="467"/>
      <c r="J61" s="467"/>
      <c r="K61" s="1694">
        <f t="shared" si="7"/>
        <v>247309</v>
      </c>
      <c r="L61" s="466">
        <v>255298</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106110</v>
      </c>
      <c r="D63" s="466">
        <v>24650</v>
      </c>
      <c r="E63" s="466">
        <v>2445</v>
      </c>
      <c r="F63" s="466">
        <f>170567+13457</f>
        <v>184024</v>
      </c>
      <c r="G63" s="466"/>
      <c r="H63" s="466">
        <v>310</v>
      </c>
      <c r="I63" s="467"/>
      <c r="J63" s="467"/>
      <c r="K63" s="1694">
        <f t="shared" si="7"/>
        <v>317539</v>
      </c>
      <c r="L63" s="466">
        <v>337490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449711</v>
      </c>
      <c r="D65" s="1692">
        <f t="shared" ref="D65:L65" si="8">SUM(D59:D64)</f>
        <v>54465</v>
      </c>
      <c r="E65" s="1692">
        <f t="shared" si="8"/>
        <v>21728</v>
      </c>
      <c r="F65" s="1692">
        <f t="shared" si="8"/>
        <v>195836</v>
      </c>
      <c r="G65" s="1692">
        <f t="shared" si="8"/>
        <v>0</v>
      </c>
      <c r="H65" s="1692">
        <f t="shared" si="8"/>
        <v>310</v>
      </c>
      <c r="I65" s="1692">
        <f t="shared" si="8"/>
        <v>0</v>
      </c>
      <c r="J65" s="1692">
        <f t="shared" si="8"/>
        <v>0</v>
      </c>
      <c r="K65" s="1692">
        <f t="shared" si="8"/>
        <v>722050</v>
      </c>
      <c r="L65" s="1692">
        <f t="shared" si="8"/>
        <v>753924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1068247</v>
      </c>
      <c r="D74" s="1699">
        <f t="shared" ref="D74:K74" si="10">SUM(D42,D47,D53,D57,D65,D72,D73)</f>
        <v>145807</v>
      </c>
      <c r="E74" s="1699">
        <f t="shared" si="10"/>
        <v>79395</v>
      </c>
      <c r="F74" s="1699">
        <f t="shared" si="10"/>
        <v>206105</v>
      </c>
      <c r="G74" s="1699">
        <f t="shared" si="10"/>
        <v>0</v>
      </c>
      <c r="H74" s="1699">
        <f t="shared" si="10"/>
        <v>5239</v>
      </c>
      <c r="I74" s="1699">
        <f t="shared" si="10"/>
        <v>0</v>
      </c>
      <c r="J74" s="1699">
        <f t="shared" si="10"/>
        <v>0</v>
      </c>
      <c r="K74" s="1699">
        <f t="shared" si="10"/>
        <v>1504793</v>
      </c>
      <c r="L74" s="1699">
        <f>SUM(L42,L47,L53,L57,L65,L72,L73)</f>
        <v>1599749</v>
      </c>
    </row>
    <row r="75" spans="1:14" s="259" customFormat="1" ht="15.75" customHeight="1" thickTop="1" thickBot="1" x14ac:dyDescent="0.25">
      <c r="A75" s="1632" t="s">
        <v>49</v>
      </c>
      <c r="B75" s="1633" t="s">
        <v>596</v>
      </c>
      <c r="C75" s="573"/>
      <c r="D75" s="573"/>
      <c r="E75" s="573"/>
      <c r="F75" s="573"/>
      <c r="G75" s="573"/>
      <c r="H75" s="573">
        <v>374</v>
      </c>
      <c r="I75" s="531"/>
      <c r="J75" s="531"/>
      <c r="K75" s="1692">
        <f>SUM(C75:J75)</f>
        <v>374</v>
      </c>
      <c r="L75" s="576">
        <v>1919</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272112</v>
      </c>
      <c r="I79" s="477"/>
      <c r="J79" s="477"/>
      <c r="K79" s="1693">
        <f t="shared" si="11"/>
        <v>272112</v>
      </c>
      <c r="L79" s="466">
        <v>255000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272112</v>
      </c>
      <c r="I84" s="477"/>
      <c r="J84" s="477"/>
      <c r="K84" s="1692">
        <f>SUM(K78:K83)</f>
        <v>272112</v>
      </c>
      <c r="L84" s="1692">
        <f>SUM(L78:L83)</f>
        <v>255000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272112</v>
      </c>
      <c r="I102" s="477"/>
      <c r="J102" s="477"/>
      <c r="K102" s="1699">
        <f>SUM(K84,K92,K100,K101)</f>
        <v>272112</v>
      </c>
      <c r="L102" s="1699">
        <f>SUM(L84,L92,L100,L101)</f>
        <v>255000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3679478</v>
      </c>
      <c r="D114" s="1692">
        <f t="shared" ref="D114:K114" si="13">SUM(D33,D74,D75,D102,D112,D113)</f>
        <v>675722</v>
      </c>
      <c r="E114" s="1692">
        <f t="shared" si="13"/>
        <v>182733</v>
      </c>
      <c r="F114" s="1692">
        <f t="shared" si="13"/>
        <v>278724</v>
      </c>
      <c r="G114" s="1692">
        <f t="shared" si="13"/>
        <v>41423</v>
      </c>
      <c r="H114" s="1692">
        <f>SUM(H33,H74,H75,H102,H112,H113)</f>
        <v>279678</v>
      </c>
      <c r="I114" s="1692">
        <f t="shared" si="13"/>
        <v>0</v>
      </c>
      <c r="J114" s="1692">
        <f t="shared" si="13"/>
        <v>0</v>
      </c>
      <c r="K114" s="1692">
        <f t="shared" si="13"/>
        <v>5137758</v>
      </c>
      <c r="L114" s="1692">
        <f>SUM(L33,L74,L75,L102,L112,L113)</f>
        <v>5193661</v>
      </c>
    </row>
    <row r="115" spans="1:14" ht="13.5" thickTop="1" x14ac:dyDescent="0.2">
      <c r="A115" s="2199" t="s">
        <v>1053</v>
      </c>
      <c r="B115" s="2200"/>
      <c r="C115" s="619"/>
      <c r="D115" s="619"/>
      <c r="E115" s="619"/>
      <c r="F115" s="619"/>
      <c r="G115" s="619"/>
      <c r="H115" s="619"/>
      <c r="I115" s="619"/>
      <c r="J115" s="619"/>
      <c r="K115" s="1706">
        <f>'Revenues 9-14'!C275-'Expenditures 15-22'!K114</f>
        <v>33395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f>8100+2320+20990+7510+411</f>
        <v>39331</v>
      </c>
      <c r="F124" s="466">
        <f>63874+1023+40001+565+12890+581</f>
        <v>118934</v>
      </c>
      <c r="G124" s="466">
        <f>1700+34257</f>
        <v>35957</v>
      </c>
      <c r="H124" s="466"/>
      <c r="I124" s="467"/>
      <c r="J124" s="467"/>
      <c r="K124" s="1692">
        <f>SUM(C124:J124)</f>
        <v>194222</v>
      </c>
      <c r="L124" s="466">
        <v>162410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39331</v>
      </c>
      <c r="F127" s="1692">
        <f t="shared" si="14"/>
        <v>118934</v>
      </c>
      <c r="G127" s="1692">
        <f t="shared" si="14"/>
        <v>35957</v>
      </c>
      <c r="H127" s="1692">
        <f t="shared" si="14"/>
        <v>0</v>
      </c>
      <c r="I127" s="1692">
        <f t="shared" si="14"/>
        <v>0</v>
      </c>
      <c r="J127" s="1692">
        <f t="shared" si="14"/>
        <v>0</v>
      </c>
      <c r="K127" s="1692">
        <f t="shared" si="14"/>
        <v>194222</v>
      </c>
      <c r="L127" s="1692">
        <f t="shared" si="14"/>
        <v>162410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39331</v>
      </c>
      <c r="F129" s="1699">
        <f t="shared" si="15"/>
        <v>118934</v>
      </c>
      <c r="G129" s="1699">
        <f t="shared" si="15"/>
        <v>35957</v>
      </c>
      <c r="H129" s="1699">
        <f t="shared" si="15"/>
        <v>0</v>
      </c>
      <c r="I129" s="1699">
        <f t="shared" si="15"/>
        <v>0</v>
      </c>
      <c r="J129" s="1699">
        <f t="shared" si="15"/>
        <v>0</v>
      </c>
      <c r="K129" s="1699">
        <f t="shared" si="15"/>
        <v>194222</v>
      </c>
      <c r="L129" s="1699">
        <f t="shared" si="15"/>
        <v>162410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0</v>
      </c>
      <c r="D151" s="1692">
        <f t="shared" ref="D151:K151" si="16">SUM(D129,D130,D139,D149,D150)</f>
        <v>0</v>
      </c>
      <c r="E151" s="1692">
        <f t="shared" si="16"/>
        <v>39331</v>
      </c>
      <c r="F151" s="1692">
        <f t="shared" si="16"/>
        <v>118934</v>
      </c>
      <c r="G151" s="1692">
        <f t="shared" si="16"/>
        <v>35957</v>
      </c>
      <c r="H151" s="1692">
        <f t="shared" si="16"/>
        <v>0</v>
      </c>
      <c r="I151" s="1692">
        <f t="shared" si="16"/>
        <v>0</v>
      </c>
      <c r="J151" s="1692">
        <f t="shared" si="16"/>
        <v>0</v>
      </c>
      <c r="K151" s="1692">
        <f t="shared" si="16"/>
        <v>194222</v>
      </c>
      <c r="L151" s="1692">
        <f>SUM(L129,L130,L139,L149,L150)</f>
        <v>162410</v>
      </c>
    </row>
    <row r="152" spans="1:14" ht="12.75" customHeight="1" thickTop="1" x14ac:dyDescent="0.2">
      <c r="A152" s="2192" t="s">
        <v>1240</v>
      </c>
      <c r="B152" s="2193"/>
      <c r="C152" s="619"/>
      <c r="D152" s="619"/>
      <c r="E152" s="619"/>
      <c r="F152" s="619"/>
      <c r="G152" s="619"/>
      <c r="H152" s="619"/>
      <c r="I152" s="619"/>
      <c r="J152" s="617"/>
      <c r="K152" s="1706">
        <f>'Revenues 9-14'!D275-'Expenditures 15-22'!K151</f>
        <v>-19382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44192</v>
      </c>
      <c r="I169" s="617"/>
      <c r="J169" s="617"/>
      <c r="K169" s="1693">
        <f>SUM(C169:H169)</f>
        <v>44192</v>
      </c>
      <c r="L169" s="657">
        <v>35000</v>
      </c>
    </row>
    <row r="170" spans="1:14" ht="33.75" customHeight="1" x14ac:dyDescent="0.2">
      <c r="A170" s="670" t="s">
        <v>1769</v>
      </c>
      <c r="B170" s="672" t="s">
        <v>31</v>
      </c>
      <c r="C170" s="617"/>
      <c r="D170" s="617"/>
      <c r="E170" s="617"/>
      <c r="F170" s="617"/>
      <c r="G170" s="617"/>
      <c r="H170" s="569">
        <v>286000</v>
      </c>
      <c r="I170" s="617"/>
      <c r="J170" s="617"/>
      <c r="K170" s="1693">
        <f>SUM(C170:J170)</f>
        <v>286000</v>
      </c>
      <c r="L170" s="569">
        <v>315500</v>
      </c>
    </row>
    <row r="171" spans="1:14" ht="15.75" customHeight="1" x14ac:dyDescent="0.2">
      <c r="A171" s="622" t="s">
        <v>790</v>
      </c>
      <c r="B171" s="673" t="s">
        <v>86</v>
      </c>
      <c r="C171" s="617"/>
      <c r="D171" s="617"/>
      <c r="E171" s="466"/>
      <c r="F171" s="617"/>
      <c r="G171" s="617"/>
      <c r="H171" s="569"/>
      <c r="I171" s="477"/>
      <c r="J171" s="617"/>
      <c r="K171" s="1693">
        <f>SUM(C171:J171)</f>
        <v>0</v>
      </c>
      <c r="L171" s="569">
        <v>1000</v>
      </c>
    </row>
    <row r="172" spans="1:14" ht="12.75" customHeight="1" thickBot="1" x14ac:dyDescent="0.25">
      <c r="A172" s="1690" t="s">
        <v>659</v>
      </c>
      <c r="B172" s="1691" t="s">
        <v>513</v>
      </c>
      <c r="C172" s="617"/>
      <c r="D172" s="617"/>
      <c r="E172" s="1699">
        <f>SUM(E168,E169,E170,E171)</f>
        <v>0</v>
      </c>
      <c r="F172" s="617"/>
      <c r="G172" s="617"/>
      <c r="H172" s="1699">
        <f>SUM(H168,H169,H170,H171)</f>
        <v>330192</v>
      </c>
      <c r="I172" s="639"/>
      <c r="J172" s="617"/>
      <c r="K172" s="1699">
        <f>SUM(K168,K169,K170,K171)</f>
        <v>330192</v>
      </c>
      <c r="L172" s="1699">
        <f>SUM(L168,L169,L170,L171)</f>
        <v>351500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330192</v>
      </c>
      <c r="I174" s="639"/>
      <c r="J174" s="617"/>
      <c r="K174" s="1699">
        <f>SUM(K160,K172,K173)</f>
        <v>330192</v>
      </c>
      <c r="L174" s="1699">
        <f>SUM(L160,L172,L173)</f>
        <v>351500</v>
      </c>
    </row>
    <row r="175" spans="1:14" ht="13.5" thickTop="1" x14ac:dyDescent="0.2">
      <c r="A175" s="2199" t="s">
        <v>1053</v>
      </c>
      <c r="B175" s="2200"/>
      <c r="C175" s="617"/>
      <c r="D175" s="617"/>
      <c r="E175" s="617"/>
      <c r="F175" s="617"/>
      <c r="G175" s="617"/>
      <c r="H175" s="619"/>
      <c r="I175" s="617"/>
      <c r="J175" s="617"/>
      <c r="K175" s="1706">
        <f>'Revenues 9-14'!E275-'Expenditures 15-22'!K174</f>
        <v>-26180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69652</v>
      </c>
      <c r="D182" s="466">
        <v>2635</v>
      </c>
      <c r="E182" s="466">
        <f>15896+31429+1994+840+703</f>
        <v>50862</v>
      </c>
      <c r="F182" s="466">
        <f>16122+3520</f>
        <v>19642</v>
      </c>
      <c r="G182" s="466"/>
      <c r="H182" s="466"/>
      <c r="I182" s="467"/>
      <c r="J182" s="467"/>
      <c r="K182" s="1693">
        <f>SUM(C182:J182)</f>
        <v>142791</v>
      </c>
      <c r="L182" s="466">
        <v>146943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69652</v>
      </c>
      <c r="D184" s="1699">
        <f t="shared" ref="D184:J184" si="17">SUM(D180,D182,D183)</f>
        <v>2635</v>
      </c>
      <c r="E184" s="1699">
        <f t="shared" si="17"/>
        <v>50862</v>
      </c>
      <c r="F184" s="1699">
        <f t="shared" si="17"/>
        <v>19642</v>
      </c>
      <c r="G184" s="1699">
        <f t="shared" si="17"/>
        <v>0</v>
      </c>
      <c r="H184" s="1699">
        <f t="shared" si="17"/>
        <v>0</v>
      </c>
      <c r="I184" s="1699">
        <f t="shared" si="17"/>
        <v>0</v>
      </c>
      <c r="J184" s="1699">
        <f t="shared" si="17"/>
        <v>0</v>
      </c>
      <c r="K184" s="1699">
        <f>SUM(K180,K182,K183)</f>
        <v>142791</v>
      </c>
      <c r="L184" s="1699">
        <f>SUM(L180, L182:L183)</f>
        <v>146943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69652</v>
      </c>
      <c r="D210" s="1692">
        <f>SUM(D184,D185)</f>
        <v>2635</v>
      </c>
      <c r="E210" s="1692">
        <f>SUM(E184,E185,E196)</f>
        <v>50862</v>
      </c>
      <c r="F210" s="1692">
        <f>SUM(F184,F185)</f>
        <v>19642</v>
      </c>
      <c r="G210" s="1692">
        <f>SUM(G184,G185)</f>
        <v>0</v>
      </c>
      <c r="H210" s="1692">
        <f>SUM(H184,H185,H196,H208,H209)</f>
        <v>0</v>
      </c>
      <c r="I210" s="1692">
        <f>SUM(I184,I185)</f>
        <v>0</v>
      </c>
      <c r="J210" s="1692">
        <f>SUM(J184,J185)</f>
        <v>0</v>
      </c>
      <c r="K210" s="1693">
        <f>SUM(K184,K185,K196,K208,K209)</f>
        <v>142791</v>
      </c>
      <c r="L210" s="1692">
        <f>SUM(L184,L185,L196,L208,L209)</f>
        <v>146943</v>
      </c>
    </row>
    <row r="211" spans="1:14" ht="13.5" thickTop="1" x14ac:dyDescent="0.2">
      <c r="A211" s="2199" t="s">
        <v>1053</v>
      </c>
      <c r="B211" s="2200"/>
      <c r="C211" s="619"/>
      <c r="D211" s="619"/>
      <c r="E211" s="619"/>
      <c r="F211" s="619"/>
      <c r="G211" s="619"/>
      <c r="H211" s="619"/>
      <c r="I211" s="617"/>
      <c r="J211" s="617"/>
      <c r="K211" s="1706">
        <f>'Revenues 9-14'!F275-'Expenditures 15-22'!K210</f>
        <v>43611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26374</v>
      </c>
      <c r="E215" s="617"/>
      <c r="F215" s="617"/>
      <c r="G215" s="617"/>
      <c r="H215" s="617"/>
      <c r="I215" s="617"/>
      <c r="J215" s="617"/>
      <c r="K215" s="1693">
        <f>D215</f>
        <v>26374</v>
      </c>
      <c r="L215" s="466">
        <v>27537</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39251</v>
      </c>
      <c r="E217" s="617"/>
      <c r="F217" s="617"/>
      <c r="G217" s="617"/>
      <c r="H217" s="617"/>
      <c r="I217" s="617"/>
      <c r="J217" s="617"/>
      <c r="K217" s="1693">
        <f t="shared" si="19"/>
        <v>39251</v>
      </c>
      <c r="L217" s="466">
        <v>40264</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3547</v>
      </c>
      <c r="E223" s="617"/>
      <c r="F223" s="617"/>
      <c r="G223" s="617"/>
      <c r="H223" s="617"/>
      <c r="I223" s="617"/>
      <c r="J223" s="617"/>
      <c r="K223" s="1693">
        <f t="shared" si="19"/>
        <v>3547</v>
      </c>
      <c r="L223" s="466">
        <v>3839</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69172</v>
      </c>
      <c r="E229" s="617"/>
      <c r="F229" s="617"/>
      <c r="G229" s="617"/>
      <c r="H229" s="617"/>
      <c r="I229" s="617"/>
      <c r="J229" s="617"/>
      <c r="K229" s="1692">
        <f>SUM(K215:K228)</f>
        <v>69172</v>
      </c>
      <c r="L229" s="1692">
        <f>SUM(L215:L228)</f>
        <v>71640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1031</v>
      </c>
      <c r="E233" s="617"/>
      <c r="F233" s="617"/>
      <c r="G233" s="617"/>
      <c r="H233" s="617"/>
      <c r="I233" s="617"/>
      <c r="J233" s="617"/>
      <c r="K233" s="1693">
        <f t="shared" si="20"/>
        <v>1031</v>
      </c>
      <c r="L233" s="466">
        <v>1041</v>
      </c>
    </row>
    <row r="234" spans="1:12" x14ac:dyDescent="0.2">
      <c r="A234" s="1526" t="s">
        <v>207</v>
      </c>
      <c r="B234" s="615">
        <v>2130</v>
      </c>
      <c r="C234" s="617"/>
      <c r="D234" s="466">
        <v>8815</v>
      </c>
      <c r="E234" s="617"/>
      <c r="F234" s="617"/>
      <c r="G234" s="617"/>
      <c r="H234" s="617"/>
      <c r="I234" s="617"/>
      <c r="J234" s="617"/>
      <c r="K234" s="1693">
        <f t="shared" si="20"/>
        <v>8815</v>
      </c>
      <c r="L234" s="466">
        <v>9320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1357</v>
      </c>
      <c r="E236" s="617"/>
      <c r="F236" s="617"/>
      <c r="G236" s="617"/>
      <c r="H236" s="617"/>
      <c r="I236" s="617"/>
      <c r="J236" s="617"/>
      <c r="K236" s="1693">
        <f t="shared" si="20"/>
        <v>1357</v>
      </c>
      <c r="L236" s="466">
        <v>1465</v>
      </c>
    </row>
    <row r="237" spans="1:12" x14ac:dyDescent="0.2">
      <c r="A237" s="1526" t="s">
        <v>167</v>
      </c>
      <c r="B237" s="615">
        <v>2190</v>
      </c>
      <c r="C237" s="617"/>
      <c r="D237" s="466">
        <v>6709</v>
      </c>
      <c r="E237" s="617"/>
      <c r="F237" s="617"/>
      <c r="G237" s="617"/>
      <c r="H237" s="617"/>
      <c r="I237" s="617"/>
      <c r="J237" s="617"/>
      <c r="K237" s="1693">
        <f t="shared" si="20"/>
        <v>6709</v>
      </c>
      <c r="L237" s="466">
        <v>7212</v>
      </c>
    </row>
    <row r="238" spans="1:12" ht="12.75" customHeight="1" thickBot="1" x14ac:dyDescent="0.25">
      <c r="A238" s="1690" t="s">
        <v>581</v>
      </c>
      <c r="B238" s="1697" t="s">
        <v>740</v>
      </c>
      <c r="C238" s="617"/>
      <c r="D238" s="1692">
        <f>SUM(D232:D237)</f>
        <v>17912</v>
      </c>
      <c r="E238" s="617"/>
      <c r="F238" s="617"/>
      <c r="G238" s="617"/>
      <c r="H238" s="617"/>
      <c r="I238" s="617"/>
      <c r="J238" s="617"/>
      <c r="K238" s="1692">
        <f>SUM(K232:K237)</f>
        <v>17912</v>
      </c>
      <c r="L238" s="1692">
        <f>SUM(L232:L237)</f>
        <v>19038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1352</v>
      </c>
      <c r="E241" s="617"/>
      <c r="F241" s="617"/>
      <c r="G241" s="617"/>
      <c r="H241" s="617"/>
      <c r="I241" s="617"/>
      <c r="J241" s="617"/>
      <c r="K241" s="1694">
        <f>D241</f>
        <v>1352</v>
      </c>
      <c r="L241" s="466">
        <v>1352</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1352</v>
      </c>
      <c r="E243" s="617"/>
      <c r="F243" s="617"/>
      <c r="G243" s="617"/>
      <c r="H243" s="617"/>
      <c r="I243" s="617"/>
      <c r="J243" s="617"/>
      <c r="K243" s="1692">
        <f>SUM(K240:K242)</f>
        <v>1352</v>
      </c>
      <c r="L243" s="1692">
        <f>SUM(L240:L242)</f>
        <v>1352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2741</v>
      </c>
      <c r="E245" s="617"/>
      <c r="F245" s="617"/>
      <c r="G245" s="617"/>
      <c r="H245" s="617"/>
      <c r="I245" s="617"/>
      <c r="J245" s="617"/>
      <c r="K245" s="1694">
        <f>D245</f>
        <v>2741</v>
      </c>
      <c r="L245" s="481">
        <v>2742</v>
      </c>
    </row>
    <row r="246" spans="1:12" x14ac:dyDescent="0.2">
      <c r="A246" s="1526" t="s">
        <v>872</v>
      </c>
      <c r="B246" s="615">
        <v>2320</v>
      </c>
      <c r="C246" s="617"/>
      <c r="D246" s="466">
        <v>1687</v>
      </c>
      <c r="E246" s="617"/>
      <c r="F246" s="617"/>
      <c r="G246" s="617"/>
      <c r="H246" s="617"/>
      <c r="I246" s="617"/>
      <c r="J246" s="617"/>
      <c r="K246" s="1694">
        <f t="shared" ref="K246:K256" si="21">D246</f>
        <v>1687</v>
      </c>
      <c r="L246" s="466">
        <v>1681</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4428</v>
      </c>
      <c r="E257" s="617"/>
      <c r="F257" s="617"/>
      <c r="G257" s="617"/>
      <c r="H257" s="617"/>
      <c r="I257" s="617"/>
      <c r="J257" s="617"/>
      <c r="K257" s="1692">
        <f>SUM(K245:K256)</f>
        <v>4428</v>
      </c>
      <c r="L257" s="1692">
        <f>SUM(L245:L256)</f>
        <v>4423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14554</v>
      </c>
      <c r="E259" s="617"/>
      <c r="F259" s="617"/>
      <c r="G259" s="617"/>
      <c r="H259" s="617"/>
      <c r="I259" s="617"/>
      <c r="J259" s="617"/>
      <c r="K259" s="1694">
        <f>D259</f>
        <v>14554</v>
      </c>
      <c r="L259" s="481">
        <v>14884</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14554</v>
      </c>
      <c r="E261" s="617"/>
      <c r="F261" s="617"/>
      <c r="G261" s="617"/>
      <c r="H261" s="617"/>
      <c r="I261" s="617"/>
      <c r="J261" s="617"/>
      <c r="K261" s="1692">
        <f>SUM(K259:K260)</f>
        <v>14554</v>
      </c>
      <c r="L261" s="1692">
        <f>SUM(L259:L260)</f>
        <v>14884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23720</v>
      </c>
      <c r="E264" s="617"/>
      <c r="F264" s="617"/>
      <c r="G264" s="617"/>
      <c r="H264" s="617"/>
      <c r="I264" s="617"/>
      <c r="J264" s="617"/>
      <c r="K264" s="1694">
        <f t="shared" ref="K264:K269" si="22">D264</f>
        <v>23720</v>
      </c>
      <c r="L264" s="466">
        <v>23943</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47040</v>
      </c>
      <c r="E266" s="617"/>
      <c r="F266" s="617"/>
      <c r="G266" s="617"/>
      <c r="H266" s="617"/>
      <c r="I266" s="617"/>
      <c r="J266" s="617"/>
      <c r="K266" s="1694">
        <f t="shared" si="22"/>
        <v>47040</v>
      </c>
      <c r="L266" s="466">
        <v>47975</v>
      </c>
    </row>
    <row r="267" spans="1:14" x14ac:dyDescent="0.2">
      <c r="A267" s="1526" t="s">
        <v>1010</v>
      </c>
      <c r="B267" s="615">
        <v>2550</v>
      </c>
      <c r="C267" s="617"/>
      <c r="D267" s="466">
        <v>14368</v>
      </c>
      <c r="E267" s="617"/>
      <c r="F267" s="617"/>
      <c r="G267" s="617"/>
      <c r="H267" s="617"/>
      <c r="I267" s="617"/>
      <c r="J267" s="617"/>
      <c r="K267" s="1694">
        <f t="shared" si="22"/>
        <v>14368</v>
      </c>
      <c r="L267" s="466">
        <v>14394</v>
      </c>
    </row>
    <row r="268" spans="1:14" x14ac:dyDescent="0.2">
      <c r="A268" s="1526" t="s">
        <v>102</v>
      </c>
      <c r="B268" s="615">
        <v>2560</v>
      </c>
      <c r="C268" s="617"/>
      <c r="D268" s="466">
        <v>20947</v>
      </c>
      <c r="E268" s="617"/>
      <c r="F268" s="617"/>
      <c r="G268" s="617"/>
      <c r="H268" s="617"/>
      <c r="I268" s="617"/>
      <c r="J268" s="617"/>
      <c r="K268" s="1694">
        <f t="shared" si="22"/>
        <v>20947</v>
      </c>
      <c r="L268" s="466">
        <v>21231</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106075</v>
      </c>
      <c r="E270" s="617"/>
      <c r="F270" s="617"/>
      <c r="G270" s="617"/>
      <c r="H270" s="617"/>
      <c r="I270" s="617"/>
      <c r="J270" s="617"/>
      <c r="K270" s="1692">
        <f>SUM(K263:K269)</f>
        <v>106075</v>
      </c>
      <c r="L270" s="1692">
        <f>SUM(L263:L269)</f>
        <v>107543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144321</v>
      </c>
      <c r="E279" s="617"/>
      <c r="F279" s="617"/>
      <c r="G279" s="617"/>
      <c r="H279" s="617"/>
      <c r="I279" s="617"/>
      <c r="J279" s="617"/>
      <c r="K279" s="1699">
        <f>SUM(K238,K243,K257,K261,K270,K277,K278)</f>
        <v>144321</v>
      </c>
      <c r="L279" s="1699">
        <f>SUM(L238,L243,L257,L261,L270,L277,L278)</f>
        <v>147240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213493</v>
      </c>
      <c r="E295" s="617"/>
      <c r="F295" s="617"/>
      <c r="G295" s="617"/>
      <c r="H295" s="1692">
        <f>H293</f>
        <v>0</v>
      </c>
      <c r="I295" s="617"/>
      <c r="J295" s="617"/>
      <c r="K295" s="1692">
        <f>SUM(K229,K279,K280,K285,K293,K294)</f>
        <v>213493</v>
      </c>
      <c r="L295" s="1692">
        <f>SUM(L229,L279,L280,L285,L293,L294)</f>
        <v>218880</v>
      </c>
    </row>
    <row r="296" spans="1:14" ht="13.5" thickTop="1" x14ac:dyDescent="0.2">
      <c r="A296" s="2199" t="s">
        <v>1053</v>
      </c>
      <c r="B296" s="2200"/>
      <c r="C296" s="617"/>
      <c r="D296" s="619"/>
      <c r="E296" s="617"/>
      <c r="F296" s="617"/>
      <c r="G296" s="617"/>
      <c r="H296" s="688"/>
      <c r="I296" s="617"/>
      <c r="J296" s="617"/>
      <c r="K296" s="1706">
        <f>'Revenues 9-14'!G275-'Expenditures 15-22'!K295</f>
        <v>-46725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440172</v>
      </c>
      <c r="H301" s="466"/>
      <c r="I301" s="467"/>
      <c r="J301" s="467"/>
      <c r="K301" s="1693">
        <f>SUM(C301:J301)</f>
        <v>440172</v>
      </c>
      <c r="L301" s="467">
        <v>437120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440172</v>
      </c>
      <c r="H303" s="1699">
        <f t="shared" si="23"/>
        <v>0</v>
      </c>
      <c r="I303" s="1699">
        <f t="shared" si="23"/>
        <v>0</v>
      </c>
      <c r="J303" s="1699">
        <f t="shared" si="23"/>
        <v>0</v>
      </c>
      <c r="K303" s="1699">
        <f t="shared" si="23"/>
        <v>440172</v>
      </c>
      <c r="L303" s="1699">
        <f t="shared" si="23"/>
        <v>437120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440172</v>
      </c>
      <c r="H312" s="1692">
        <f>SUM(H303,H310)</f>
        <v>0</v>
      </c>
      <c r="I312" s="1692">
        <f>SUM(I303)</f>
        <v>0</v>
      </c>
      <c r="J312" s="1692">
        <f>SUM(J303)</f>
        <v>0</v>
      </c>
      <c r="K312" s="1692">
        <f>SUM(K303,K310,K311)</f>
        <v>440172</v>
      </c>
      <c r="L312" s="1692">
        <f>SUM(L303,L310,L311)</f>
        <v>437120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-440066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35869</v>
      </c>
      <c r="F320" s="467"/>
      <c r="G320" s="467"/>
      <c r="H320" s="467"/>
      <c r="I320" s="467"/>
      <c r="J320" s="467"/>
      <c r="K320" s="1693">
        <f t="shared" ref="K320:K327" si="24">SUM(C320:J320)</f>
        <v>35869</v>
      </c>
      <c r="L320" s="467">
        <v>45752</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42332</v>
      </c>
      <c r="F322" s="467"/>
      <c r="G322" s="467"/>
      <c r="H322" s="467"/>
      <c r="I322" s="467"/>
      <c r="J322" s="467"/>
      <c r="K322" s="1693">
        <f t="shared" si="24"/>
        <v>42332</v>
      </c>
      <c r="L322" s="467">
        <v>31000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78201</v>
      </c>
      <c r="F330" s="1692">
        <f t="shared" si="25"/>
        <v>0</v>
      </c>
      <c r="G330" s="1692">
        <f t="shared" si="25"/>
        <v>0</v>
      </c>
      <c r="H330" s="1692">
        <f t="shared" si="25"/>
        <v>0</v>
      </c>
      <c r="I330" s="1692">
        <f t="shared" si="25"/>
        <v>0</v>
      </c>
      <c r="J330" s="1692">
        <f t="shared" si="25"/>
        <v>0</v>
      </c>
      <c r="K330" s="1692">
        <f>SUM(K319:K329)</f>
        <v>78201</v>
      </c>
      <c r="L330" s="1692">
        <f>SUM(L319:L329)</f>
        <v>76752</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78201</v>
      </c>
      <c r="F342" s="1692">
        <f>SUM(F330)</f>
        <v>0</v>
      </c>
      <c r="G342" s="1692">
        <f>SUM(G330)</f>
        <v>0</v>
      </c>
      <c r="H342" s="1692">
        <f>SUM(H330,H334,H340)</f>
        <v>0</v>
      </c>
      <c r="I342" s="1692">
        <f>SUM(I330)</f>
        <v>0</v>
      </c>
      <c r="J342" s="1692">
        <f>SUM(J330)</f>
        <v>0</v>
      </c>
      <c r="K342" s="1692">
        <f>SUM(K330,K334,K340)</f>
        <v>78201</v>
      </c>
      <c r="L342" s="1699">
        <f>SUM(L330,L340,L341)</f>
        <v>76752</v>
      </c>
    </row>
    <row r="343" spans="1:14" ht="12.75" customHeight="1" thickTop="1" x14ac:dyDescent="0.2">
      <c r="A343" s="2185" t="s">
        <v>1053</v>
      </c>
      <c r="B343" s="2186"/>
      <c r="C343" s="617"/>
      <c r="D343" s="617"/>
      <c r="E343" s="617"/>
      <c r="F343" s="617"/>
      <c r="G343" s="617"/>
      <c r="H343" s="617"/>
      <c r="I343" s="617"/>
      <c r="J343" s="617"/>
      <c r="K343" s="1706">
        <f>'Revenues 9-14'!J275-'Expenditures 15-22'!K342</f>
        <v>-15571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21369</v>
      </c>
      <c r="F348" s="466"/>
      <c r="G348" s="466">
        <v>48220</v>
      </c>
      <c r="H348" s="466"/>
      <c r="I348" s="467"/>
      <c r="J348" s="467"/>
      <c r="K348" s="1693">
        <f>SUM(C348:J348)</f>
        <v>69589</v>
      </c>
      <c r="L348" s="466">
        <v>54500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21369</v>
      </c>
      <c r="F350" s="1692">
        <f t="shared" si="26"/>
        <v>0</v>
      </c>
      <c r="G350" s="1692">
        <f t="shared" si="26"/>
        <v>48220</v>
      </c>
      <c r="H350" s="1692">
        <f t="shared" si="26"/>
        <v>0</v>
      </c>
      <c r="I350" s="1692">
        <f t="shared" si="26"/>
        <v>0</v>
      </c>
      <c r="J350" s="1692">
        <f t="shared" si="26"/>
        <v>0</v>
      </c>
      <c r="K350" s="1692">
        <f t="shared" si="26"/>
        <v>69589</v>
      </c>
      <c r="L350" s="1692">
        <f t="shared" si="26"/>
        <v>54500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21369</v>
      </c>
      <c r="F352" s="1692">
        <f t="shared" si="27"/>
        <v>0</v>
      </c>
      <c r="G352" s="1692">
        <f t="shared" si="27"/>
        <v>48220</v>
      </c>
      <c r="H352" s="1692">
        <f t="shared" si="27"/>
        <v>0</v>
      </c>
      <c r="I352" s="1692">
        <f t="shared" si="27"/>
        <v>0</v>
      </c>
      <c r="J352" s="1692">
        <f t="shared" si="27"/>
        <v>0</v>
      </c>
      <c r="K352" s="1692">
        <f t="shared" si="27"/>
        <v>69589</v>
      </c>
      <c r="L352" s="1692">
        <f t="shared" si="27"/>
        <v>54500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21369</v>
      </c>
      <c r="F367" s="1692">
        <f t="shared" si="28"/>
        <v>0</v>
      </c>
      <c r="G367" s="1692">
        <f t="shared" si="28"/>
        <v>48220</v>
      </c>
      <c r="H367" s="1692">
        <f t="shared" si="28"/>
        <v>0</v>
      </c>
      <c r="I367" s="1692">
        <f t="shared" si="28"/>
        <v>0</v>
      </c>
      <c r="J367" s="1692">
        <f t="shared" si="28"/>
        <v>0</v>
      </c>
      <c r="K367" s="1692">
        <f t="shared" si="28"/>
        <v>69589</v>
      </c>
      <c r="L367" s="1692">
        <f t="shared" si="28"/>
        <v>54500</v>
      </c>
    </row>
    <row r="368" spans="1:14" ht="13.5" thickTop="1" x14ac:dyDescent="0.2">
      <c r="A368" s="2199" t="s">
        <v>1053</v>
      </c>
      <c r="B368" s="2200"/>
      <c r="C368" s="655"/>
      <c r="D368" s="655"/>
      <c r="E368" s="627"/>
      <c r="F368" s="627"/>
      <c r="G368" s="627"/>
      <c r="H368" s="627"/>
      <c r="I368" s="627"/>
      <c r="J368" s="624"/>
      <c r="K368" s="1693">
        <f>'Revenues 9-14'!K275-'Expenditures 15-22'!K367</f>
        <v>58799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&amp;L&amp;8&amp;F&amp;C&amp;8The accompanying Notes to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www.w3.org/XML/1998/namespace"/>
    <ds:schemaRef ds:uri="http://schemas.microsoft.com/office/infopath/2007/PartnerControls"/>
    <ds:schemaRef ds:uri="http://purl.org/dc/elements/1.1/"/>
    <ds:schemaRef ds:uri="http://purl.org/dc/terms/"/>
    <ds:schemaRef ds:uri="http://schemas.microsoft.com/sharepoint/v3"/>
    <ds:schemaRef ds:uri="4d435f69-8686-490b-bd6d-b153bf22ab50"/>
    <ds:schemaRef ds:uri="http://schemas.microsoft.com/office/2006/documentManagement/types"/>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2018-11-18T08:53:26Z</cp:lastPrinted>
  <dcterms:created xsi:type="dcterms:W3CDTF">2003-10-29T19:06:34Z</dcterms:created>
  <dcterms:modified xsi:type="dcterms:W3CDTF">2018-12-17T14:47:31Z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