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107" i="5" l="1"/>
  <c r="C4" i="3" l="1"/>
  <c r="J34" i="8" l="1"/>
  <c r="K5" i="5"/>
  <c r="J5" i="5"/>
  <c r="I5" i="5"/>
  <c r="D259" i="29"/>
  <c r="D215" i="29"/>
  <c r="G8" i="5"/>
  <c r="G5" i="5"/>
  <c r="F182" i="29"/>
  <c r="E182" i="29"/>
  <c r="F5" i="5"/>
  <c r="H170" i="29"/>
  <c r="E5" i="5"/>
  <c r="F124" i="29"/>
  <c r="G124" i="29"/>
  <c r="E124" i="29"/>
  <c r="D5" i="5"/>
  <c r="F55" i="29"/>
  <c r="E55" i="29"/>
  <c r="D55" i="29"/>
  <c r="C55" i="29"/>
  <c r="D44" i="29"/>
  <c r="C44" i="29"/>
  <c r="D40" i="29"/>
  <c r="D37" i="29"/>
  <c r="D18" i="29"/>
  <c r="D17" i="29"/>
  <c r="D13" i="29"/>
  <c r="F5" i="29"/>
  <c r="E5" i="29"/>
  <c r="D8" i="29"/>
  <c r="D7" i="29"/>
  <c r="D5" i="29"/>
  <c r="C5" i="29"/>
  <c r="C171" i="5"/>
  <c r="C106" i="5"/>
  <c r="C7" i="5"/>
  <c r="C5" i="5"/>
  <c r="M19" i="3"/>
  <c r="I12" i="11"/>
  <c r="L10" i="37" l="1"/>
  <c r="H10" i="37"/>
  <c r="F10" i="37"/>
  <c r="D10" i="37"/>
  <c r="D50"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K13" i="4"/>
  <c r="B3572" i="106" s="1"/>
  <c r="D3572" i="106" s="1"/>
  <c r="D14" i="4"/>
  <c r="B2570" i="106" s="1"/>
  <c r="D2570" i="106" s="1"/>
  <c r="F14" i="4"/>
  <c r="B2597" i="106" s="1"/>
  <c r="D2597" i="106" s="1"/>
  <c r="B2633" i="106"/>
  <c r="D2633" i="106" s="1"/>
  <c r="D7" i="118"/>
  <c r="D8" i="118"/>
  <c r="D9" i="118"/>
  <c r="H14" i="118"/>
  <c r="H19" i="118"/>
  <c r="H24" i="118"/>
  <c r="H29" i="118"/>
  <c r="H33" i="118"/>
  <c r="D11" i="37"/>
  <c r="J22" i="37"/>
  <c r="D24" i="37"/>
  <c r="B4270" i="106" s="1"/>
  <c r="D4270" i="106" s="1"/>
  <c r="D4" i="7"/>
  <c r="B1760" i="106" s="1"/>
  <c r="D1760" i="106" s="1"/>
  <c r="D5" i="7"/>
  <c r="B1761" i="106" s="1"/>
  <c r="D1761" i="106" s="1"/>
  <c r="D13" i="7"/>
  <c r="B3726" i="106" s="1"/>
  <c r="D3726" i="106" s="1"/>
  <c r="D9" i="7"/>
  <c r="B1767" i="106" s="1"/>
  <c r="D1767" i="106" s="1"/>
  <c r="F136" i="34"/>
  <c r="F131" i="34"/>
  <c r="F128" i="34"/>
  <c r="F111" i="34"/>
  <c r="B5847" i="106"/>
  <c r="D5847" i="106" s="1"/>
  <c r="B5752" i="106"/>
  <c r="D5752" i="106" s="1"/>
  <c r="K274" i="5"/>
  <c r="H109" i="5"/>
  <c r="B6025" i="106" s="1"/>
  <c r="D6025" i="106" s="1"/>
  <c r="D7" i="7"/>
  <c r="B1763" i="106" s="1"/>
  <c r="D1763" i="106" s="1"/>
  <c r="D17" i="7"/>
  <c r="B4104" i="106" s="1"/>
  <c r="D4104" i="106" s="1"/>
  <c r="D11" i="7"/>
  <c r="B1768" i="106" s="1"/>
  <c r="D1768" i="106" s="1"/>
  <c r="D15" i="7"/>
  <c r="B1772" i="106" s="1"/>
  <c r="D1772" i="106" s="1"/>
  <c r="G173" i="5" l="1"/>
  <c r="B5778" i="106" s="1"/>
  <c r="D5778" i="106" s="1"/>
  <c r="B5770" i="106"/>
  <c r="D5770" i="106" s="1"/>
  <c r="H173" i="5"/>
  <c r="F127" i="34"/>
  <c r="G5" i="4"/>
  <c r="B3409" i="106" s="1"/>
  <c r="D3409" i="106" s="1"/>
  <c r="I274" i="5"/>
  <c r="C172" i="5"/>
  <c r="B5214" i="106" s="1"/>
  <c r="D5214" i="106" s="1"/>
  <c r="L367" i="29"/>
  <c r="B7235" i="106"/>
  <c r="D7235" i="106" s="1"/>
  <c r="I24" i="12"/>
  <c r="I26" i="12" s="1"/>
  <c r="B7741" i="106" s="1"/>
  <c r="D7741" i="106" s="1"/>
  <c r="D6103" i="106"/>
  <c r="B3649" i="106"/>
  <c r="D3649" i="106" s="1"/>
  <c r="G367" i="29"/>
  <c r="B3621" i="106"/>
  <c r="D3621" i="106" s="1"/>
  <c r="C367" i="29"/>
  <c r="K285" i="29"/>
  <c r="E174" i="29"/>
  <c r="B1309" i="106" s="1"/>
  <c r="D1309" i="106" s="1"/>
  <c r="C129" i="29"/>
  <c r="N22" i="3"/>
  <c r="B283" i="106" s="1"/>
  <c r="D283" i="106" s="1"/>
  <c r="D12" i="7"/>
  <c r="B1769" i="106" s="1"/>
  <c r="D1769" i="106" s="1"/>
  <c r="H4" i="4"/>
  <c r="B2655" i="106" s="1"/>
  <c r="D2655" i="106" s="1"/>
  <c r="B1410" i="106"/>
  <c r="D1410" i="106" s="1"/>
  <c r="G4" i="4"/>
  <c r="B2603" i="106" s="1"/>
  <c r="D2603" i="106" s="1"/>
  <c r="G29" i="108"/>
  <c r="E29" i="108"/>
  <c r="K184" i="29"/>
  <c r="F13" i="4" s="1"/>
  <c r="B2596" i="106" s="1"/>
  <c r="D2596" i="106" s="1"/>
  <c r="B1329" i="106"/>
  <c r="D1329" i="106" s="1"/>
  <c r="F61" i="34"/>
  <c r="B1746" i="106"/>
  <c r="D1746" i="106" s="1"/>
  <c r="E109" i="5"/>
  <c r="E4" i="4" s="1"/>
  <c r="B2630" i="106" s="1"/>
  <c r="D2630" i="106" s="1"/>
  <c r="D109" i="5"/>
  <c r="B5356" i="106" s="1"/>
  <c r="D5356" i="106" s="1"/>
  <c r="G30" i="108"/>
  <c r="E30" i="108"/>
  <c r="B5096" i="106"/>
  <c r="D5096" i="106" s="1"/>
  <c r="F130" i="34"/>
  <c r="F106" i="34"/>
  <c r="B5161" i="106"/>
  <c r="D5161" i="106" s="1"/>
  <c r="C173" i="5"/>
  <c r="B5223" i="106" s="1"/>
  <c r="D5223" i="106" s="1"/>
  <c r="C109" i="5"/>
  <c r="B5121" i="106" s="1"/>
  <c r="D5121" i="106" s="1"/>
  <c r="D54" i="36"/>
  <c r="D52" i="36"/>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K28" i="118"/>
  <c r="O27" i="118" s="1"/>
  <c r="O29" i="118"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D274" i="5"/>
  <c r="B7270" i="106"/>
  <c r="D7255" i="106" l="1"/>
  <c r="D7253" i="106"/>
  <c r="B7215" i="106"/>
  <c r="D7215" i="106" s="1"/>
  <c r="D7252" i="106"/>
  <c r="H367" i="29"/>
  <c r="B3660" i="106" s="1"/>
  <c r="D3660" i="106" s="1"/>
  <c r="F73" i="34"/>
  <c r="G15" i="4"/>
  <c r="B6032" i="106" s="1"/>
  <c r="D6032" i="106" s="1"/>
  <c r="B5906" i="106"/>
  <c r="D5906" i="106" s="1"/>
  <c r="H6" i="4"/>
  <c r="F275" i="5"/>
  <c r="F6" i="4"/>
  <c r="B2593" i="106" s="1"/>
  <c r="D2593" i="106" s="1"/>
  <c r="B1317" i="106"/>
  <c r="D1317" i="106" s="1"/>
  <c r="D4" i="4"/>
  <c r="B2564" i="106" s="1"/>
  <c r="D2564" i="106" s="1"/>
  <c r="C4" i="4"/>
  <c r="B2551" i="106" s="1"/>
  <c r="D2551" i="106" s="1"/>
  <c r="D44" i="36"/>
  <c r="C114" i="29"/>
  <c r="B757" i="106" s="1"/>
  <c r="D757" i="106" s="1"/>
  <c r="L114" i="29"/>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B1145" i="106"/>
  <c r="D1145" i="106" s="1"/>
  <c r="E41" i="108"/>
  <c r="E44" i="108" s="1"/>
  <c r="E45" i="108" s="1"/>
  <c r="G41" i="108"/>
  <c r="G44" i="108" s="1"/>
  <c r="G45" i="108"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<sst xmlns="http://schemas.openxmlformats.org/spreadsheetml/2006/main" count="5038" uniqueCount="2106">
  <si>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</si>
  <si>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</si>
  <si>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</si>
  <si>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</si>
  <si>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</si>
  <si>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</si>
  <si>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</si>
  <si>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</si>
  <si>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</si>
  <si>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</si>
  <si>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</si>
  <si>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</si>
  <si>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</si>
  <si>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</si>
  <si>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</si>
  <si>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</si>
  <si>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</si>
  <si>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</si>
  <si>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</si>
  <si>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</si>
  <si>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</si>
  <si>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</si>
  <si>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</si>
  <si>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</si>
  <si>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</si>
  <si>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</si>
  <si>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</si>
  <si>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</si>
  <si>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</si>
  <si>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</si>
  <si>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</si>
  <si>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</si>
  <si>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</si>
  <si>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</si>
  <si>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</si>
  <si>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</si>
  <si>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</si>
  <si>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</si>
  <si>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</si>
  <si>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</si>
  <si>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</si>
  <si>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</si>
  <si>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</si>
  <si>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</si>
  <si>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</si>
  <si>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</si>
  <si>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</si>
  <si>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</si>
  <si>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</si>
  <si>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</si>
  <si>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</si>
  <si>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</si>
  <si>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</si>
  <si>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</si>
  <si>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</si>
  <si>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</si>
  <si>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</si>
  <si>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</si>
  <si>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</si>
  <si>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</si>
  <si>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</si>
  <si>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</si>
  <si>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</si>
  <si>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</si>
  <si>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</si>
  <si>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</si>
  <si>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</si>
  <si>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</si>
  <si>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</si>
  <si>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</si>
  <si>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</si>
  <si>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</si>
  <si>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</si>
  <si>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</si>
  <si>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</si>
  <si>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</si>
  <si>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</si>
  <si>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</si>
  <si>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</si>
  <si>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</si>
  <si>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</si>
  <si>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</si>
  <si>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</si>
  <si>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</si>
  <si>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</si>
  <si>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</si>
  <si>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</si>
  <si>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</si>
  <si>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</si>
  <si>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</si>
  <si>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</si>
  <si>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</si>
  <si>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</si>
  <si>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</si>
  <si>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</si>
  <si>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</si>
  <si>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</si>
  <si>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</si>
  <si>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</si>
  <si>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</si>
  <si>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</si>
  <si>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</si>
  <si>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</si>
  <si>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</si>
  <si>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</si>
  <si>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</si>
  <si>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</si>
  <si>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</si>
  <si>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</si>
  <si>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</si>
  <si>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</si>
  <si>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</si>
  <si>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</si>
  <si>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</si>
  <si>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</si>
  <si>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</si>
  <si>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</si>
  <si>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</si>
  <si>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</si>
  <si>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</si>
  <si>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</si>
  <si>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</si>
  <si>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</si>
  <si>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</si>
  <si>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</si>
  <si>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</si>
  <si>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</si>
  <si>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</si>
  <si>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</si>
  <si>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</si>
  <si>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</si>
  <si>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</si>
  <si>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</si>
  <si>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</si>
  <si>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</si>
  <si>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</si>
  <si>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</si>
  <si>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</si>
  <si>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</si>
  <si>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</si>
  <si>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</si>
  <si>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</si>
  <si>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</si>
  <si>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</si>
  <si>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</si>
  <si>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</si>
  <si>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</si>
  <si>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</si>
  <si>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</si>
  <si>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</si>
  <si>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</si>
  <si>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</si>
  <si>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</si>
  <si>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</si>
  <si>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</si>
  <si>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</si>
  <si>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</si>
  <si>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</si>
  <si>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</si>
  <si>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</si>
  <si>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</si>
  <si>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</si>
  <si>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</si>
  <si>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</si>
  <si>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</si>
  <si>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</si>
  <si>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</si>
  <si>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</si>
  <si>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</si>
  <si>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</si>
  <si>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</si>
  <si>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</si>
  <si>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</si>
  <si>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</si>
  <si>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</si>
  <si>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</si>
  <si>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</si>
  <si>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</si>
  <si>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</si>
  <si>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</si>
  <si>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</si>
  <si>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</si>
  <si>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</si>
  <si>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</si>
  <si>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</si>
  <si>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</si>
  <si>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</si>
  <si>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</si>
  <si>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</si>
  <si>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</si>
  <si>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</si>
  <si>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</si>
  <si>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</si>
  <si>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</si>
  <si>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</si>
  <si>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</si>
  <si>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</si>
  <si>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</si>
  <si>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</si>
  <si>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</si>
  <si>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</si>
  <si>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</si>
  <si>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</si>
  <si>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</si>
  <si>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</si>
  <si>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</si>
  <si>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</si>
  <si>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</si>
  <si>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</si>
  <si>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</si>
  <si>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</si>
  <si>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</si>
  <si>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</si>
  <si>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</si>
  <si>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</si>
  <si>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</si>
  <si>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</si>
  <si>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</si>
  <si>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</si>
  <si>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</si>
  <si>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</si>
  <si>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</si>
  <si>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</si>
  <si>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</si>
  <si>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</si>
  <si>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</si>
  <si>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</si>
  <si>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</si>
  <si>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</si>
  <si>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</si>
  <si>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</si>
  <si>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</si>
  <si>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</si>
  <si>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</si>
  <si>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</si>
  <si>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</si>
  <si>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</si>
  <si>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</si>
  <si>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</si>
  <si>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</si>
  <si>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</si>
  <si>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</si>
  <si>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</si>
  <si>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</si>
  <si>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</si>
  <si>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</si>
  <si>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</si>
  <si>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</si>
  <si>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</si>
  <si>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</si>
  <si>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</si>
  <si>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</si>
  <si>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</si>
  <si>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</si>
  <si>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</si>
  <si>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</si>
  <si>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</si>
  <si>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</si>
  <si>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</si>
  <si>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</si>
  <si>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</si>
  <si>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</si>
  <si>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</si>
  <si>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</si>
  <si>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</si>
  <si>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</si>
  <si>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</si>
  <si>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</si>
  <si>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</si>
  <si>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</si>
  <si>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</si>
  <si>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</si>
  <si>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</si>
  <si>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</si>
  <si>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</si>
  <si>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</si>
  <si>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</si>
  <si>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</si>
  <si>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</si>
  <si>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</si>
  <si>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</si>
  <si>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</si>
  <si>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</si>
  <si>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</si>
  <si>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</si>
  <si>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</si>
  <si>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</si>
  <si>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</si>
  <si>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</si>
  <si>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</si>
  <si>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</si>
  <si>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</si>
  <si>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</si>
  <si>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</si>
  <si>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</si>
  <si>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</si>
  <si>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</si>
  <si>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</si>
  <si>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</si>
  <si>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</si>
  <si>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</si>
  <si>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</si>
  <si>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</si>
  <si>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</si>
  <si>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</si>
  <si>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</si>
  <si>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</si>
  <si>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</si>
  <si>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</si>
  <si>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</si>
  <si>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</si>
  <si>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</si>
  <si>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</si>
  <si>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</si>
  <si>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</si>
  <si>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</si>
  <si>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</si>
  <si>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</si>
  <si>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</si>
  <si>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</si>
  <si>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</si>
  <si>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</si>
  <si>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</si>
  <si>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</si>
  <si>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</si>
  <si>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</si>
  <si>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</si>
  <si>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</si>
  <si>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</si>
  <si>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</si>
  <si>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</si>
  <si>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</si>
  <si>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</si>
  <si>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</si>
  <si>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</si>
  <si>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</si>
  <si>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</si>
  <si>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</si>
  <si>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</si>
  <si>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</si>
  <si>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</si>
  <si>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</si>
  <si>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</si>
  <si>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</si>
  <si>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</si>
  <si>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</si>
  <si>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</si>
  <si>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</si>
  <si>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</si>
  <si>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</si>
  <si>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</si>
  <si>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</si>
  <si>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</si>
  <si>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</si>
  <si>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</si>
  <si>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</si>
  <si>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</si>
  <si>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</si>
  <si>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</si>
  <si>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</si>
  <si>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</si>
  <si>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</si>
  <si>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</si>
  <si>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</si>
  <si>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</si>
  <si>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</si>
  <si>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</si>
  <si>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</si>
  <si>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</si>
  <si>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</si>
  <si>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</si>
  <si>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</si>
  <si>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</si>
  <si>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</si>
  <si>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</si>
  <si>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</si>
  <si>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</si>
  <si>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</si>
  <si>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</si>
  <si>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</si>
  <si>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</si>
  <si>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</si>
  <si>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</si>
  <si>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</si>
  <si>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</si>
  <si>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</si>
  <si>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</si>
  <si>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</si>
  <si>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</si>
  <si>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</si>
  <si>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</si>
  <si>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</si>
  <si>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</si>
  <si>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</si>
  <si>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</si>
  <si>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</si>
  <si>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</si>
  <si>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</si>
  <si>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</si>
  <si>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</si>
  <si>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</si>
  <si>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</si>
  <si>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</si>
  <si>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</si>
  <si>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</si>
  <si>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</si>
  <si>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</si>
  <si>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</si>
  <si>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</si>
  <si>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</si>
  <si>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</si>
  <si>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</si>
  <si>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</si>
  <si>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</si>
  <si>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</si>
  <si>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</si>
  <si>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</si>
  <si>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</si>
  <si>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</si>
  <si>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</si>
  <si>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</si>
  <si>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</si>
  <si>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</si>
  <si>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</si>
  <si>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</si>
  <si>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</si>
  <si>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</si>
  <si>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</si>
  <si>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</si>
  <si>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</si>
  <si>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</si>
  <si>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</si>
  <si>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</si>
  <si>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</si>
  <si>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</si>
  <si>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</si>
  <si>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</si>
  <si>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</si>
  <si>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</si>
  <si>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</si>
  <si>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</si>
  <si>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</si>
  <si>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</si>
  <si>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</si>
  <si>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</si>
  <si>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</si>
  <si>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</si>
  <si>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</si>
  <si>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</si>
  <si>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</si>
  <si>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</si>
  <si>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</si>
  <si>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</si>
  <si>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</si>
  <si>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</si>
  <si>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</si>
  <si>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</si>
  <si>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</si>
  <si>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</si>
  <si>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</si>
  <si>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</si>
  <si>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</si>
  <si>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</si>
  <si>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</si>
  <si>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</si>
  <si>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</si>
  <si>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</si>
  <si>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</si>
  <si>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</si>
  <si>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</si>
  <si>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</si>
  <si>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</si>
  <si>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</si>
  <si>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</si>
  <si>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</si>
  <si>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</si>
  <si>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</si>
  <si>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</si>
  <si>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</si>
  <si>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</si>
  <si>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</si>
  <si>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</si>
  <si>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</si>
  <si>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</si>
  <si>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</si>
  <si>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</si>
  <si>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</si>
  <si>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</si>
  <si>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</si>
  <si>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</si>
  <si>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</si>
  <si>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</si>
  <si>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</si>
  <si>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</si>
  <si>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</si>
  <si>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</si>
  <si>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</si>
  <si>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</si>
  <si>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</si>
  <si>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</si>
  <si>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</si>
  <si>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</si>
  <si>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</si>
  <si>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</si>
  <si>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</si>
  <si>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</si>
  <si>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</si>
  <si>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</si>
  <si>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</si>
  <si>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</si>
  <si>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</si>
  <si>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</si>
  <si>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</si>
  <si>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</si>
  <si>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</si>
  <si>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</si>
  <si>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</si>
  <si>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</si>
  <si>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</si>
  <si>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</si>
  <si>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</si>
  <si>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</si>
  <si>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</si>
  <si>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</si>
  <si>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</si>
  <si>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</si>
  <si>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</si>
  <si>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</si>
  <si>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</si>
  <si>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</si>
  <si>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</si>
  <si>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</si>
  <si>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</si>
  <si>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</si>
  <si>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</si>
  <si>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</si>
  <si>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</si>
  <si>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</si>
  <si>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</si>
  <si>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</si>
  <si>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</si>
  <si>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</si>
  <si>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</si>
  <si>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</si>
  <si>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</si>
  <si>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</si>
  <si>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</si>
  <si>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</si>
  <si>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</si>
  <si>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</si>
  <si>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</si>
  <si>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</si>
  <si>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</si>
  <si>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</si>
  <si>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</si>
  <si>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</si>
  <si>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</si>
  <si>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</si>
  <si>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</si>
  <si>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</si>
  <si>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</si>
  <si>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</si>
  <si>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</si>
  <si>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</si>
  <si>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</si>
  <si>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</si>
  <si>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</si>
  <si>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</si>
  <si>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</si>
  <si>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</si>
  <si>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</si>
  <si>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</si>
  <si>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</si>
  <si>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</si>
  <si>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</si>
  <si>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</si>
  <si>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</si>
  <si>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</si>
  <si>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</si>
  <si>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</si>
  <si>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</si>
  <si>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</si>
  <si>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</si>
  <si>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</si>
  <si>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</si>
  <si>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</si>
  <si>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</si>
  <si>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</si>
  <si>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</si>
  <si>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</si>
  <si>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</si>
  <si>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</si>
  <si>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</si>
  <si>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</si>
  <si>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</si>
  <si>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</si>
  <si>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</si>
  <si>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</si>
  <si>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</si>
  <si>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</si>
  <si>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</si>
  <si>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</si>
  <si>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</si>
  <si>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</si>
  <si>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</si>
  <si>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</si>
  <si>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</si>
  <si>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</si>
  <si>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</si>
  <si>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</si>
  <si>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</si>
  <si>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</si>
  <si>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</si>
  <si>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</si>
  <si>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</si>
  <si>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</si>
  <si>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</si>
  <si>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</si>
  <si>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</si>
  <si>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</si>
  <si>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</si>
  <si>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</si>
  <si>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</si>
  <si>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</si>
  <si>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</si>
  <si>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</si>
  <si>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</si>
  <si>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</si>
  <si>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</si>
  <si>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</si>
  <si>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</si>
  <si>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</si>
  <si>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</si>
  <si>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</si>
  <si>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</si>
  <si>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</si>
  <si>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</si>
  <si>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</si>
  <si>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</si>
  <si>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</si>
  <si>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</si>
  <si>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</si>
  <si>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</si>
  <si>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</si>
  <si>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</si>
  <si>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</si>
  <si>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</si>
  <si>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</si>
  <si>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</si>
  <si>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</si>
  <si>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</si>
  <si>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</si>
  <si>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</si>
  <si>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</si>
  <si>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</si>
  <si>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</si>
  <si>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</si>
  <si>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</si>
  <si>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</si>
  <si>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</si>
  <si>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</si>
  <si>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</si>
  <si>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</si>
  <si>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</si>
  <si>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</si>
  <si>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</si>
  <si>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</si>
  <si>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</si>
  <si>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</si>
  <si>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</si>
  <si>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</si>
  <si>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</si>
  <si>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</si>
  <si>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</si>
  <si>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</si>
  <si>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</si>
  <si>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</si>
  <si>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</si>
  <si>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</si>
  <si>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</si>
  <si>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</si>
  <si>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</si>
  <si>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</si>
  <si>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</si>
  <si>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</si>
  <si>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</si>
  <si>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</si>
  <si>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</si>
  <si>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</si>
  <si>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</si>
  <si>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</si>
  <si>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</si>
  <si>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</si>
  <si>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</si>
  <si>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</si>
  <si>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</si>
  <si>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</si>
  <si>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</si>
  <si>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</si>
  <si>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</si>
  <si>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</si>
  <si>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</si>
  <si>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</si>
  <si>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</si>
  <si>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</si>
  <si>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</si>
  <si>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</si>
  <si>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</si>
  <si>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</si>
  <si>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</si>
  <si>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</si>
  <si>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</si>
  <si>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</si>
  <si>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</si>
  <si>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</si>
  <si>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</si>
  <si>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</si>
  <si>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</si>
  <si>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</si>
  <si>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</si>
  <si>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</si>
  <si>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</si>
  <si>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</si>
  <si>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</si>
  <si>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</si>
  <si>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</si>
  <si>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</si>
  <si>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</si>
  <si>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</si>
  <si>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</si>
  <si>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</si>
  <si>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</si>
  <si>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</si>
  <si>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</si>
  <si>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</si>
  <si>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</si>
  <si>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</si>
  <si>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</si>
  <si>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</si>
  <si>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</si>
  <si>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</si>
  <si>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</si>
  <si>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</si>
  <si>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</si>
  <si>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</si>
  <si>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</si>
  <si>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</si>
  <si>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</si>
  <si>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</si>
  <si>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</si>
  <si>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</si>
  <si>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</si>
  <si>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</si>
  <si>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</si>
  <si>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</si>
  <si>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</si>
  <si>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</si>
  <si>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</si>
  <si>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</si>
  <si>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</si>
  <si>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</si>
  <si>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</si>
  <si>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</si>
  <si>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</si>
  <si>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</si>
  <si>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</si>
  <si>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</si>
  <si>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</si>
  <si>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</si>
  <si>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</si>
  <si>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</si>
  <si>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</si>
  <si>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</si>
  <si>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</si>
  <si>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</si>
  <si>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</si>
  <si>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</si>
  <si>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</si>
  <si>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</si>
  <si>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</si>
  <si>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</si>
  <si>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</si>
  <si>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</si>
  <si>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</si>
  <si>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</si>
  <si>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</si>
  <si>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</si>
  <si>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</si>
  <si>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</si>
  <si>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</si>
  <si>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</si>
  <si>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</si>
  <si>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</si>
  <si>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</si>
  <si>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</si>
  <si>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</si>
  <si>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</si>
  <si>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</si>
  <si>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</si>
  <si>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</si>
  <si>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</si>
  <si>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</si>
  <si>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</si>
  <si>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</si>
  <si>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</si>
  <si>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</si>
  <si>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</si>
  <si>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</si>
  <si>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</si>
  <si>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</si>
  <si>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</si>
  <si>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</si>
  <si>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</si>
  <si>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</si>
  <si>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</si>
  <si>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</si>
  <si>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</si>
  <si>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</si>
  <si>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</si>
  <si>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</si>
  <si>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</si>
  <si>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</si>
  <si>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</si>
  <si>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</si>
  <si>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</si>
  <si>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</si>
  <si>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</si>
  <si>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</si>
  <si>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</si>
  <si>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</si>
  <si>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</si>
  <si>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</si>
  <si>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</si>
  <si>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</si>
  <si>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</si>
  <si>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</si>
  <si>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</si>
  <si>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</si>
  <si>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</si>
  <si>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</si>
  <si>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</si>
  <si>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</si>
  <si>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</si>
  <si>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</si>
  <si>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</si>
  <si>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</si>
  <si>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</si>
  <si>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</si>
  <si>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</si>
  <si>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</si>
  <si>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</si>
  <si>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</si>
  <si>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</si>
  <si>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</si>
  <si>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</si>
  <si>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</si>
  <si>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</si>
  <si>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</si>
  <si>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</si>
  <si>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</si>
  <si>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</si>
  <si>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</si>
  <si>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</si>
  <si>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</si>
  <si>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</si>
  <si>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</si>
  <si>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</si>
  <si>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</si>
  <si>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</si>
  <si>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</si>
  <si>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</si>
  <si>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</si>
  <si>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</si>
  <si>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</si>
  <si>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</si>
  <si>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</si>
  <si>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</si>
  <si>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</si>
  <si>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</si>
  <si>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</si>
  <si>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</si>
  <si>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</si>
  <si>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</si>
  <si>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</si>
  <si>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</si>
  <si>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</si>
  <si>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</si>
  <si>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</si>
  <si>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</si>
  <si>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</si>
  <si>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</si>
  <si>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</si>
  <si>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</si>
  <si>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</si>
  <si>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</si>
  <si>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</si>
  <si>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</si>
  <si>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</si>
  <si>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</si>
  <si>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</si>
  <si>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</si>
  <si>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</si>
  <si>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</si>
  <si>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</si>
  <si>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</si>
  <si>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</si>
  <si>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</si>
  <si>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</si>
  <si>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</si>
  <si>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</si>
  <si>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</si>
  <si>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</si>
  <si>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</si>
  <si>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</si>
  <si>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</si>
  <si>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</si>
  <si>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</si>
  <si>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</si>
  <si>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</si>
  <si>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</si>
  <si>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</si>
  <si>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</si>
  <si>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</si>
  <si>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</si>
  <si>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</si>
  <si>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</si>
  <si>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</si>
  <si>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</si>
  <si>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</si>
  <si>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</si>
  <si>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</si>
  <si>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</si>
  <si>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</si>
  <si>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</si>
  <si>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</si>
  <si>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</si>
  <si>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</si>
  <si>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</si>
  <si>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</si>
  <si>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</si>
  <si>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</si>
  <si>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</si>
  <si>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</si>
  <si>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</si>
  <si>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</si>
  <si>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</si>
  <si>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</si>
  <si>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</si>
  <si>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</si>
  <si>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</si>
  <si>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</si>
  <si>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</si>
  <si>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</si>
  <si>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</si>
  <si>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</si>
  <si>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</si>
  <si>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</si>
  <si>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</si>
  <si>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</si>
  <si>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</si>
  <si>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</si>
  <si>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</si>
  <si>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</si>
  <si>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</si>
  <si>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</si>
  <si>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</si>
  <si>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</si>
  <si>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</si>
  <si>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</si>
  <si>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</si>
  <si>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</si>
  <si>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</si>
  <si>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</si>
  <si>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</si>
  <si>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</si>
  <si>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</si>
  <si>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</si>
  <si>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</si>
  <si>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</si>
  <si>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</si>
  <si>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</si>
  <si>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</si>
  <si>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</si>
  <si>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</si>
  <si>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</si>
  <si>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</si>
  <si>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</si>
  <si>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</si>
  <si>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</si>
  <si>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</si>
  <si>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</si>
  <si>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</si>
  <si>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</si>
  <si>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</si>
  <si>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</si>
  <si>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</si>
  <si>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</si>
  <si>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</si>
  <si>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</si>
  <si>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</si>
  <si>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</si>
  <si>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</si>
  <si>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</si>
  <si>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</si>
  <si>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</si>
  <si>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</si>
  <si>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</si>
  <si>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</si>
  <si>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</si>
  <si>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</si>
  <si>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</si>
  <si>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</si>
  <si>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</si>
  <si>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</si>
  <si>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</si>
  <si>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</si>
  <si>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</si>
  <si>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</si>
  <si>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</si>
  <si>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</si>
  <si>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</si>
  <si>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</si>
  <si>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</si>
  <si>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</si>
  <si>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</si>
  <si>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</si>
  <si>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</si>
  <si>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</si>
  <si>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</si>
  <si>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</si>
  <si>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</si>
  <si>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</si>
  <si>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</si>
  <si>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</si>
  <si>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</si>
  <si>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</si>
  <si>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</si>
  <si>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</si>
  <si>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</si>
  <si>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</si>
  <si>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</si>
  <si>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</si>
  <si>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</si>
  <si>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</si>
  <si>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</si>
  <si>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</si>
  <si>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</si>
  <si>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</si>
  <si>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</si>
  <si>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</si>
  <si>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</si>
  <si>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</si>
  <si>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</si>
  <si>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</si>
  <si>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</si>
  <si>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</si>
  <si>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</si>
  <si>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</si>
  <si>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</si>
  <si>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</si>
  <si>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</si>
  <si>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</si>
  <si>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</si>
  <si>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</si>
  <si>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</si>
  <si>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</si>
  <si>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</si>
  <si>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</si>
  <si>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</si>
  <si>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</si>
  <si>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</si>
  <si>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</si>
  <si>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</si>
  <si>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</si>
  <si>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</si>
  <si>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</si>
  <si>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</si>
  <si>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</si>
  <si>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</si>
  <si>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</si>
  <si>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</si>
  <si>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</si>
  <si>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</si>
  <si>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</si>
  <si>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</si>
  <si>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</si>
  <si>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</si>
  <si>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</si>
  <si>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</si>
  <si>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</si>
  <si>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</si>
  <si>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</si>
  <si>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</si>
  <si>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</si>
  <si>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</si>
  <si>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</si>
  <si>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</si>
  <si>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</si>
  <si>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</si>
  <si>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</si>
  <si>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</si>
  <si>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</si>
  <si>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</si>
  <si>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</si>
  <si>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</si>
  <si>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</si>
  <si>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</si>
  <si>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</si>
  <si>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</si>
  <si>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</si>
  <si>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</si>
  <si>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</si>
  <si>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</si>
  <si>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</si>
  <si>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</si>
  <si>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</si>
  <si>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</si>
  <si>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</si>
  <si>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</si>
  <si>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</si>
  <si>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</si>
  <si>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</si>
  <si>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</si>
  <si>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</si>
  <si>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</si>
  <si>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</si>
  <si>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</si>
  <si>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</si>
  <si>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</si>
  <si>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</si>
  <si>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</si>
  <si>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</si>
  <si>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</si>
  <si>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</si>
  <si>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</si>
  <si>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</si>
  <si>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</si>
  <si>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</si>
  <si>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</si>
  <si>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</si>
  <si>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</si>
  <si>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</si>
  <si>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</si>
  <si>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</si>
  <si>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</si>
  <si>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</si>
  <si>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</si>
  <si>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</si>
  <si>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</si>
  <si>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</si>
  <si>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</si>
  <si>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</si>
  <si>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</si>
  <si>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</si>
  <si>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</si>
  <si>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</si>
  <si>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</si>
  <si>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</si>
  <si>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</si>
  <si>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</si>
  <si>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</si>
  <si>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</si>
  <si>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</si>
  <si>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</si>
  <si>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</si>
  <si>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</si>
  <si>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</si>
  <si>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</si>
  <si>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</si>
  <si>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</si>
  <si>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</si>
  <si>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</si>
  <si>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</si>
  <si>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</si>
  <si>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</si>
  <si>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</si>
  <si>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</si>
  <si>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</si>
  <si>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</si>
  <si>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</si>
  <si>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</si>
  <si>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</si>
  <si>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</si>
  <si>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</si>
  <si>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</si>
  <si>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</si>
  <si>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</si>
  <si>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</si>
  <si>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</si>
  <si>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</si>
  <si>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</si>
  <si>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</si>
  <si>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</si>
  <si>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</si>
  <si>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</si>
  <si>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</si>
  <si>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</si>
  <si>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</si>
  <si>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</si>
  <si>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</si>
  <si>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</si>
  <si>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</si>
  <si>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</si>
  <si>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</si>
  <si>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</si>
  <si>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</si>
  <si>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</si>
  <si>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</si>
  <si>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</si>
  <si>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</si>
  <si>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</si>
  <si>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</si>
  <si>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</si>
  <si>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</si>
  <si>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</si>
  <si>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</si>
  <si>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</si>
  <si>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</si>
  <si>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</si>
  <si>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</si>
  <si>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</si>
  <si>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</si>
  <si>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</si>
  <si>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</si>
  <si>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</si>
  <si>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</si>
  <si>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</si>
  <si>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</si>
  <si>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</si>
  <si>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</si>
  <si>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</si>
  <si>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</si>
  <si>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</si>
  <si>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</si>
  <si>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</si>
  <si>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</si>
  <si>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</si>
  <si>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</si>
  <si>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</si>
  <si>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</si>
  <si>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</si>
  <si>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</si>
  <si>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</si>
  <si>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</si>
  <si>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</si>
  <si>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</si>
  <si>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</si>
  <si>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</si>
  <si>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</si>
  <si>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</si>
  <si>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</si>
  <si>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</si>
  <si>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</si>
  <si>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</si>
  <si>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</si>
  <si>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</si>
  <si>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</si>
  <si>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</si>
  <si>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</si>
  <si>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</si>
  <si>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</si>
  <si>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</si>
  <si>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</si>
  <si>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</si>
  <si>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</si>
  <si>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</si>
  <si>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</si>
  <si>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</si>
  <si>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</si>
  <si>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</si>
  <si>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</si>
  <si>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</si>
  <si>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</si>
  <si>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</si>
  <si>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</si>
  <si>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</si>
  <si>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</si>
  <si>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</si>
  <si>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</si>
  <si>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</si>
  <si>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</si>
  <si>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</si>
  <si>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</si>
  <si>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</si>
  <si>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</si>
  <si>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</si>
  <si>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</si>
  <si>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</si>
  <si>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</si>
  <si>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</si>
  <si>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</si>
  <si>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</si>
  <si>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</si>
  <si>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</si>
  <si>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</si>
  <si>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</si>
  <si>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</si>
  <si>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</si>
  <si>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</si>
  <si>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</si>
  <si>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</si>
  <si>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</si>
  <si>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</si>
  <si>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</si>
  <si>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</si>
  <si>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</si>
  <si>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</si>
  <si>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</si>
  <si>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</si>
  <si>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</si>
  <si>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</si>
  <si>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</si>
  <si>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</si>
  <si>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</si>
  <si>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</si>
  <si>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</si>
  <si>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</si>
  <si>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</si>
  <si>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</si>
  <si>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</si>
  <si>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</si>
  <si>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</si>
  <si>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</si>
  <si>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</si>
  <si>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</si>
  <si>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</si>
  <si>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</si>
  <si>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</si>
  <si>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</si>
  <si>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</si>
  <si>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</si>
  <si>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</si>
  <si>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</si>
  <si>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</si>
  <si>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</si>
  <si>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</si>
  <si>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</si>
  <si>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</si>
  <si>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</si>
  <si>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</si>
  <si>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</si>
  <si>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</si>
  <si>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</si>
  <si>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</si>
  <si>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</si>
  <si>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</si>
  <si>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</si>
  <si>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</si>
  <si>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</si>
  <si>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</si>
  <si>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</si>
  <si>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</si>
  <si>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</si>
  <si>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</si>
  <si>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</si>
  <si>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</si>
  <si>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</si>
  <si>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</si>
  <si>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</si>
  <si>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</si>
  <si>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</si>
  <si>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</si>
  <si>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</si>
  <si>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</si>
  <si>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</si>
  <si>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</si>
  <si>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</si>
  <si>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</si>
  <si>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</si>
  <si>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</si>
  <si>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</si>
  <si>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</si>
  <si>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</si>
  <si>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</si>
  <si>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</si>
  <si>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</si>
  <si>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</si>
  <si>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</si>
  <si>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</si>
  <si>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</si>
  <si>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</si>
  <si>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</si>
  <si>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</si>
  <si>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</si>
  <si>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</si>
  <si>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</si>
  <si>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</si>
  <si>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</si>
  <si>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</si>
  <si>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</si>
  <si>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</si>
  <si>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</si>
  <si>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</si>
  <si>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</si>
  <si>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</si>
  <si>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</si>
  <si>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</si>
  <si>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</si>
  <si>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</si>
  <si>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</si>
  <si>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</si>
  <si>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</si>
  <si>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</si>
  <si>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</si>
  <si>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</si>
  <si>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</si>
  <si>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</si>
  <si>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</si>
  <si>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</si>
  <si>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</si>
  <si>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</si>
  <si>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</si>
  <si>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</si>
  <si>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</si>
  <si>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</si>
  <si>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</si>
  <si>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</si>
  <si>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</si>
  <si>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</si>
  <si>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</si>
  <si>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</si>
  <si>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</si>
  <si>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</si>
  <si>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</si>
  <si>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</si>
  <si>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</si>
  <si>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</si>
  <si>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</si>
  <si>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</si>
  <si>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</si>
  <si>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</si>
  <si>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</si>
  <si>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</si>
  <si>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</si>
  <si>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</si>
  <si>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</si>
  <si>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</si>
  <si>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</si>
  <si>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</si>
  <si>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</si>
  <si>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</si>
  <si>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</si>
  <si>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</si>
  <si>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</si>
  <si>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</si>
  <si>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</si>
  <si>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</si>
  <si>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</si>
  <si>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</si>
  <si>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</si>
  <si>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</si>
  <si>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</si>
  <si>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</si>
  <si>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</si>
  <si>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</si>
  <si>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</si>
  <si>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</si>
  <si>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</si>
  <si>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</si>
  <si>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</si>
  <si>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</si>
  <si>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</si>
  <si>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</si>
  <si>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</si>
  <si>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</si>
  <si>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</si>
  <si>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</si>
  <si>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</si>
  <si>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</si>
  <si>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</si>
  <si>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</si>
  <si>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</si>
  <si>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</si>
  <si>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</si>
  <si>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</si>
  <si>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</si>
  <si>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</si>
  <si>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</si>
  <si>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</si>
  <si>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</si>
  <si>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</si>
  <si>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</si>
  <si>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</si>
  <si>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</si>
  <si>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</si>
  <si>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</si>
  <si>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</si>
  <si>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</si>
  <si>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</si>
  <si>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</si>
  <si>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</si>
  <si>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</si>
  <si>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</si>
  <si>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</si>
  <si>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</si>
  <si>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</si>
  <si>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</si>
  <si>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</si>
  <si>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</si>
  <si>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</si>
  <si>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</si>
  <si>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</si>
  <si>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</si>
  <si>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</si>
  <si>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</si>
  <si>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</si>
  <si>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</si>
  <si>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</si>
  <si>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</si>
  <si>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</si>
  <si>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</si>
  <si>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</si>
  <si>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</si>
  <si>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</si>
  <si>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</si>
  <si>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</si>
  <si>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</si>
  <si>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</si>
  <si>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</si>
  <si>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</si>
  <si>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</si>
  <si>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</si>
  <si>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</si>
  <si>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</si>
  <si>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</si>
  <si>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</si>
  <si>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</si>
  <si>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</si>
  <si>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</si>
  <si>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</si>
  <si>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</si>
  <si>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</si>
  <si>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</si>
  <si>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</si>
  <si>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</si>
  <si>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</si>
  <si>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</si>
  <si>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</si>
  <si>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</si>
  <si>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</si>
  <si>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</si>
  <si>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</si>
  <si>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</si>
  <si>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</si>
  <si>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</si>
  <si>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</si>
  <si>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</si>
  <si>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</si>
  <si>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</si>
  <si>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</si>
  <si>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</si>
  <si>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</si>
  <si>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</si>
  <si>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</si>
  <si>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</si>
  <si>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</si>
  <si>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</si>
  <si>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</si>
  <si>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</si>
  <si>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</si>
  <si>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</si>
  <si>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</si>
  <si>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</si>
  <si>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</si>
  <si>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</si>
  <si>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</si>
  <si>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</si>
  <si>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</si>
  <si>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</si>
  <si>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</si>
  <si>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</si>
  <si>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</si>
  <si>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</si>
  <si>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</si>
  <si>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</si>
  <si>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</si>
  <si>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</si>
  <si>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</si>
  <si>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</si>
  <si>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</si>
  <si>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</si>
  <si>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</si>
  <si>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</si>
  <si>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</si>
  <si>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</si>
  <si>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</si>
  <si>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</si>
  <si>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</si>
  <si>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</si>
  <si>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</si>
  <si>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</si>
  <si>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</si>
  <si>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</si>
  <si>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</si>
  <si>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</si>
  <si>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</si>
  <si>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</si>
  <si>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</si>
  <si>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</si>
  <si>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</si>
  <si>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</si>
  <si>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</si>
  <si>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</si>
  <si>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</si>
  <si>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</si>
  <si>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</si>
  <si>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</si>
  <si>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</si>
  <si>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</si>
  <si>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</si>
  <si>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</si>
  <si>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</si>
  <si>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</si>
  <si>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</si>
  <si>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</si>
  <si>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</si>
  <si>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</si>
  <si>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</si>
  <si>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</si>
  <si>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</si>
  <si>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</si>
  <si>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</si>
  <si>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</si>
  <si>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</si>
  <si>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</si>
  <si>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</si>
  <si>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</si>
  <si>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</si>
  <si>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</si>
  <si>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</si>
  <si>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</si>
  <si>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</si>
  <si>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</si>
  <si>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</si>
  <si>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</si>
  <si>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</si>
  <si>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</si>
  <si>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</si>
  <si>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</si>
  <si>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</si>
  <si>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</si>
  <si>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</si>
  <si>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</si>
  <si>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</si>
  <si>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</si>
  <si>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</si>
  <si>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</si>
  <si>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</si>
  <si>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</si>
  <si>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</si>
  <si>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</si>
  <si>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</si>
  <si>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</si>
  <si>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</si>
  <si>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</si>
  <si>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</si>
  <si>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</si>
  <si>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</si>
  <si>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</si>
  <si>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</si>
  <si>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</si>
  <si>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</si>
  <si>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</si>
  <si>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</si>
  <si>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</si>
  <si>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</si>
  <si>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</si>
  <si>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</si>
  <si>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</si>
  <si>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</si>
  <si>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</si>
  <si>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</si>
  <si>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</si>
  <si>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</si>
  <si>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</si>
  <si>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</si>
  <si>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</si>
  <si>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</si>
  <si>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</si>
  <si>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</si>
  <si>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</si>
  <si>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</si>
  <si>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</si>
  <si>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</si>
  <si>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</si>
  <si>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</si>
  <si>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</si>
  <si>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</si>
  <si>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</si>
  <si>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</si>
  <si>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</si>
  <si>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</si>
  <si>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</si>
  <si>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</si>
  <si>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</si>
  <si>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</si>
  <si>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</si>
  <si>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</si>
  <si>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</si>
  <si>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</si>
  <si>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</si>
  <si>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</si>
  <si>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</si>
  <si>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</si>
  <si>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</si>
  <si>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</si>
  <si>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</si>
  <si>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</si>
  <si>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</si>
  <si>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</si>
  <si>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</si>
  <si>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</si>
  <si>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</si>
  <si>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</si>
  <si>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</si>
  <si>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</si>
  <si>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</si>
  <si>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</si>
  <si>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</si>
  <si>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</si>
  <si>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</si>
  <si>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</si>
  <si>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</si>
  <si>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</si>
  <si>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</si>
  <si>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</si>
  <si>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</si>
  <si>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</si>
  <si>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</si>
  <si>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</si>
  <si>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</si>
  <si>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</si>
  <si>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</si>
  <si>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</si>
  <si>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</si>
  <si>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</si>
  <si>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</si>
  <si>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</si>
  <si>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</si>
  <si>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</si>
  <si>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</si>
  <si>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</si>
  <si>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</si>
  <si>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</si>
  <si>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</si>
  <si>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</si>
  <si>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</si>
  <si>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</si>
  <si>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</si>
  <si>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</si>
  <si>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</si>
  <si>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</si>
  <si>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</si>
  <si>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</si>
  <si>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</si>
  <si>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</si>
  <si>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</si>
  <si>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</si>
  <si>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</si>
  <si>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</si>
  <si>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</si>
  <si>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</si>
  <si>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</si>
  <si>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</si>
  <si>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</si>
  <si>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</si>
  <si>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</si>
  <si>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</si>
  <si>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</si>
  <si>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</si>
  <si>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</si>
  <si>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</si>
  <si>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</si>
  <si>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</si>
  <si>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</si>
  <si>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</si>
  <si>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</si>
  <si>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</si>
  <si>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</si>
  <si>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</si>
  <si>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</si>
  <si>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</si>
  <si>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</si>
  <si>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</si>
  <si>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</si>
  <si>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</si>
  <si>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</si>
  <si>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</si>
  <si>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</si>
  <si>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</si>
  <si>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</si>
  <si>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</si>
  <si>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</si>
  <si>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</si>
  <si>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</si>
  <si>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</si>
  <si>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</si>
  <si>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</si>
  <si>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</si>
  <si>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</si>
  <si>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</si>
  <si>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</si>
  <si>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</si>
  <si>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</si>
  <si>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</si>
  <si>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</si>
  <si>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</si>
  <si>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</si>
  <si>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</si>
  <si>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</si>
  <si>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</si>
  <si>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</si>
  <si>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</si>
  <si>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</si>
  <si>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</si>
  <si>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</si>
  <si>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</si>
  <si>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</si>
  <si>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</si>
  <si>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</si>
  <si>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</si>
  <si>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</si>
  <si>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</si>
  <si>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</si>
  <si>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</si>
  <si>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</si>
  <si>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</si>
  <si>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</si>
  <si>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</si>
  <si>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</si>
  <si>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</si>
  <si>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</si>
  <si>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</si>
  <si>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</si>
  <si>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</si>
  <si>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</si>
  <si>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</si>
  <si>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</si>
  <si>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</si>
  <si>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</si>
  <si>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</si>
  <si>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</si>
  <si>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</si>
  <si>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</si>
  <si>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</si>
  <si>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</si>
  <si>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</si>
  <si>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</si>
  <si>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</si>
  <si>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</si>
  <si>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</si>
  <si>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</si>
  <si>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</si>
  <si>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</si>
  <si>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</si>
  <si>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</si>
  <si>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</si>
  <si>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</si>
  <si>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</si>
  <si>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</si>
  <si>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</si>
  <si>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</si>
  <si>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</si>
  <si>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</si>
  <si>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</si>
  <si>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</si>
  <si>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</si>
  <si>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</si>
  <si>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</si>
  <si>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</si>
  <si>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</si>
  <si>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</si>
  <si>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</si>
  <si>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</si>
  <si>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</si>
  <si>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</si>
  <si>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</si>
  <si>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</si>
  <si>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</si>
  <si>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</si>
  <si>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</si>
  <si>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</si>
  <si>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</si>
  <si>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</si>
  <si>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</si>
  <si>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</si>
  <si>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</si>
  <si>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</si>
  <si>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</si>
  <si>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</si>
  <si>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</si>
  <si>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</si>
  <si>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</si>
  <si>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</si>
  <si>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</si>
  <si>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</si>
  <si>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</si>
  <si>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</si>
  <si>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</si>
  <si>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</si>
  <si>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</si>
  <si>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</si>
  <si>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</si>
  <si>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</si>
  <si>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</si>
  <si>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</si>
  <si>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</si>
  <si>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</si>
  <si>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</si>
  <si>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</si>
  <si>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</si>
  <si>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</si>
  <si>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</si>
  <si>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</si>
  <si>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</si>
  <si>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</si>
  <si>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</si>
  <si>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</si>
  <si>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</si>
  <si>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</si>
  <si>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</si>
  <si>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</si>
  <si>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</si>
  <si>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</si>
  <si>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</si>
  <si>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</si>
  <si>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</si>
  <si>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</si>
  <si>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</si>
  <si>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</si>
  <si>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</si>
  <si>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</si>
  <si>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</si>
  <si>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</si>
  <si>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</si>
  <si>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</si>
  <si>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</si>
  <si>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</si>
  <si>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</si>
  <si>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</si>
  <si>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</si>
  <si>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</si>
  <si>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</si>
  <si>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</si>
  <si>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</si>
  <si>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</si>
  <si>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</si>
  <si>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</si>
  <si>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</si>
  <si>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</si>
  <si>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</si>
  <si>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</si>
  <si>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</si>
  <si>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</si>
  <si>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</si>
  <si>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</si>
  <si>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</si>
  <si>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</si>
  <si>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</si>
  <si>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</si>
  <si>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</si>
  <si>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</si>
  <si>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</si>
  <si>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</si>
  <si>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</si>
  <si>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</si>
  <si>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</si>
  <si>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</si>
  <si>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</si>
  <si>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</si>
  <si>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</si>
  <si>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</si>
  <si>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</si>
  <si>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</si>
  <si>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</si>
  <si>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</si>
  <si>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</si>
  <si>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</si>
  <si>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</si>
  <si>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</si>
  <si>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</si>
  <si>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</si>
  <si>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</si>
  <si>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</si>
  <si>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</si>
  <si>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</si>
  <si>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</si>
  <si>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</si>
  <si>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</si>
  <si>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</si>
  <si>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</si>
  <si>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</si>
  <si>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</si>
  <si>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</si>
  <si>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</si>
  <si>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</si>
  <si>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</si>
  <si>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</si>
  <si>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</si>
  <si>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</si>
  <si>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</si>
  <si>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</si>
  <si>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</si>
  <si>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</si>
  <si>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</si>
  <si>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</si>
  <si>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</si>
  <si>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</si>
  <si>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</si>
  <si>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</si>
  <si>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</si>
  <si>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</si>
  <si>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</si>
  <si>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</si>
  <si>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</si>
  <si>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</si>
  <si>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</si>
  <si>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</si>
  <si>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</si>
  <si>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</si>
  <si>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</si>
  <si>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</si>
  <si>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</si>
  <si>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</si>
  <si>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</si>
  <si>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</si>
  <si>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</si>
  <si>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</si>
  <si>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</si>
  <si>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</si>
  <si>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</si>
  <si>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</si>
  <si>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</si>
  <si>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</si>
  <si>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</si>
  <si>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</si>
  <si>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</si>
  <si>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</si>
  <si>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</si>
  <si>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</si>
  <si>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</si>
  <si>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</si>
  <si>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</si>
  <si>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</si>
  <si>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</si>
  <si>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</si>
  <si>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</si>
  <si>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</si>
  <si>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</si>
  <si>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</si>
  <si>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</si>
  <si>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</si>
  <si>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</si>
  <si>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</si>
  <si>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</si>
  <si>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</si>
  <si>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</si>
  <si>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</si>
  <si>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</si>
  <si>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</si>
  <si>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</si>
  <si>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</si>
  <si>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</si>
  <si>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</si>
  <si>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</si>
  <si>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</si>
  <si>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</si>
  <si>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</si>
  <si>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</si>
  <si>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</si>
  <si>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</si>
  <si>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</si>
  <si>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</si>
  <si>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</si>
  <si>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</si>
  <si>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</si>
  <si>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</si>
  <si>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</si>
  <si>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</si>
  <si>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</si>
  <si>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</si>
  <si>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</si>
  <si>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</si>
  <si>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</si>
  <si>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</si>
  <si>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</si>
  <si>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</si>
  <si>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413 APPLEKNOCKER</t>
  </si>
  <si>
    <t>COBDEN</t>
  </si>
  <si>
    <t>EDWIN SHOEMATE</t>
  </si>
  <si>
    <t>eshoemate@cusd17.com</t>
  </si>
  <si>
    <t>618-893-2313</t>
  </si>
  <si>
    <t>618-893-4772</t>
  </si>
  <si>
    <t>2000 BUILDING BONDS</t>
  </si>
  <si>
    <t>2007 REFUNDING BONDS</t>
  </si>
  <si>
    <t>2007 FIRE PREVENTION BONDS</t>
  </si>
  <si>
    <t>FIVE COUNTY REGIONAL VOCATION COOP</t>
  </si>
  <si>
    <t>TRI COUNTY SPECIAL EDUCATION COOP</t>
  </si>
  <si>
    <t>None</t>
  </si>
  <si>
    <t>00-0000-000</t>
  </si>
  <si>
    <t>2017A REFUNDING BONDS</t>
  </si>
  <si>
    <t>2017B REFUNDING BONDS</t>
  </si>
  <si>
    <t>066-005023</t>
  </si>
  <si>
    <t>Part A, Item 14: The District filed the Annual Statement of Affairs with ISBE after the due date of 12/15/2017 on 12/19/2017.</t>
  </si>
  <si>
    <t>Fund 10, Account 3999: Other State Programs $28,675, IL Library Grant $416</t>
  </si>
  <si>
    <t>Cobden SUD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</si>
</sst>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1705841</xdr:colOff>
          <xdr:row>3</xdr:row>
          <xdr:rowOff>95250</xdr:rowOff>
        </xdr:from>
        <xdr:to>
          <xdr:col>1</xdr:col>
          <xdr:colOff>2620241</xdr:colOff>
          <xdr:row>7</xdr:row>
          <xdr:rowOff>133350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30091017022</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2105</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62906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2088</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2102</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62920</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502656</v>
      </c>
      <c r="C4" s="1546">
        <v>0</v>
      </c>
      <c r="D4" s="1774">
        <f>B4-C4</f>
        <v>502656</v>
      </c>
      <c r="E4" s="1546">
        <v>561562</v>
      </c>
      <c r="F4" s="1774">
        <f>E4-C4</f>
        <v>561562</v>
      </c>
    </row>
    <row r="5" spans="1:6" ht="13.7" customHeight="1" x14ac:dyDescent="0.2">
      <c r="A5" s="716" t="s">
        <v>925</v>
      </c>
      <c r="B5" s="1772">
        <f>'Revenues 9-14'!D5</f>
        <v>145779</v>
      </c>
      <c r="C5" s="585">
        <v>0</v>
      </c>
      <c r="D5" s="1775">
        <f t="shared" ref="D5:D18" si="0">B5-C5</f>
        <v>145779</v>
      </c>
      <c r="E5" s="585">
        <v>167371</v>
      </c>
      <c r="F5" s="1775">
        <f>E5-C5</f>
        <v>167371</v>
      </c>
    </row>
    <row r="6" spans="1:6" ht="13.7" customHeight="1" x14ac:dyDescent="0.2">
      <c r="A6" s="716" t="s">
        <v>431</v>
      </c>
      <c r="B6" s="1772">
        <f>'Revenues 9-14'!E5</f>
        <v>226901</v>
      </c>
      <c r="C6" s="585">
        <v>0</v>
      </c>
      <c r="D6" s="1775">
        <f t="shared" si="0"/>
        <v>226901</v>
      </c>
      <c r="E6" s="585">
        <v>240314</v>
      </c>
      <c r="F6" s="1775">
        <f t="shared" ref="F6:F18" si="1">E6-C6</f>
        <v>240314</v>
      </c>
    </row>
    <row r="7" spans="1:6" ht="13.7" customHeight="1" x14ac:dyDescent="0.2">
      <c r="A7" s="716" t="s">
        <v>157</v>
      </c>
      <c r="B7" s="1772">
        <f>'Revenues 9-14'!F5</f>
        <v>64793</v>
      </c>
      <c r="C7" s="585">
        <v>0</v>
      </c>
      <c r="D7" s="1775">
        <f t="shared" si="0"/>
        <v>64793</v>
      </c>
      <c r="E7" s="585">
        <v>75226</v>
      </c>
      <c r="F7" s="1775">
        <f t="shared" si="1"/>
        <v>75226</v>
      </c>
    </row>
    <row r="8" spans="1:6" ht="13.7" customHeight="1" x14ac:dyDescent="0.2">
      <c r="A8" s="716" t="s">
        <v>1241</v>
      </c>
      <c r="B8" s="1772">
        <f>'Revenues 9-14'!G5</f>
        <v>52195</v>
      </c>
      <c r="C8" s="585">
        <v>0</v>
      </c>
      <c r="D8" s="1775">
        <f t="shared" si="0"/>
        <v>52195</v>
      </c>
      <c r="E8" s="585">
        <v>51692</v>
      </c>
      <c r="F8" s="1775">
        <f t="shared" si="1"/>
        <v>51692</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15301</v>
      </c>
      <c r="C10" s="585">
        <v>0</v>
      </c>
      <c r="D10" s="1775">
        <f t="shared" si="0"/>
        <v>15301</v>
      </c>
      <c r="E10" s="585">
        <v>18711</v>
      </c>
      <c r="F10" s="1775">
        <f t="shared" si="1"/>
        <v>18711</v>
      </c>
    </row>
    <row r="11" spans="1:6" x14ac:dyDescent="0.2">
      <c r="A11" s="716" t="s">
        <v>429</v>
      </c>
      <c r="B11" s="1772">
        <f>'Revenues 9-14'!J5</f>
        <v>73792</v>
      </c>
      <c r="C11" s="585">
        <v>0</v>
      </c>
      <c r="D11" s="1775">
        <f t="shared" si="0"/>
        <v>73792</v>
      </c>
      <c r="E11" s="585">
        <v>78762</v>
      </c>
      <c r="F11" s="1775">
        <f t="shared" si="1"/>
        <v>78762</v>
      </c>
    </row>
    <row r="12" spans="1:6" ht="13.7" customHeight="1" x14ac:dyDescent="0.2">
      <c r="A12" s="716" t="s">
        <v>159</v>
      </c>
      <c r="B12" s="1772">
        <f>'Revenues 9-14'!K5</f>
        <v>15301</v>
      </c>
      <c r="C12" s="585">
        <v>0</v>
      </c>
      <c r="D12" s="1775">
        <f t="shared" si="0"/>
        <v>15301</v>
      </c>
      <c r="E12" s="585">
        <v>18711</v>
      </c>
      <c r="F12" s="1775">
        <f t="shared" si="1"/>
        <v>18711</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13391</v>
      </c>
      <c r="C14" s="585">
        <v>0</v>
      </c>
      <c r="D14" s="1775">
        <f t="shared" si="0"/>
        <v>13391</v>
      </c>
      <c r="E14" s="585">
        <v>14772</v>
      </c>
      <c r="F14" s="1775">
        <f t="shared" si="1"/>
        <v>14772</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64793</v>
      </c>
      <c r="C16" s="585">
        <v>0</v>
      </c>
      <c r="D16" s="1775">
        <f t="shared" si="0"/>
        <v>64793</v>
      </c>
      <c r="E16" s="585">
        <v>65474</v>
      </c>
      <c r="F16" s="1775">
        <f t="shared" si="1"/>
        <v>65474</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1174902</v>
      </c>
      <c r="C19" s="1773">
        <f>SUM(C4:C18)</f>
        <v>0</v>
      </c>
      <c r="D19" s="1773">
        <f>SUM(D4:D18)</f>
        <v>1174902</v>
      </c>
      <c r="E19" s="1773">
        <f>SUM(E4:E18)</f>
        <v>1292595</v>
      </c>
      <c r="F19" s="1773">
        <f>SUM(F4:F18)</f>
        <v>1292595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A36" sqref="A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406</v>
      </c>
      <c r="B19" s="2229"/>
      <c r="C19" s="727">
        <v>0</v>
      </c>
      <c r="D19" s="585">
        <v>0</v>
      </c>
      <c r="E19" s="727">
        <v>0</v>
      </c>
      <c r="F19" s="1777">
        <f>SUM(C19+D19)-E19</f>
        <v>0</v>
      </c>
    </row>
    <row r="20" spans="1:11" ht="12.75" customHeight="1" thickTop="1" thickBot="1" x14ac:dyDescent="0.25">
      <c r="A20" s="2228" t="s">
        <v>468</v>
      </c>
      <c r="B20" s="2229"/>
      <c r="C20" s="727">
        <v>0</v>
      </c>
      <c r="D20" s="585">
        <v>0</v>
      </c>
      <c r="E20" s="727">
        <v>0</v>
      </c>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36816</v>
      </c>
      <c r="C31" s="735">
        <v>1900000</v>
      </c>
      <c r="D31" s="736">
        <v>6</v>
      </c>
      <c r="E31" s="735">
        <v>30000</v>
      </c>
      <c r="F31" s="735">
        <v>0</v>
      </c>
      <c r="G31" s="735">
        <v>0</v>
      </c>
      <c r="H31" s="735">
        <v>30000</v>
      </c>
      <c r="I31" s="1778">
        <f>((E31+F31)-H31)+G31</f>
        <v>0</v>
      </c>
      <c r="J31" s="735">
        <v>0</v>
      </c>
      <c r="K31" s="737"/>
    </row>
    <row r="32" spans="1:11" ht="12" customHeight="1" x14ac:dyDescent="0.2">
      <c r="A32" s="733" t="s">
        <v>2094</v>
      </c>
      <c r="B32" s="734">
        <v>39173</v>
      </c>
      <c r="C32" s="735">
        <v>1585000</v>
      </c>
      <c r="D32" s="736">
        <v>3</v>
      </c>
      <c r="E32" s="735">
        <v>945000</v>
      </c>
      <c r="F32" s="735">
        <v>0</v>
      </c>
      <c r="G32" s="735">
        <v>0</v>
      </c>
      <c r="H32" s="735">
        <v>945000</v>
      </c>
      <c r="I32" s="1778">
        <f>((E32+F32)-H32)+G32</f>
        <v>0</v>
      </c>
      <c r="J32" s="735">
        <v>0</v>
      </c>
      <c r="K32" s="737"/>
    </row>
    <row r="33" spans="1:11" ht="12" customHeight="1" x14ac:dyDescent="0.2">
      <c r="A33" s="733" t="s">
        <v>2095</v>
      </c>
      <c r="B33" s="734">
        <v>39173</v>
      </c>
      <c r="C33" s="735">
        <v>1630000</v>
      </c>
      <c r="D33" s="736">
        <v>4</v>
      </c>
      <c r="E33" s="735">
        <v>1035000</v>
      </c>
      <c r="F33" s="735">
        <v>0</v>
      </c>
      <c r="G33" s="735">
        <v>0</v>
      </c>
      <c r="H33" s="735">
        <v>1035000</v>
      </c>
      <c r="I33" s="1778">
        <f t="shared" ref="I33:I48" si="1">((E33+F33)-H33)+G33</f>
        <v>0</v>
      </c>
      <c r="J33" s="735">
        <v>0</v>
      </c>
      <c r="K33" s="737"/>
    </row>
    <row r="34" spans="1:11" ht="12" customHeight="1" x14ac:dyDescent="0.2">
      <c r="A34" s="733" t="s">
        <v>2100</v>
      </c>
      <c r="B34" s="734">
        <v>42929</v>
      </c>
      <c r="C34" s="735">
        <v>865000</v>
      </c>
      <c r="D34" s="736">
        <v>3</v>
      </c>
      <c r="E34" s="735"/>
      <c r="F34" s="735">
        <v>865000</v>
      </c>
      <c r="G34" s="735"/>
      <c r="H34" s="735"/>
      <c r="I34" s="1778">
        <f t="shared" si="1"/>
        <v>865000</v>
      </c>
      <c r="J34" s="735">
        <f>865000-79230</f>
        <v>785770</v>
      </c>
      <c r="K34" s="738"/>
    </row>
    <row r="35" spans="1:11" ht="12" customHeight="1" x14ac:dyDescent="0.2">
      <c r="A35" s="733" t="s">
        <v>2101</v>
      </c>
      <c r="B35" s="734">
        <v>42929</v>
      </c>
      <c r="C35" s="739">
        <v>980000</v>
      </c>
      <c r="D35" s="736">
        <v>3</v>
      </c>
      <c r="E35" s="739"/>
      <c r="F35" s="739">
        <v>980000</v>
      </c>
      <c r="G35" s="739"/>
      <c r="H35" s="739"/>
      <c r="I35" s="1778">
        <f t="shared" si="1"/>
        <v>980000</v>
      </c>
      <c r="J35" s="739">
        <v>980000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6960000</v>
      </c>
      <c r="D49" s="746"/>
      <c r="E49" s="1778">
        <f t="shared" ref="E49:J49" si="2">SUM(E31:E48)</f>
        <v>2010000</v>
      </c>
      <c r="F49" s="1778">
        <f t="shared" si="2"/>
        <v>1845000</v>
      </c>
      <c r="G49" s="1778">
        <f t="shared" si="2"/>
        <v>0</v>
      </c>
      <c r="H49" s="1778">
        <f t="shared" si="2"/>
        <v>2010000</v>
      </c>
      <c r="I49" s="1778">
        <f t="shared" si="2"/>
        <v>1845000</v>
      </c>
      <c r="J49" s="1778">
        <f t="shared" si="2"/>
        <v>1765770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13391</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9005</v>
      </c>
    </row>
    <row r="10" spans="1:11" x14ac:dyDescent="0.2">
      <c r="A10" s="2259" t="s">
        <v>1920</v>
      </c>
      <c r="B10" s="2232"/>
      <c r="C10" s="2232"/>
      <c r="D10" s="2232"/>
      <c r="E10" s="2261"/>
      <c r="F10" s="784" t="s">
        <v>917</v>
      </c>
      <c r="G10" s="783"/>
      <c r="H10" s="785">
        <v>0</v>
      </c>
      <c r="I10" s="765">
        <v>0</v>
      </c>
      <c r="J10" s="766">
        <v>0</v>
      </c>
      <c r="K10" s="766">
        <v>0</v>
      </c>
    </row>
    <row r="11" spans="1:11" x14ac:dyDescent="0.2">
      <c r="A11" s="2259" t="s">
        <v>162</v>
      </c>
      <c r="B11" s="2232"/>
      <c r="C11" s="2232"/>
      <c r="D11" s="2232"/>
      <c r="E11" s="2260"/>
      <c r="F11" s="771" t="s">
        <v>907</v>
      </c>
      <c r="G11" s="772"/>
      <c r="H11" s="765">
        <v>0</v>
      </c>
      <c r="I11" s="765">
        <v>0</v>
      </c>
      <c r="J11" s="766">
        <v>0</v>
      </c>
      <c r="K11" s="774"/>
    </row>
    <row r="12" spans="1:11" ht="13.5" thickBot="1" x14ac:dyDescent="0.25">
      <c r="A12" s="2249" t="s">
        <v>961</v>
      </c>
      <c r="B12" s="2250"/>
      <c r="C12" s="2250"/>
      <c r="D12" s="2250"/>
      <c r="E12" s="2251"/>
      <c r="F12" s="1779"/>
      <c r="G12" s="1780">
        <f>SUM(G5:G11)</f>
        <v>0</v>
      </c>
      <c r="H12" s="1780">
        <f>SUM(H5:H11)</f>
        <v>13391</v>
      </c>
      <c r="I12" s="1780">
        <f>SUM(I5:I11)</f>
        <v>0</v>
      </c>
      <c r="J12" s="1780">
        <f>SUM(J5:J11)</f>
        <v>0</v>
      </c>
      <c r="K12" s="1780">
        <f>SUM(K5:K11)</f>
        <v>9005</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13391</v>
      </c>
      <c r="I14" s="772"/>
      <c r="J14" s="774"/>
      <c r="K14" s="766">
        <v>9005</v>
      </c>
    </row>
    <row r="15" spans="1:11" x14ac:dyDescent="0.2">
      <c r="A15" s="2232" t="s">
        <v>4</v>
      </c>
      <c r="B15" s="2232"/>
      <c r="C15" s="2232"/>
      <c r="D15" s="2232"/>
      <c r="E15" s="2260"/>
      <c r="F15" s="790" t="s">
        <v>910</v>
      </c>
      <c r="G15" s="772"/>
      <c r="H15" s="765">
        <v>0</v>
      </c>
      <c r="I15" s="765">
        <v>0</v>
      </c>
      <c r="J15" s="766">
        <v>0</v>
      </c>
      <c r="K15" s="766">
        <v>0</v>
      </c>
    </row>
    <row r="16" spans="1:11" x14ac:dyDescent="0.2">
      <c r="A16" s="2232" t="s">
        <v>316</v>
      </c>
      <c r="B16" s="2232"/>
      <c r="C16" s="2232"/>
      <c r="D16" s="2232"/>
      <c r="E16" s="2260"/>
      <c r="F16" s="790" t="s">
        <v>980</v>
      </c>
      <c r="G16" s="773">
        <v>0</v>
      </c>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67" t="s">
        <v>1916</v>
      </c>
      <c r="B19" s="2267"/>
      <c r="C19" s="2267"/>
      <c r="D19" s="2267"/>
      <c r="E19" s="2268"/>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0</v>
      </c>
      <c r="I22" s="765">
        <v>0</v>
      </c>
      <c r="J22" s="798">
        <v>0</v>
      </c>
      <c r="K22" s="766">
        <v>0</v>
      </c>
    </row>
    <row r="23" spans="1:11" ht="13.5" thickBot="1" x14ac:dyDescent="0.25">
      <c r="A23" s="2253" t="s">
        <v>962</v>
      </c>
      <c r="B23" s="2252"/>
      <c r="C23" s="2252"/>
      <c r="D23" s="2252"/>
      <c r="E23" s="2252"/>
      <c r="F23" s="1783"/>
      <c r="G23" s="1780">
        <f>SUM(G14:G16,G21,G22)</f>
        <v>0</v>
      </c>
      <c r="H23" s="1780">
        <f>SUM(H14:H16,H21,H22)</f>
        <v>13391</v>
      </c>
      <c r="I23" s="1780">
        <f>SUM(I14:I16,I21,I22)</f>
        <v>0</v>
      </c>
      <c r="J23" s="1780">
        <f>SUM(J14:J16,J21,J22)</f>
        <v>0</v>
      </c>
      <c r="K23" s="1780">
        <f>SUM(K14:K16,K21,K22)</f>
        <v>9005</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106866</v>
      </c>
      <c r="D5" s="842">
        <v>0</v>
      </c>
      <c r="E5" s="842">
        <v>0</v>
      </c>
      <c r="F5" s="1782">
        <f>(C5+D5)-E5</f>
        <v>106866</v>
      </c>
      <c r="G5" s="838"/>
      <c r="H5" s="843"/>
      <c r="I5" s="843"/>
      <c r="J5" s="843"/>
      <c r="K5" s="794"/>
      <c r="L5" s="1791">
        <f>F5-K5</f>
        <v>106866</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10173526</v>
      </c>
      <c r="D8" s="845">
        <v>0</v>
      </c>
      <c r="E8" s="845">
        <v>0</v>
      </c>
      <c r="F8" s="1782">
        <f>(C8+D8)-E8</f>
        <v>10173526</v>
      </c>
      <c r="G8" s="844">
        <v>50</v>
      </c>
      <c r="H8" s="766">
        <v>2902472</v>
      </c>
      <c r="I8" s="766">
        <v>203471</v>
      </c>
      <c r="J8" s="766">
        <v>0</v>
      </c>
      <c r="K8" s="1791">
        <f>(H8+I8)-J8</f>
        <v>3105943</v>
      </c>
      <c r="L8" s="1791">
        <f>F8-K8</f>
        <v>7067583</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907663</v>
      </c>
      <c r="D10" s="847">
        <v>0</v>
      </c>
      <c r="E10" s="847">
        <v>0</v>
      </c>
      <c r="F10" s="1786">
        <f>(C10+D10)-E10</f>
        <v>907663</v>
      </c>
      <c r="G10" s="844">
        <v>20</v>
      </c>
      <c r="H10" s="848">
        <v>318618</v>
      </c>
      <c r="I10" s="848">
        <v>45380</v>
      </c>
      <c r="J10" s="848">
        <v>0</v>
      </c>
      <c r="K10" s="1791">
        <f>(H10+I10)-J10</f>
        <v>363998</v>
      </c>
      <c r="L10" s="1791">
        <f>F10-K10</f>
        <v>543665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1122179</v>
      </c>
      <c r="D12" s="845">
        <v>14991</v>
      </c>
      <c r="E12" s="845">
        <v>79847</v>
      </c>
      <c r="F12" s="1782">
        <f>(C12+D12)-E12</f>
        <v>1057323</v>
      </c>
      <c r="G12" s="844">
        <v>10</v>
      </c>
      <c r="H12" s="766">
        <v>1063007</v>
      </c>
      <c r="I12" s="766">
        <f>13233+180</f>
        <v>13413</v>
      </c>
      <c r="J12" s="766">
        <v>79847</v>
      </c>
      <c r="K12" s="1791">
        <f>(H12+I12)-J12</f>
        <v>996573</v>
      </c>
      <c r="L12" s="1791">
        <f>F12-K12</f>
        <v>60750</v>
      </c>
    </row>
    <row r="13" spans="1:14" ht="14.25" thickTop="1" thickBot="1" x14ac:dyDescent="0.25">
      <c r="A13" s="849" t="s">
        <v>1184</v>
      </c>
      <c r="B13" s="841">
        <v>252</v>
      </c>
      <c r="C13" s="845">
        <v>505</v>
      </c>
      <c r="D13" s="845">
        <v>0</v>
      </c>
      <c r="E13" s="845">
        <v>0</v>
      </c>
      <c r="F13" s="1782">
        <f>(C13+D13)-E13</f>
        <v>505</v>
      </c>
      <c r="G13" s="844">
        <v>5</v>
      </c>
      <c r="H13" s="766">
        <v>404</v>
      </c>
      <c r="I13" s="766">
        <v>101</v>
      </c>
      <c r="J13" s="766">
        <v>0</v>
      </c>
      <c r="K13" s="1791">
        <f>(H13+I13)-J13</f>
        <v>505</v>
      </c>
      <c r="L13" s="1791">
        <f>F13-K13</f>
        <v>0</v>
      </c>
    </row>
    <row r="14" spans="1:14" ht="14.25" thickTop="1" thickBot="1" x14ac:dyDescent="0.25">
      <c r="A14" s="849" t="s">
        <v>1185</v>
      </c>
      <c r="B14" s="841">
        <v>253</v>
      </c>
      <c r="C14" s="766">
        <v>426628</v>
      </c>
      <c r="D14" s="766">
        <v>96939</v>
      </c>
      <c r="E14" s="766">
        <v>0</v>
      </c>
      <c r="F14" s="1782">
        <f>(C14+D14)-E14</f>
        <v>523567</v>
      </c>
      <c r="G14" s="844">
        <v>3</v>
      </c>
      <c r="H14" s="766">
        <v>412574</v>
      </c>
      <c r="I14" s="766">
        <v>43127</v>
      </c>
      <c r="J14" s="766">
        <v>0</v>
      </c>
      <c r="K14" s="1791">
        <f>(H14+I14)-J14</f>
        <v>455701</v>
      </c>
      <c r="L14" s="1791">
        <f>F14-K14</f>
        <v>67866</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12737367</v>
      </c>
      <c r="D16" s="1782">
        <f>SUM(D3,D5:D6,D8:D10,D12:D15)</f>
        <v>111930</v>
      </c>
      <c r="E16" s="1782">
        <f>SUM(E3,E5:E6,E8:E10,E12:E15)</f>
        <v>79847</v>
      </c>
      <c r="F16" s="1782">
        <f>SUM(F3,F5:F6,F8:F10,F12:F15)</f>
        <v>12769450</v>
      </c>
      <c r="G16" s="844"/>
      <c r="H16" s="1782">
        <f>SUM(H3,H6,H8:H10,H12:H14,)</f>
        <v>4697075</v>
      </c>
      <c r="I16" s="1782">
        <f>SUM(I3,I6,I8:I10,I12:I14,)</f>
        <v>305492</v>
      </c>
      <c r="J16" s="1782">
        <f>SUM(J3,J6,J8:J10,J12:J14,)</f>
        <v>79847</v>
      </c>
      <c r="K16" s="1782">
        <f>(H16+I16)-J16</f>
        <v>4922720</v>
      </c>
      <c r="L16" s="1782">
        <f>F16-K16</f>
        <v>7846730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305492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22" sqref="F2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4294186</v>
      </c>
      <c r="G8" s="866"/>
    </row>
    <row r="9" spans="1:7" x14ac:dyDescent="0.2">
      <c r="A9" s="870" t="s">
        <v>480</v>
      </c>
      <c r="B9" s="871" t="s">
        <v>1988</v>
      </c>
      <c r="C9" s="872"/>
      <c r="D9" s="870" t="s">
        <v>522</v>
      </c>
      <c r="E9" s="869"/>
      <c r="F9" s="1935">
        <f>'Expenditures 15-22'!K151</f>
        <v>199225</v>
      </c>
      <c r="G9" s="873"/>
    </row>
    <row r="10" spans="1:7" x14ac:dyDescent="0.2">
      <c r="A10" s="870" t="s">
        <v>520</v>
      </c>
      <c r="B10" s="871" t="s">
        <v>1989</v>
      </c>
      <c r="C10" s="872"/>
      <c r="D10" s="870" t="s">
        <v>522</v>
      </c>
      <c r="E10" s="869"/>
      <c r="F10" s="1935">
        <f>'Expenditures 15-22'!K174</f>
        <v>2052453</v>
      </c>
      <c r="G10" s="873"/>
    </row>
    <row r="11" spans="1:7" x14ac:dyDescent="0.2">
      <c r="A11" s="870" t="s">
        <v>481</v>
      </c>
      <c r="B11" s="871" t="s">
        <v>1990</v>
      </c>
      <c r="C11" s="872"/>
      <c r="D11" s="870" t="s">
        <v>522</v>
      </c>
      <c r="E11" s="869"/>
      <c r="F11" s="1935">
        <f>'Expenditures 15-22'!K210</f>
        <v>348146</v>
      </c>
      <c r="G11" s="873"/>
    </row>
    <row r="12" spans="1:7" x14ac:dyDescent="0.2">
      <c r="A12" s="870" t="s">
        <v>482</v>
      </c>
      <c r="B12" s="871" t="s">
        <v>1991</v>
      </c>
      <c r="C12" s="872"/>
      <c r="D12" s="870" t="s">
        <v>522</v>
      </c>
      <c r="E12" s="869"/>
      <c r="F12" s="1935">
        <f>'Expenditures 15-22'!K295</f>
        <v>146673</v>
      </c>
      <c r="G12" s="873"/>
    </row>
    <row r="13" spans="1:7" x14ac:dyDescent="0.2">
      <c r="A13" s="870" t="s">
        <v>108</v>
      </c>
      <c r="B13" s="871" t="s">
        <v>1992</v>
      </c>
      <c r="C13" s="872"/>
      <c r="D13" s="870" t="s">
        <v>522</v>
      </c>
      <c r="E13" s="869"/>
      <c r="F13" s="1935">
        <f>'Expenditures 15-22'!K342</f>
        <v>81963</v>
      </c>
      <c r="G13" s="874"/>
    </row>
    <row r="14" spans="1:7" ht="12" customHeight="1" thickBot="1" x14ac:dyDescent="0.25">
      <c r="A14" s="1792"/>
      <c r="B14" s="1793"/>
      <c r="C14" s="1794"/>
      <c r="D14" s="1795" t="s">
        <v>522</v>
      </c>
      <c r="E14" s="1796" t="s">
        <v>1015</v>
      </c>
      <c r="F14" s="1797">
        <f>SUM(F8:F13)</f>
        <v>7122646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82758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23826</v>
      </c>
      <c r="G52" s="866"/>
    </row>
    <row r="53" spans="1:7" x14ac:dyDescent="0.2">
      <c r="A53" s="870" t="s">
        <v>479</v>
      </c>
      <c r="B53" s="870" t="s">
        <v>1551</v>
      </c>
      <c r="C53" s="890">
        <f>'Expenditures 15-22'!B102</f>
        <v>4000</v>
      </c>
      <c r="D53" s="889" t="str">
        <f>'Expenditures 15-22'!A102</f>
        <v>Total Payments to Other Govt Units</v>
      </c>
      <c r="E53" s="869"/>
      <c r="F53" s="1939">
        <f>'Expenditures 15-22'!K102</f>
        <v>140889</v>
      </c>
      <c r="G53" s="866"/>
    </row>
    <row r="54" spans="1:7" x14ac:dyDescent="0.2">
      <c r="A54" s="870" t="s">
        <v>479</v>
      </c>
      <c r="B54" s="870" t="s">
        <v>1552</v>
      </c>
      <c r="C54" s="890" t="s">
        <v>1039</v>
      </c>
      <c r="D54" s="886" t="s">
        <v>1157</v>
      </c>
      <c r="E54" s="869"/>
      <c r="F54" s="1939">
        <f>'Expenditures 15-22'!G114</f>
        <v>102327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9602</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2010000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2136</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2371538</v>
      </c>
      <c r="G76" s="866"/>
    </row>
    <row r="77" spans="1:8" s="894" customFormat="1" ht="12" customHeight="1" thickTop="1" thickBot="1" x14ac:dyDescent="0.25">
      <c r="A77" s="1801"/>
      <c r="B77" s="1798"/>
      <c r="C77" s="1794"/>
      <c r="D77" s="1799" t="s">
        <v>2011</v>
      </c>
      <c r="E77" s="1796"/>
      <c r="F77" s="1802">
        <f>(F14-F76)</f>
        <v>4751108</v>
      </c>
      <c r="G77" s="870"/>
    </row>
    <row r="78" spans="1:8" s="894" customFormat="1" ht="12" customHeight="1" thickTop="1" x14ac:dyDescent="0.2">
      <c r="A78" s="1803"/>
      <c r="B78" s="1798"/>
      <c r="C78" s="1794"/>
      <c r="D78" s="1799" t="s">
        <v>2057</v>
      </c>
      <c r="E78" s="1796"/>
      <c r="F78" s="899">
        <v>491.44</v>
      </c>
      <c r="G78" s="900"/>
      <c r="H78" s="870"/>
    </row>
    <row r="79" spans="1:8" s="894" customFormat="1" ht="12" customHeight="1" thickBot="1" x14ac:dyDescent="0.25">
      <c r="A79" s="1804"/>
      <c r="B79" s="1798"/>
      <c r="C79" s="1794"/>
      <c r="D79" s="1799" t="s">
        <v>2012</v>
      </c>
      <c r="E79" s="1796" t="s">
        <v>1015</v>
      </c>
      <c r="F79" s="1805">
        <f>IF(F78&gt;0,F77/F78," Complete Line 78")</f>
        <v>9667.7274947094247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33449</v>
      </c>
      <c r="G94" s="913"/>
    </row>
    <row r="95" spans="1:7" x14ac:dyDescent="0.2">
      <c r="A95" s="909" t="s">
        <v>142</v>
      </c>
      <c r="B95" s="909" t="s">
        <v>177</v>
      </c>
      <c r="C95" s="911">
        <v>1700</v>
      </c>
      <c r="D95" s="919" t="str">
        <f>'Revenues 9-14'!A82</f>
        <v>Total District/School Activity Income</v>
      </c>
      <c r="E95" s="907"/>
      <c r="F95" s="1811">
        <f>SUM('Revenues 9-14'!C82,'Revenues 9-14'!D82)</f>
        <v>26810</v>
      </c>
      <c r="G95" s="913"/>
    </row>
    <row r="96" spans="1:7" x14ac:dyDescent="0.2">
      <c r="A96" s="909" t="s">
        <v>479</v>
      </c>
      <c r="B96" s="909" t="s">
        <v>178</v>
      </c>
      <c r="C96" s="911">
        <f>'Revenues 9-14'!B84</f>
        <v>1811</v>
      </c>
      <c r="D96" s="912" t="str">
        <f>'Revenues 9-14'!A84</f>
        <v>Rentals - Regular Textbooks</v>
      </c>
      <c r="E96" s="907"/>
      <c r="F96" s="1811">
        <f>'Revenues 9-14'!C84</f>
        <v>8600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16</v>
      </c>
      <c r="G100" s="913"/>
    </row>
    <row r="101" spans="1:7" x14ac:dyDescent="0.2">
      <c r="A101" s="909" t="s">
        <v>142</v>
      </c>
      <c r="B101" s="909" t="s">
        <v>183</v>
      </c>
      <c r="C101" s="911">
        <f>'Revenues 9-14'!B95</f>
        <v>1910</v>
      </c>
      <c r="D101" s="912" t="str">
        <f>'Revenues 9-14'!A95</f>
        <v>Rentals</v>
      </c>
      <c r="E101" s="907"/>
      <c r="F101" s="1811">
        <f>SUM('Revenues 9-14'!C95:D95)</f>
        <v>6000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7223</v>
      </c>
      <c r="G104" s="913"/>
    </row>
    <row r="105" spans="1:7" x14ac:dyDescent="0.2">
      <c r="A105" s="909" t="s">
        <v>524</v>
      </c>
      <c r="B105" s="909" t="s">
        <v>842</v>
      </c>
      <c r="C105" s="914">
        <v>3100</v>
      </c>
      <c r="D105" s="920" t="str">
        <f>'Revenues 9-14'!A131</f>
        <v>Total Special Education</v>
      </c>
      <c r="E105" s="907"/>
      <c r="F105" s="1811">
        <f>SUM('Revenues 9-14'!C131:D131,'Revenues 9-14'!F131)</f>
        <v>80770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2171</v>
      </c>
      <c r="G106" s="913"/>
    </row>
    <row r="107" spans="1:7" x14ac:dyDescent="0.2">
      <c r="A107" s="922" t="s">
        <v>685</v>
      </c>
      <c r="B107" s="909" t="s">
        <v>843</v>
      </c>
      <c r="C107" s="921">
        <v>3300</v>
      </c>
      <c r="D107" s="912" t="str">
        <f>'Revenues 9-14'!A144</f>
        <v>Total Bilingual Ed</v>
      </c>
      <c r="E107" s="907"/>
      <c r="F107" s="1811">
        <f>SUM('Revenues 9-14'!C144,'Revenues 9-14'!G144)</f>
        <v>18665</v>
      </c>
      <c r="G107" s="913"/>
    </row>
    <row r="108" spans="1:7" x14ac:dyDescent="0.2">
      <c r="A108" s="909" t="s">
        <v>479</v>
      </c>
      <c r="B108" s="909" t="s">
        <v>844</v>
      </c>
      <c r="C108" s="921">
        <f>'Revenues 9-14'!B145</f>
        <v>3360</v>
      </c>
      <c r="D108" s="912" t="str">
        <f>'Revenues 9-14'!A145</f>
        <v>State Free Lunch &amp; Breakfast</v>
      </c>
      <c r="E108" s="907"/>
      <c r="F108" s="1811">
        <f>'Revenues 9-14'!C145</f>
        <v>2569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9005</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265866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29091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172202</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143964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17734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15859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28186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v>172008</v>
      </c>
      <c r="G175" s="928"/>
    </row>
    <row r="176" spans="1:7" x14ac:dyDescent="0.2">
      <c r="A176" s="1944" t="s">
        <v>685</v>
      </c>
      <c r="B176" s="1945" t="s">
        <v>2056</v>
      </c>
      <c r="C176" s="1946">
        <v>3300</v>
      </c>
      <c r="D176" s="1947" t="s">
        <v>2060</v>
      </c>
      <c r="E176" s="907"/>
      <c r="F176" s="1931">
        <v>21500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1061688</v>
      </c>
    </row>
    <row r="179" spans="1:7" ht="12" customHeight="1" x14ac:dyDescent="0.2">
      <c r="A179" s="1792"/>
      <c r="B179" s="1806"/>
      <c r="C179" s="1807"/>
      <c r="D179" s="1808" t="s">
        <v>2014</v>
      </c>
      <c r="E179" s="1809"/>
      <c r="F179" s="1811">
        <f>'PCTC-OEPP 27-28'!F77-F178</f>
        <v>3689420</v>
      </c>
    </row>
    <row r="180" spans="1:7" ht="12" customHeight="1" x14ac:dyDescent="0.2">
      <c r="A180" s="1792"/>
      <c r="B180" s="1806"/>
      <c r="C180" s="1807"/>
      <c r="D180" s="1808" t="s">
        <v>1924</v>
      </c>
      <c r="E180" s="1809"/>
      <c r="F180" s="1811">
        <f>'Cap Outlay Deprec 26'!I18</f>
        <v>305492</v>
      </c>
    </row>
    <row r="181" spans="1:7" ht="12" customHeight="1" x14ac:dyDescent="0.2">
      <c r="A181" s="1792"/>
      <c r="B181" s="1806"/>
      <c r="C181" s="1807"/>
      <c r="D181" s="1808" t="s">
        <v>2015</v>
      </c>
      <c r="E181" s="1809"/>
      <c r="F181" s="1811">
        <f>F179+F180</f>
        <v>3994912</v>
      </c>
    </row>
    <row r="182" spans="1:7" ht="12" customHeight="1" x14ac:dyDescent="0.2">
      <c r="A182" s="1792"/>
      <c r="B182" s="1812"/>
      <c r="C182" s="1807"/>
      <c r="D182" s="1808" t="str">
        <f>D78</f>
        <v>9 Month ADA from District Average Daily Attendance/Prior General State Aid Inquiry 2017-2018</v>
      </c>
      <c r="E182" s="1809"/>
      <c r="F182" s="1813">
        <f>'PCTC-OEPP 27-28'!F78</f>
        <v>491.44</v>
      </c>
      <c r="G182" s="931"/>
    </row>
    <row r="183" spans="1:7" ht="12" customHeight="1" thickBot="1" x14ac:dyDescent="0.25">
      <c r="A183" s="1792"/>
      <c r="B183" s="1812"/>
      <c r="C183" s="1807"/>
      <c r="D183" s="1808" t="s">
        <v>2016</v>
      </c>
      <c r="E183" s="1809" t="s">
        <v>1626</v>
      </c>
      <c r="F183" s="1814">
        <f>F181/F182</f>
        <v>8128.9923490151396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2099</v>
      </c>
      <c r="C17" s="1958" t="s">
        <v>2098</v>
      </c>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195100</v>
      </c>
      <c r="F10" s="975"/>
      <c r="G10" s="976"/>
      <c r="H10" s="162"/>
      <c r="I10" s="162"/>
    </row>
    <row r="11" spans="1:9" s="669" customFormat="1" ht="22.5" customHeight="1" x14ac:dyDescent="0.2">
      <c r="A11" s="2305" t="s">
        <v>1944</v>
      </c>
      <c r="B11" s="2306"/>
      <c r="C11" s="2306"/>
      <c r="D11" s="2307"/>
      <c r="E11" s="978">
        <v>17289</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3016002</v>
      </c>
      <c r="F19" s="1822"/>
      <c r="G19" s="1824">
        <f>'Expenditures 15-22'!K33-SUM('Expenditures 15-22'!G33,'Expenditures 15-22'!I33)+'Expenditures 15-22'!D229</f>
        <v>3016002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154482</v>
      </c>
      <c r="F21" s="1825"/>
      <c r="G21" s="1828">
        <f>'Expenditures 15-22'!K42-SUM('Expenditures 15-22'!G42,'Expenditures 15-22'!I42)+'Expenditures 15-22'!K120-SUM('Expenditures 15-22'!G120,'Expenditures 15-22'!I120)+'Expenditures 15-22'!K180-SUM('Expenditures 15-22'!G180,'Expenditures 15-22'!I180)+'Expenditures 15-22'!D238</f>
        <v>154482</v>
      </c>
      <c r="H21" s="988"/>
      <c r="I21" s="162"/>
    </row>
    <row r="22" spans="1:9" s="669" customFormat="1" ht="12" customHeight="1" x14ac:dyDescent="0.2">
      <c r="A22" s="995" t="s">
        <v>585</v>
      </c>
      <c r="B22" s="996"/>
      <c r="C22" s="994">
        <v>2200</v>
      </c>
      <c r="D22" s="1825"/>
      <c r="E22" s="1827">
        <f>'Expenditures 15-22'!K47-SUM('Expenditures 15-22'!G47,'Expenditures 15-22'!I47)+'Expenditures 15-22'!D243</f>
        <v>38498</v>
      </c>
      <c r="F22" s="1825"/>
      <c r="G22" s="1828">
        <f>'Expenditures 15-22'!K47-SUM('Expenditures 15-22'!G47,'Expenditures 15-22'!I47)+'Expenditures 15-22'!D243</f>
        <v>38498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317061</v>
      </c>
      <c r="F23" s="1825"/>
      <c r="G23" s="1827">
        <f>'Expenditures 15-22'!K53-SUM('Expenditures 15-22'!G53,'Expenditures 15-22'!I53)+'Expenditures 15-22'!D257+'Expenditures 15-22'!K330-SUM('Expenditures 15-22'!G330,'Expenditures 15-22'!I330)</f>
        <v>317061</v>
      </c>
      <c r="H23" s="988"/>
      <c r="I23" s="162"/>
    </row>
    <row r="24" spans="1:9" s="669" customFormat="1" ht="12" customHeight="1" x14ac:dyDescent="0.2">
      <c r="A24" s="995" t="s">
        <v>587</v>
      </c>
      <c r="B24" s="996"/>
      <c r="C24" s="994">
        <v>2400</v>
      </c>
      <c r="D24" s="1825"/>
      <c r="E24" s="1827">
        <f>'Expenditures 15-22'!K57-SUM('Expenditures 15-22'!G57,'Expenditures 15-22'!I57)+'Expenditures 15-22'!D261</f>
        <v>221332</v>
      </c>
      <c r="F24" s="1825"/>
      <c r="G24" s="1828">
        <f>'Expenditures 15-22'!K57-SUM('Expenditures 15-22'!G57,'Expenditures 15-22'!I57)+'Expenditures 15-22'!D261</f>
        <v>221332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73197</v>
      </c>
      <c r="E27" s="1827">
        <f>E8</f>
        <v>0</v>
      </c>
      <c r="F27" s="1827">
        <f>'Expenditures 15-22'!K60-SUM('Expenditures 15-22'!G60,'Expenditures 15-22'!I60)+'Expenditures 15-22'!D264-E8</f>
        <v>73197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416810</v>
      </c>
      <c r="F28" s="1829">
        <f>'Expenditures 15-22'!K61-SUM('Expenditures 15-22'!G61,'Expenditures 15-22'!I61)+'Expenditures 15-22'!K124-SUM('Expenditures 15-22'!G124,'Expenditures 15-22'!I124)+'Expenditures 15-22'!D266-E9</f>
        <v>416810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348146</v>
      </c>
      <c r="F29" s="1825"/>
      <c r="G29" s="1828">
        <f>'Expenditures 15-22'!K62-SUM('Expenditures 15-22'!G62,'Expenditures 15-22'!I62)+'Expenditures 15-22'!K125-SUM('Expenditures 15-22'!G125,'Expenditures 15-22'!I125)+'Expenditures 15-22'!K182-SUM('Expenditures 15-22'!G182,'Expenditures 15-22'!I182)+'Expenditures 15-22'!D267</f>
        <v>348146</v>
      </c>
      <c r="H29" s="986"/>
    </row>
    <row r="30" spans="1:9" ht="12" customHeight="1" x14ac:dyDescent="0.2">
      <c r="A30" s="995" t="s">
        <v>102</v>
      </c>
      <c r="B30" s="998"/>
      <c r="C30" s="994">
        <v>2560</v>
      </c>
      <c r="D30" s="1825"/>
      <c r="E30" s="1827">
        <f>'Expenditures 15-22'!K63-SUM('Expenditures 15-22'!G63,'Expenditures 15-22'!I63)+'Expenditures 15-22'!D268-E10</f>
        <v>10785</v>
      </c>
      <c r="F30" s="1825"/>
      <c r="G30" s="1827">
        <f>'Expenditures 15-22'!K63-SUM('Expenditures 15-22'!G63,'Expenditures 15-22'!I63)+'Expenditures 15-22'!D268-E10</f>
        <v>10785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25962</v>
      </c>
      <c r="F39" s="1825"/>
      <c r="G39" s="1827">
        <f>'Expenditures 15-22'!K75-SUM('Expenditures 15-22'!G75,'Expenditures 15-22'!I75)+'Expenditures 15-22'!K130-SUM('Expenditures 15-22'!G130,'Expenditures 15-22'!I130)+'Expenditures 15-22'!K185-SUM('Expenditures 15-22'!G185,'Expenditures 15-22'!I185)+'Expenditures 15-22'!D280</f>
        <v>25962</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73197</v>
      </c>
      <c r="E41" s="1829">
        <f>SUM(E19:E40)</f>
        <v>4549078</v>
      </c>
      <c r="F41" s="1829">
        <f>SUM(F19:F39)</f>
        <v>490007</v>
      </c>
      <c r="G41" s="1829">
        <f>SUM(G19:G40)</f>
        <v>4132268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73197</v>
      </c>
      <c r="F43" s="1830" t="s">
        <v>495</v>
      </c>
      <c r="G43" s="1831">
        <f>F41</f>
        <v>490007</v>
      </c>
    </row>
    <row r="44" spans="1:7" ht="12" customHeight="1" x14ac:dyDescent="0.2">
      <c r="A44" s="988"/>
      <c r="B44" s="162"/>
      <c r="C44" s="1002"/>
      <c r="D44" s="1830" t="s">
        <v>494</v>
      </c>
      <c r="E44" s="1831">
        <f>E41</f>
        <v>4549078</v>
      </c>
      <c r="F44" s="1830" t="s">
        <v>494</v>
      </c>
      <c r="G44" s="1831">
        <f>G41</f>
        <v>4132268</v>
      </c>
    </row>
    <row r="45" spans="1:7" ht="12" customHeight="1" x14ac:dyDescent="0.2">
      <c r="A45" s="988"/>
      <c r="B45" s="162"/>
      <c r="C45" s="162"/>
      <c r="D45" s="1832" t="s">
        <v>1063</v>
      </c>
      <c r="E45" s="1833">
        <f>(E43/E44)</f>
        <v>1.609051328642859E-2</v>
      </c>
      <c r="F45" s="1832" t="s">
        <v>1063</v>
      </c>
      <c r="G45" s="1833">
        <f>(G43/G44)</f>
        <v>0.11858064384981806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Cobden SUD 17</v>
      </c>
      <c r="D6" s="2315"/>
      <c r="E6" s="2315"/>
      <c r="F6" s="1877"/>
    </row>
    <row r="7" spans="1:10" ht="11.25" customHeight="1" thickBot="1" x14ac:dyDescent="0.3">
      <c r="A7" s="1875"/>
      <c r="B7" s="1876"/>
      <c r="C7" s="2316">
        <f>COVER!A13</f>
        <v>30091017022</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2096</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Cobden SUD 17</v>
      </c>
      <c r="J6" s="2336"/>
      <c r="Q6" s="1686"/>
    </row>
    <row r="7" spans="1:17" x14ac:dyDescent="0.2">
      <c r="A7" s="2337" t="s">
        <v>924</v>
      </c>
      <c r="B7" s="2338"/>
      <c r="C7" s="2338"/>
      <c r="D7" s="2338"/>
      <c r="E7" s="2339"/>
      <c r="F7" s="1018"/>
      <c r="G7" s="1010"/>
      <c r="H7" s="1017" t="s">
        <v>390</v>
      </c>
      <c r="I7" s="2340">
        <f>COVER!A13</f>
        <v>30091017022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189486</v>
      </c>
      <c r="F12" s="1040"/>
      <c r="G12" s="1834">
        <f t="shared" ref="G12:G18" si="0">SUM(E12:F12)</f>
        <v>189486</v>
      </c>
      <c r="H12" s="1041">
        <v>170876</v>
      </c>
      <c r="I12" s="1040"/>
      <c r="J12" s="1834">
        <f t="shared" ref="J12:J18" si="1">SUM(H12:I12)</f>
        <v>170876</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14707</v>
      </c>
      <c r="F18" s="1044">
        <v>0</v>
      </c>
      <c r="G18" s="1835">
        <f t="shared" si="0"/>
        <v>14707</v>
      </c>
      <c r="H18" s="1041">
        <v>15148</v>
      </c>
      <c r="I18" s="1041">
        <v>0</v>
      </c>
      <c r="J18" s="1834">
        <f t="shared" si="1"/>
        <v>15148</v>
      </c>
    </row>
    <row r="19" spans="1:10" ht="12.75" customHeight="1" thickBot="1" x14ac:dyDescent="0.25">
      <c r="A19" s="1036">
        <v>8</v>
      </c>
      <c r="B19" s="1045" t="s">
        <v>1223</v>
      </c>
      <c r="D19" s="1046"/>
      <c r="E19" s="1836">
        <f t="shared" ref="E19:J19" si="2">SUM(E12:E17)-E18</f>
        <v>174779</v>
      </c>
      <c r="F19" s="1836">
        <f t="shared" si="2"/>
        <v>0</v>
      </c>
      <c r="G19" s="1836">
        <f t="shared" si="2"/>
        <v>174779</v>
      </c>
      <c r="H19" s="1836">
        <f t="shared" si="2"/>
        <v>155728</v>
      </c>
      <c r="I19" s="1836">
        <f t="shared" si="2"/>
        <v>0</v>
      </c>
      <c r="J19" s="1836">
        <f t="shared" si="2"/>
        <v>155728</v>
      </c>
    </row>
    <row r="20" spans="1:10" ht="13.5" thickTop="1" x14ac:dyDescent="0.2">
      <c r="A20" s="1036">
        <v>9</v>
      </c>
      <c r="B20" s="2347" t="s">
        <v>1703</v>
      </c>
      <c r="C20" s="2347"/>
      <c r="D20" s="2348"/>
      <c r="E20" s="1047"/>
      <c r="F20" s="1047"/>
      <c r="G20" s="1047"/>
      <c r="H20" s="1047"/>
      <c r="I20" s="1047"/>
      <c r="J20" s="1837">
        <f>IF(AND(G19&gt;0,J19&gt;0),(((J19-G19)/G19)),"Enter Budget Data")</f>
        <v>-0.10900050921449374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Cobden SUD 17</v>
      </c>
    </row>
    <row r="65" spans="2:2" x14ac:dyDescent="0.2">
      <c r="B65" s="1071">
        <f>COVER!A13</f>
        <v>30091017022</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1704975</xdr:colOff>
                <xdr:row>3</xdr:row>
                <xdr:rowOff>95250</xdr:rowOff>
              </from>
              <to>
                <xdr:col>1</xdr:col>
                <xdr:colOff>2619375</xdr:colOff>
                <xdr:row>7</xdr:row>
                <xdr:rowOff>133350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4591246</v>
      </c>
      <c r="C8" s="1838">
        <f>'Acct Summary 7-8'!D8</f>
        <v>162654</v>
      </c>
      <c r="D8" s="1838">
        <f>'Acct Summary 7-8'!F8</f>
        <v>330814</v>
      </c>
      <c r="E8" s="1838">
        <f>'Acct Summary 7-8'!I8</f>
        <v>15660</v>
      </c>
      <c r="F8" s="1838">
        <f>SUM(B8:E8)</f>
        <v>5100374</v>
      </c>
    </row>
    <row r="9" spans="1:8" s="1080" customFormat="1" ht="14.25" customHeight="1" thickBot="1" x14ac:dyDescent="0.25">
      <c r="A9" s="1079" t="s">
        <v>1436</v>
      </c>
      <c r="B9" s="1839">
        <f>'Acct Summary 7-8'!C17</f>
        <v>4294186</v>
      </c>
      <c r="C9" s="1839">
        <f>'Acct Summary 7-8'!D17</f>
        <v>199225</v>
      </c>
      <c r="D9" s="1839">
        <f>'Acct Summary 7-8'!F17</f>
        <v>348146</v>
      </c>
      <c r="E9" s="1838"/>
      <c r="F9" s="1838">
        <f>SUM(B9:E9)</f>
        <v>4841557</v>
      </c>
    </row>
    <row r="10" spans="1:8" s="1080" customFormat="1" ht="14.25" thickTop="1" thickBot="1" x14ac:dyDescent="0.25">
      <c r="A10" s="1081" t="s">
        <v>1437</v>
      </c>
      <c r="B10" s="1840">
        <f>(B8-B9)</f>
        <v>297060</v>
      </c>
      <c r="C10" s="1840">
        <f>(C8-C9)</f>
        <v>-36571</v>
      </c>
      <c r="D10" s="1840">
        <f>(D8-D9)</f>
        <v>-17332</v>
      </c>
      <c r="E10" s="1839">
        <f>(E8-E9)</f>
        <v>15660</v>
      </c>
      <c r="F10" s="1841">
        <f>SUM(F8-F9)</f>
        <v>258817</v>
      </c>
    </row>
    <row r="11" spans="1:8" s="1080" customFormat="1" ht="14.25" thickTop="1" thickBot="1" x14ac:dyDescent="0.25">
      <c r="A11" s="1082" t="s">
        <v>1785</v>
      </c>
      <c r="B11" s="1842">
        <f>'Acct Summary 7-8'!C81</f>
        <v>2600941</v>
      </c>
      <c r="C11" s="1842">
        <f>'Acct Summary 7-8'!D81</f>
        <v>586763</v>
      </c>
      <c r="D11" s="1842">
        <f>'Acct Summary 7-8'!F81</f>
        <v>106014</v>
      </c>
      <c r="E11" s="1842">
        <f>'Acct Summary 7-8'!I81</f>
        <v>311405</v>
      </c>
      <c r="F11" s="1843">
        <f>SUM(B11:E11)</f>
        <v>3605123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30091017022</v>
      </c>
    </row>
    <row r="3" spans="1:2" x14ac:dyDescent="0.2">
      <c r="A3" t="s">
        <v>1013</v>
      </c>
      <c r="B3" s="138" t="str">
        <f>COVER!A15</f>
        <v>UNION</v>
      </c>
    </row>
    <row r="4" spans="1:2" x14ac:dyDescent="0.2">
      <c r="A4" t="s">
        <v>1064</v>
      </c>
      <c r="B4" s="138" t="str">
        <f>COVER!A17</f>
        <v>Cobden SUD 17</v>
      </c>
    </row>
    <row r="5" spans="1:2" x14ac:dyDescent="0.2">
      <c r="A5" t="s">
        <v>728</v>
      </c>
      <c r="B5" s="138" t="str">
        <f>COVER!A38</f>
        <v>EDWIN SHOEMATE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558551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2600941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2600941</v>
      </c>
      <c r="D92" s="2" t="str">
        <f t="shared" si="0"/>
        <v>Error?</v>
      </c>
    </row>
    <row r="93" spans="1:4" x14ac:dyDescent="0.2">
      <c r="A93" s="5">
        <v>32</v>
      </c>
      <c r="B93" s="138">
        <f>'Assets-Liab 5-6'!C41</f>
        <v>2600941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520353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586763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586763</v>
      </c>
      <c r="D123" s="2" t="str">
        <f t="shared" si="0"/>
        <v>Error?</v>
      </c>
    </row>
    <row r="124" spans="1:4" x14ac:dyDescent="0.2">
      <c r="A124" s="5">
        <v>63</v>
      </c>
      <c r="B124" s="138">
        <f>'Assets-Liab 5-6'!D41</f>
        <v>586763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79230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79230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106014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106014</v>
      </c>
      <c r="D170" s="2" t="str">
        <f t="shared" si="1"/>
        <v>Error?</v>
      </c>
    </row>
    <row r="171" spans="1:4" x14ac:dyDescent="0.2">
      <c r="A171" s="5">
        <v>110</v>
      </c>
      <c r="B171" s="138">
        <f>'Assets-Liab 5-6'!F41</f>
        <v>106014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22887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22887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106866</v>
      </c>
      <c r="D273" s="2" t="str">
        <f t="shared" si="3"/>
        <v>Error?</v>
      </c>
    </row>
    <row r="274" spans="1:4" x14ac:dyDescent="0.2">
      <c r="A274" s="5">
        <v>213</v>
      </c>
      <c r="B274" s="138">
        <f>'Assets-Liab 5-6'!M17</f>
        <v>10173526</v>
      </c>
      <c r="D274" s="2" t="str">
        <f t="shared" si="3"/>
        <v>Error?</v>
      </c>
    </row>
    <row r="275" spans="1:4" x14ac:dyDescent="0.2">
      <c r="A275" s="5">
        <v>214</v>
      </c>
      <c r="B275" s="138">
        <f>'Assets-Liab 5-6'!M18</f>
        <v>907663</v>
      </c>
      <c r="D275" s="2" t="str">
        <f t="shared" si="3"/>
        <v>Error?</v>
      </c>
    </row>
    <row r="276" spans="1:4" x14ac:dyDescent="0.2">
      <c r="A276" s="5">
        <v>215</v>
      </c>
      <c r="B276" s="138">
        <f>'Assets-Liab 5-6'!M19</f>
        <v>1581395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12769450</v>
      </c>
      <c r="C279" s="2" t="s">
        <v>594</v>
      </c>
      <c r="D279" s="2" t="str">
        <f t="shared" si="3"/>
        <v>Error?</v>
      </c>
    </row>
    <row r="280" spans="1:4" x14ac:dyDescent="0.2">
      <c r="A280" s="5">
        <v>219</v>
      </c>
      <c r="B280" s="138">
        <f>'Assets-Liab 5-6'!M40</f>
        <v>12769450</v>
      </c>
      <c r="D280" s="2" t="str">
        <f t="shared" si="3"/>
        <v>Error?</v>
      </c>
    </row>
    <row r="281" spans="1:4" x14ac:dyDescent="0.2">
      <c r="A281" s="5">
        <v>220</v>
      </c>
      <c r="B281" s="138">
        <f>'Assets-Liab 5-6'!M41</f>
        <v>12769450</v>
      </c>
      <c r="C281" s="2" t="s">
        <v>594</v>
      </c>
      <c r="D281" s="2" t="str">
        <f t="shared" si="3"/>
        <v>Error?</v>
      </c>
    </row>
    <row r="282" spans="1:4" x14ac:dyDescent="0.2">
      <c r="A282" s="5">
        <v>221</v>
      </c>
      <c r="B282" s="138">
        <f>'Assets-Liab 5-6'!N21</f>
        <v>79230</v>
      </c>
      <c r="D282" s="2" t="str">
        <f t="shared" si="3"/>
        <v>Error?</v>
      </c>
    </row>
    <row r="283" spans="1:4" x14ac:dyDescent="0.2">
      <c r="A283" s="5">
        <v>222</v>
      </c>
      <c r="B283" s="138">
        <f>'Assets-Liab 5-6'!N22</f>
        <v>1765770</v>
      </c>
      <c r="D283" s="2" t="str">
        <f t="shared" si="3"/>
        <v>Error?</v>
      </c>
    </row>
    <row r="284" spans="1:4" x14ac:dyDescent="0.2">
      <c r="A284" s="5">
        <v>223</v>
      </c>
      <c r="B284" s="138">
        <f>'Assets-Liab 5-6'!N23</f>
        <v>1845000</v>
      </c>
      <c r="C284" s="2" t="s">
        <v>594</v>
      </c>
      <c r="D284" s="2" t="str">
        <f t="shared" si="3"/>
        <v>Error?</v>
      </c>
    </row>
    <row r="285" spans="1:4" x14ac:dyDescent="0.2">
      <c r="A285" s="5">
        <v>224</v>
      </c>
      <c r="B285" s="138">
        <f>'Assets-Liab 5-6'!N36</f>
        <v>1845000</v>
      </c>
      <c r="D285" s="2" t="str">
        <f t="shared" si="3"/>
        <v>Error?</v>
      </c>
    </row>
    <row r="286" spans="1:4" x14ac:dyDescent="0.2">
      <c r="A286" s="10">
        <v>225</v>
      </c>
      <c r="D286" s="2" t="str">
        <f t="shared" si="3"/>
        <v>OK</v>
      </c>
    </row>
    <row r="287" spans="1:4" x14ac:dyDescent="0.2">
      <c r="A287" s="5">
        <v>226</v>
      </c>
      <c r="B287" s="138">
        <f>'Assets-Liab 5-6'!N37</f>
        <v>1845000</v>
      </c>
      <c r="C287" s="2" t="s">
        <v>594</v>
      </c>
      <c r="D287" s="2" t="str">
        <f t="shared" si="3"/>
        <v>Error?</v>
      </c>
    </row>
    <row r="288" spans="1:4" x14ac:dyDescent="0.2">
      <c r="A288" s="5">
        <v>227</v>
      </c>
      <c r="B288" s="138">
        <f>'Assets-Liab 5-6'!N41</f>
        <v>1845000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67036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1536288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94873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124571</v>
      </c>
      <c r="D717" s="2" t="str">
        <f t="shared" si="10"/>
        <v>Error?</v>
      </c>
    </row>
    <row r="718" spans="1:4" x14ac:dyDescent="0.2">
      <c r="A718" s="5">
        <v>657</v>
      </c>
      <c r="B718" s="138">
        <f>'Expenditures 15-22'!C14</f>
        <v>56505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2240745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33503</v>
      </c>
      <c r="D722" s="2" t="str">
        <f t="shared" si="10"/>
        <v>Error?</v>
      </c>
    </row>
    <row r="723" spans="1:4" x14ac:dyDescent="0.2">
      <c r="A723" s="5">
        <v>662</v>
      </c>
      <c r="B723" s="138">
        <f>'Expenditures 15-22'!C38</f>
        <v>37675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119602</v>
      </c>
      <c r="C727" s="2" t="s">
        <v>594</v>
      </c>
      <c r="D727" s="2" t="str">
        <f t="shared" si="10"/>
        <v>Error?</v>
      </c>
    </row>
    <row r="728" spans="1:4" x14ac:dyDescent="0.2">
      <c r="A728" s="5">
        <v>667</v>
      </c>
      <c r="B728" s="138">
        <f>'Expenditures 15-22'!C44</f>
        <v>18058</v>
      </c>
      <c r="D728" s="2" t="str">
        <f t="shared" si="10"/>
        <v>Error?</v>
      </c>
    </row>
    <row r="729" spans="1:4" x14ac:dyDescent="0.2">
      <c r="A729" s="5">
        <v>668</v>
      </c>
      <c r="B729" s="138">
        <f>'Expenditures 15-22'!C45</f>
        <v>326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18384</v>
      </c>
      <c r="C731" s="2" t="s">
        <v>594</v>
      </c>
      <c r="D731" s="2" t="str">
        <f t="shared" si="10"/>
        <v>Error?</v>
      </c>
    </row>
    <row r="732" spans="1:4" x14ac:dyDescent="0.2">
      <c r="A732" s="5">
        <v>671</v>
      </c>
      <c r="B732" s="138">
        <f>'Expenditures 15-22'!C49</f>
        <v>10650</v>
      </c>
      <c r="D732" s="2" t="str">
        <f t="shared" si="10"/>
        <v>Error?</v>
      </c>
    </row>
    <row r="733" spans="1:4" x14ac:dyDescent="0.2">
      <c r="A733" s="5">
        <v>672</v>
      </c>
      <c r="B733" s="138">
        <f>'Expenditures 15-22'!C50</f>
        <v>149628</v>
      </c>
      <c r="D733" s="2" t="str">
        <f t="shared" si="10"/>
        <v>Error?</v>
      </c>
    </row>
    <row r="734" spans="1:4" x14ac:dyDescent="0.2">
      <c r="A734" s="5">
        <v>673</v>
      </c>
      <c r="B734" s="138">
        <f>'Expenditures 15-22'!C53</f>
        <v>160278</v>
      </c>
      <c r="C734" s="2" t="s">
        <v>594</v>
      </c>
      <c r="D734" s="2" t="str">
        <f t="shared" si="10"/>
        <v>Error?</v>
      </c>
    </row>
    <row r="735" spans="1:4" x14ac:dyDescent="0.2">
      <c r="A735" s="5">
        <v>674</v>
      </c>
      <c r="B735" s="138">
        <f>'Expenditures 15-22'!C55</f>
        <v>158420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158420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53142</v>
      </c>
      <c r="D739" s="2" t="str">
        <f t="shared" si="10"/>
        <v>Error?</v>
      </c>
    </row>
    <row r="740" spans="1:4" x14ac:dyDescent="0.2">
      <c r="A740" s="5">
        <v>679</v>
      </c>
      <c r="B740" s="138">
        <f>'Expenditures 15-22'!C61</f>
        <v>176544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91868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321554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778238</v>
      </c>
      <c r="C755" s="2" t="s">
        <v>594</v>
      </c>
      <c r="D755" s="2" t="str">
        <f t="shared" si="10"/>
        <v>Error?</v>
      </c>
    </row>
    <row r="756" spans="1:4" x14ac:dyDescent="0.2">
      <c r="A756" s="5">
        <v>695</v>
      </c>
      <c r="B756" s="138">
        <f>'Expenditures 15-22'!C75</f>
        <v>22313</v>
      </c>
      <c r="D756" s="2" t="str">
        <f t="shared" si="10"/>
        <v>Error?</v>
      </c>
    </row>
    <row r="757" spans="1:4" x14ac:dyDescent="0.2">
      <c r="A757" s="5">
        <v>696</v>
      </c>
      <c r="B757" s="138">
        <f>'Expenditures 15-22'!C114</f>
        <v>3041296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276300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8084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28759</v>
      </c>
      <c r="D775" s="2" t="str">
        <f t="shared" si="11"/>
        <v>Error?</v>
      </c>
    </row>
    <row r="776" spans="1:4" x14ac:dyDescent="0.2">
      <c r="A776" s="5">
        <v>715</v>
      </c>
      <c r="B776" s="138">
        <f>'Expenditures 15-22'!D14</f>
        <v>2922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386848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4867</v>
      </c>
      <c r="D780" s="2" t="str">
        <f t="shared" si="11"/>
        <v>Error?</v>
      </c>
    </row>
    <row r="781" spans="1:4" x14ac:dyDescent="0.2">
      <c r="A781" s="5">
        <v>720</v>
      </c>
      <c r="B781" s="138">
        <f>'Expenditures 15-22'!D38</f>
        <v>10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10699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15576</v>
      </c>
      <c r="C785" s="2" t="s">
        <v>594</v>
      </c>
      <c r="D785" s="2" t="str">
        <f t="shared" si="11"/>
        <v>Error?</v>
      </c>
    </row>
    <row r="786" spans="1:4" x14ac:dyDescent="0.2">
      <c r="A786" s="5">
        <v>725</v>
      </c>
      <c r="B786" s="138">
        <f>'Expenditures 15-22'!D44</f>
        <v>1899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1899</v>
      </c>
      <c r="C789" s="2" t="s">
        <v>594</v>
      </c>
      <c r="D789" s="2" t="str">
        <f t="shared" si="11"/>
        <v>Error?</v>
      </c>
    </row>
    <row r="790" spans="1:4" x14ac:dyDescent="0.2">
      <c r="A790" s="5">
        <v>729</v>
      </c>
      <c r="B790" s="138">
        <f>'Expenditures 15-22'!D49</f>
        <v>563</v>
      </c>
      <c r="D790" s="2" t="str">
        <f t="shared" si="11"/>
        <v>Error?</v>
      </c>
    </row>
    <row r="791" spans="1:4" x14ac:dyDescent="0.2">
      <c r="A791" s="5">
        <v>730</v>
      </c>
      <c r="B791" s="138">
        <f>'Expenditures 15-22'!D50</f>
        <v>34152</v>
      </c>
      <c r="D791" s="2" t="str">
        <f t="shared" si="11"/>
        <v>Error?</v>
      </c>
    </row>
    <row r="792" spans="1:4" x14ac:dyDescent="0.2">
      <c r="A792" s="5">
        <v>731</v>
      </c>
      <c r="B792" s="138">
        <f>'Expenditures 15-22'!D53</f>
        <v>34715</v>
      </c>
      <c r="C792" s="2" t="s">
        <v>594</v>
      </c>
      <c r="D792" s="2" t="str">
        <f t="shared" si="11"/>
        <v>Error?</v>
      </c>
    </row>
    <row r="793" spans="1:4" x14ac:dyDescent="0.2">
      <c r="A793" s="5">
        <v>732</v>
      </c>
      <c r="B793" s="138">
        <f>'Expenditures 15-22'!D55</f>
        <v>27791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27791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10342</v>
      </c>
      <c r="D797" s="2" t="str">
        <f t="shared" si="11"/>
        <v>Error?</v>
      </c>
    </row>
    <row r="798" spans="1:4" x14ac:dyDescent="0.2">
      <c r="A798" s="5">
        <v>737</v>
      </c>
      <c r="B798" s="138">
        <f>'Expenditures 15-22'!D61</f>
        <v>19034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14181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43557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123538</v>
      </c>
      <c r="C813" s="2" t="s">
        <v>594</v>
      </c>
      <c r="D813" s="2" t="str">
        <f t="shared" si="11"/>
        <v>Error?</v>
      </c>
    </row>
    <row r="814" spans="1:4" x14ac:dyDescent="0.2">
      <c r="A814" s="5">
        <v>753</v>
      </c>
      <c r="B814" s="138">
        <f>'Expenditures 15-22'!D75</f>
        <v>1513</v>
      </c>
      <c r="D814" s="2" t="str">
        <f t="shared" si="11"/>
        <v>Error?</v>
      </c>
    </row>
    <row r="815" spans="1:4" x14ac:dyDescent="0.2">
      <c r="A815" s="5">
        <v>754</v>
      </c>
      <c r="B815" s="138">
        <f>'Expenditures 15-22'!D114</f>
        <v>511899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66711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323</v>
      </c>
      <c r="D833" s="2" t="str">
        <f t="shared" si="12"/>
        <v>Error?</v>
      </c>
    </row>
    <row r="834" spans="1:4" x14ac:dyDescent="0.2">
      <c r="A834" s="5">
        <v>773</v>
      </c>
      <c r="B834" s="138">
        <f>'Expenditures 15-22'!E14</f>
        <v>35852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176987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2182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2253</v>
      </c>
      <c r="C843" s="2" t="s">
        <v>594</v>
      </c>
      <c r="D843" s="2" t="str">
        <f t="shared" si="12"/>
        <v>Error?</v>
      </c>
    </row>
    <row r="844" spans="1:4" x14ac:dyDescent="0.2">
      <c r="A844" s="5">
        <v>783</v>
      </c>
      <c r="B844" s="138">
        <f>'Expenditures 15-22'!E44</f>
        <v>17069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17069</v>
      </c>
      <c r="C847" s="2" t="s">
        <v>594</v>
      </c>
      <c r="D847" s="2" t="str">
        <f t="shared" si="12"/>
        <v>Error?</v>
      </c>
    </row>
    <row r="848" spans="1:4" x14ac:dyDescent="0.2">
      <c r="A848" s="5">
        <v>787</v>
      </c>
      <c r="B848" s="138">
        <f>'Expenditures 15-22'!E49</f>
        <v>25689</v>
      </c>
      <c r="D848" s="2" t="str">
        <f t="shared" si="12"/>
        <v>Error?</v>
      </c>
    </row>
    <row r="849" spans="1:4" x14ac:dyDescent="0.2">
      <c r="A849" s="5">
        <v>788</v>
      </c>
      <c r="B849" s="138">
        <f>'Expenditures 15-22'!E50</f>
        <v>4376</v>
      </c>
      <c r="D849" s="2" t="str">
        <f t="shared" si="12"/>
        <v>Error?</v>
      </c>
    </row>
    <row r="850" spans="1:4" x14ac:dyDescent="0.2">
      <c r="A850" s="5">
        <v>789</v>
      </c>
      <c r="B850" s="138">
        <f>'Expenditures 15-22'!E53</f>
        <v>30065</v>
      </c>
      <c r="C850" s="2" t="s">
        <v>594</v>
      </c>
      <c r="D850" s="2" t="str">
        <f t="shared" si="12"/>
        <v>Error?</v>
      </c>
    </row>
    <row r="851" spans="1:4" x14ac:dyDescent="0.2">
      <c r="A851" s="5">
        <v>790</v>
      </c>
      <c r="B851" s="138">
        <f>'Expenditures 15-22'!E55</f>
        <v>21337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21337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2614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73338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391214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40003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801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6409</v>
      </c>
      <c r="D891" s="2" t="str">
        <f t="shared" si="12"/>
        <v>Error?</v>
      </c>
    </row>
    <row r="892" spans="1:4" x14ac:dyDescent="0.2">
      <c r="A892" s="5">
        <v>831</v>
      </c>
      <c r="B892" s="138">
        <f>'Expenditures 15-22'!F14</f>
        <v>18368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149920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3473</v>
      </c>
      <c r="D896" s="2" t="str">
        <f t="shared" si="13"/>
        <v>Error?</v>
      </c>
    </row>
    <row r="897" spans="1:4" x14ac:dyDescent="0.2">
      <c r="A897" s="5">
        <v>836</v>
      </c>
      <c r="B897" s="138">
        <f>'Expenditures 15-22'!F38</f>
        <v>4824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8866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864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864</v>
      </c>
      <c r="C905" s="2" t="s">
        <v>594</v>
      </c>
      <c r="D905" s="2" t="str">
        <f t="shared" si="13"/>
        <v>Error?</v>
      </c>
    </row>
    <row r="906" spans="1:4" x14ac:dyDescent="0.2">
      <c r="A906" s="5">
        <v>845</v>
      </c>
      <c r="B906" s="138">
        <f>'Expenditures 15-22'!F49</f>
        <v>896</v>
      </c>
      <c r="D906" s="2" t="str">
        <f t="shared" si="13"/>
        <v>Error?</v>
      </c>
    </row>
    <row r="907" spans="1:4" x14ac:dyDescent="0.2">
      <c r="A907" s="5">
        <v>846</v>
      </c>
      <c r="B907" s="138">
        <f>'Expenditures 15-22'!F50</f>
        <v>1330</v>
      </c>
      <c r="D907" s="2" t="str">
        <f t="shared" si="13"/>
        <v>Error?</v>
      </c>
    </row>
    <row r="908" spans="1:4" x14ac:dyDescent="0.2">
      <c r="A908" s="5">
        <v>847</v>
      </c>
      <c r="B908" s="138">
        <f>'Expenditures 15-22'!F53</f>
        <v>2226</v>
      </c>
      <c r="C908" s="2" t="s">
        <v>594</v>
      </c>
      <c r="D908" s="2" t="str">
        <f t="shared" si="13"/>
        <v>Error?</v>
      </c>
    </row>
    <row r="909" spans="1:4" x14ac:dyDescent="0.2">
      <c r="A909" s="5">
        <v>848</v>
      </c>
      <c r="B909" s="138">
        <f>'Expenditures 15-22'!F55</f>
        <v>3382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3382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101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81840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81941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97279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247199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63994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2448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97901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4426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4426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4426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102327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1983296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103758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162510</v>
      </c>
      <c r="C1105" s="2" t="s">
        <v>594</v>
      </c>
      <c r="D1105" s="2" t="str">
        <f t="shared" si="16"/>
        <v>Error?</v>
      </c>
    </row>
    <row r="1106" spans="1:4" x14ac:dyDescent="0.2">
      <c r="A1106" s="5">
        <v>1045</v>
      </c>
      <c r="B1106" s="138">
        <f>'Expenditures 15-22'!K14</f>
        <v>113647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3052481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41843</v>
      </c>
      <c r="C1110" s="2" t="s">
        <v>594</v>
      </c>
      <c r="D1110" s="2" t="str">
        <f t="shared" si="16"/>
        <v>Error?</v>
      </c>
    </row>
    <row r="1111" spans="1:4" x14ac:dyDescent="0.2">
      <c r="A1111" s="5">
        <v>1050</v>
      </c>
      <c r="B1111" s="138">
        <f>'Expenditures 15-22'!K38</f>
        <v>44691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59763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146297</v>
      </c>
      <c r="C1115" s="2" t="s">
        <v>594</v>
      </c>
      <c r="D1115" s="2" t="str">
        <f t="shared" si="16"/>
        <v>Error?</v>
      </c>
    </row>
    <row r="1116" spans="1:4" x14ac:dyDescent="0.2">
      <c r="A1116" s="5">
        <v>1055</v>
      </c>
      <c r="B1116" s="138">
        <f>'Expenditures 15-22'!K44</f>
        <v>37026</v>
      </c>
      <c r="C1116" s="2" t="s">
        <v>594</v>
      </c>
      <c r="D1116" s="2" t="str">
        <f t="shared" si="16"/>
        <v>Error?</v>
      </c>
    </row>
    <row r="1117" spans="1:4" x14ac:dyDescent="0.2">
      <c r="A1117" s="5">
        <v>1056</v>
      </c>
      <c r="B1117" s="138">
        <f>'Expenditures 15-22'!K45</f>
        <v>1190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38216</v>
      </c>
      <c r="C1119" s="2" t="s">
        <v>594</v>
      </c>
      <c r="D1119" s="2" t="str">
        <f t="shared" si="16"/>
        <v>Error?</v>
      </c>
    </row>
    <row r="1120" spans="1:4" x14ac:dyDescent="0.2">
      <c r="A1120" s="5">
        <v>1059</v>
      </c>
      <c r="B1120" s="138">
        <f>'Expenditures 15-22'!K49</f>
        <v>37798</v>
      </c>
      <c r="C1120" s="2" t="s">
        <v>594</v>
      </c>
      <c r="D1120" s="2" t="str">
        <f t="shared" si="16"/>
        <v>Error?</v>
      </c>
    </row>
    <row r="1121" spans="1:4" x14ac:dyDescent="0.2">
      <c r="A1121" s="5">
        <v>1060</v>
      </c>
      <c r="B1121" s="138">
        <f>'Expenditures 15-22'!K50</f>
        <v>189486</v>
      </c>
      <c r="C1121" s="2" t="s">
        <v>594</v>
      </c>
      <c r="D1121" s="2" t="str">
        <f t="shared" si="16"/>
        <v>Error?</v>
      </c>
    </row>
    <row r="1122" spans="1:4" x14ac:dyDescent="0.2">
      <c r="A1122" s="5">
        <v>1061</v>
      </c>
      <c r="B1122" s="138">
        <f>'Expenditures 15-22'!K53</f>
        <v>227284</v>
      </c>
      <c r="C1122" s="2" t="s">
        <v>594</v>
      </c>
      <c r="D1122" s="2" t="str">
        <f t="shared" si="16"/>
        <v>Error?</v>
      </c>
    </row>
    <row r="1123" spans="1:4" x14ac:dyDescent="0.2">
      <c r="A1123" s="5">
        <v>1062</v>
      </c>
      <c r="B1123" s="138">
        <f>'Expenditures 15-22'!K55</f>
        <v>210930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210930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63484</v>
      </c>
      <c r="C1127" s="2" t="s">
        <v>594</v>
      </c>
      <c r="D1127" s="2" t="str">
        <f t="shared" si="16"/>
        <v>Error?</v>
      </c>
    </row>
    <row r="1128" spans="1:4" x14ac:dyDescent="0.2">
      <c r="A1128" s="5">
        <v>1067</v>
      </c>
      <c r="B1128" s="138">
        <f>'Expenditures 15-22'!K61</f>
        <v>195679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195100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454263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1076990</v>
      </c>
      <c r="C1143" s="2" t="s">
        <v>594</v>
      </c>
      <c r="D1143" s="2" t="str">
        <f t="shared" si="16"/>
        <v>Error?</v>
      </c>
    </row>
    <row r="1144" spans="1:4" x14ac:dyDescent="0.2">
      <c r="A1144" s="5">
        <v>1083</v>
      </c>
      <c r="B1144" s="138">
        <f>'Expenditures 15-22'!K75</f>
        <v>23826</v>
      </c>
      <c r="C1144" s="2" t="s">
        <v>594</v>
      </c>
      <c r="D1144" s="2" t="str">
        <f t="shared" si="16"/>
        <v>Error?</v>
      </c>
    </row>
    <row r="1145" spans="1:4" x14ac:dyDescent="0.2">
      <c r="A1145" s="5">
        <v>1084</v>
      </c>
      <c r="B1145" s="138">
        <f>'Expenditures 15-22'!K102</f>
        <v>140889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4294186</v>
      </c>
      <c r="C1152" s="2" t="s">
        <v>594</v>
      </c>
      <c r="D1152" s="2" t="str">
        <f t="shared" si="17"/>
        <v>Error?</v>
      </c>
    </row>
    <row r="1153" spans="1:4" x14ac:dyDescent="0.2">
      <c r="A1153" s="5">
        <v>1092</v>
      </c>
      <c r="B1153" s="138">
        <f>'Expenditures 15-22'!K115</f>
        <v>297060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77187</v>
      </c>
      <c r="D1237" s="2" t="str">
        <f t="shared" si="18"/>
        <v>Error?</v>
      </c>
    </row>
    <row r="1238" spans="1:4" x14ac:dyDescent="0.2">
      <c r="A1238" s="10">
        <v>1177</v>
      </c>
      <c r="D1238" s="2" t="str">
        <f t="shared" si="18"/>
        <v>OK</v>
      </c>
    </row>
    <row r="1239" spans="1:4" x14ac:dyDescent="0.2">
      <c r="A1239" s="5">
        <v>1178</v>
      </c>
      <c r="B1239" s="138">
        <f>'Expenditures 15-22'!E127</f>
        <v>77187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77187</v>
      </c>
      <c r="C1241" s="2" t="s">
        <v>594</v>
      </c>
      <c r="D1241" s="2" t="str">
        <f t="shared" si="18"/>
        <v>Error?</v>
      </c>
    </row>
    <row r="1242" spans="1:4" x14ac:dyDescent="0.2">
      <c r="A1242" s="5">
        <v>1181</v>
      </c>
      <c r="B1242" s="138">
        <f>'Expenditures 15-22'!E151</f>
        <v>77187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112436</v>
      </c>
      <c r="D1245" s="2" t="str">
        <f t="shared" si="18"/>
        <v>Error?</v>
      </c>
    </row>
    <row r="1246" spans="1:4" x14ac:dyDescent="0.2">
      <c r="A1246" s="10">
        <v>1185</v>
      </c>
      <c r="D1246" s="2" t="str">
        <f t="shared" si="18"/>
        <v>OK</v>
      </c>
    </row>
    <row r="1247" spans="1:4" x14ac:dyDescent="0.2">
      <c r="A1247" s="5">
        <v>1186</v>
      </c>
      <c r="B1247" s="138">
        <f>'Expenditures 15-22'!F127</f>
        <v>112436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112436</v>
      </c>
      <c r="C1249" s="2" t="s">
        <v>594</v>
      </c>
      <c r="D1249" s="2" t="str">
        <f t="shared" si="18"/>
        <v>Error?</v>
      </c>
    </row>
    <row r="1250" spans="1:4" x14ac:dyDescent="0.2">
      <c r="A1250" s="5">
        <v>1189</v>
      </c>
      <c r="B1250" s="138">
        <f>'Expenditures 15-22'!F151</f>
        <v>112436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9602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9602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9602</v>
      </c>
      <c r="C1258" s="2" t="s">
        <v>594</v>
      </c>
      <c r="D1258" s="2" t="str">
        <f t="shared" si="18"/>
        <v>Error?</v>
      </c>
    </row>
    <row r="1259" spans="1:4" x14ac:dyDescent="0.2">
      <c r="A1259" s="5">
        <v>1198</v>
      </c>
      <c r="B1259" s="138">
        <f>'Expenditures 15-22'!G151</f>
        <v>9602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199225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199225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199225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199225</v>
      </c>
      <c r="C1288" s="2" t="s">
        <v>594</v>
      </c>
      <c r="D1288" s="2" t="str">
        <f t="shared" si="19"/>
        <v>Error?</v>
      </c>
    </row>
    <row r="1289" spans="1:4" x14ac:dyDescent="0.2">
      <c r="A1289" s="5">
        <v>1228</v>
      </c>
      <c r="B1289" s="138">
        <f>'Expenditures 15-22'!K152</f>
        <v>-36571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40953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2010000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2052453</v>
      </c>
      <c r="C1317" s="2" t="s">
        <v>594</v>
      </c>
      <c r="D1317" s="2" t="str">
        <f t="shared" si="19"/>
        <v>Error?</v>
      </c>
    </row>
    <row r="1318" spans="1:4" x14ac:dyDescent="0.2">
      <c r="A1318" s="5">
        <v>1257</v>
      </c>
      <c r="B1318" s="138">
        <f>'Expenditures 15-22'!H174</f>
        <v>2052453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40953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2010000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2052453</v>
      </c>
      <c r="C1331" s="2" t="s">
        <v>594</v>
      </c>
      <c r="D1331" s="2" t="str">
        <f t="shared" si="19"/>
        <v>Error?</v>
      </c>
    </row>
    <row r="1332" spans="1:4" x14ac:dyDescent="0.2">
      <c r="A1332" s="5">
        <v>1271</v>
      </c>
      <c r="B1332" s="138">
        <f>'Expenditures 15-22'!K174</f>
        <v>2052453</v>
      </c>
      <c r="C1332" s="2" t="s">
        <v>594</v>
      </c>
      <c r="D1332" s="2" t="str">
        <f t="shared" si="19"/>
        <v>Error?</v>
      </c>
    </row>
    <row r="1333" spans="1:4" x14ac:dyDescent="0.2">
      <c r="A1333" s="5">
        <v>1272</v>
      </c>
      <c r="B1333" s="138">
        <f>'Expenditures 15-22'!K175</f>
        <v>-1825440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321295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321295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321295</v>
      </c>
      <c r="C1353" s="2" t="s">
        <v>594</v>
      </c>
      <c r="D1353" s="2" t="str">
        <f t="shared" si="20"/>
        <v>Error?</v>
      </c>
    </row>
    <row r="1354" spans="1:4" x14ac:dyDescent="0.2">
      <c r="A1354" s="5">
        <v>1293</v>
      </c>
      <c r="B1354" s="138">
        <f>'Expenditures 15-22'!F182</f>
        <v>26851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26851</v>
      </c>
      <c r="C1358" s="2" t="s">
        <v>594</v>
      </c>
      <c r="D1358" s="2" t="str">
        <f t="shared" si="20"/>
        <v>Error?</v>
      </c>
    </row>
    <row r="1359" spans="1:4" x14ac:dyDescent="0.2">
      <c r="A1359" s="5">
        <v>1298</v>
      </c>
      <c r="B1359" s="138">
        <f>'Expenditures 15-22'!F210</f>
        <v>26851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348146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348146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348146</v>
      </c>
      <c r="C1388" s="2" t="s">
        <v>594</v>
      </c>
      <c r="D1388" s="2" t="str">
        <f t="shared" si="20"/>
        <v>Error?</v>
      </c>
    </row>
    <row r="1389" spans="1:4" x14ac:dyDescent="0.2">
      <c r="A1389" s="5">
        <v>1328</v>
      </c>
      <c r="B1389" s="138">
        <f>'Expenditures 15-22'!K211</f>
        <v>-17332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7102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1465</v>
      </c>
      <c r="D1407" s="2" t="str">
        <f t="shared" ref="D1407:D1470" si="21">IF(ISBLANK(B1407),"OK",IF(A1407-B1407=0,"OK","Error?"))</f>
        <v>Error?</v>
      </c>
    </row>
    <row r="1408" spans="1:4" x14ac:dyDescent="0.2">
      <c r="A1408" s="5">
        <v>1347</v>
      </c>
      <c r="B1408" s="138">
        <f>'Expenditures 15-22'!D223</f>
        <v>3346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61422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486</v>
      </c>
      <c r="D1412" s="2" t="str">
        <f t="shared" si="21"/>
        <v>Error?</v>
      </c>
    </row>
    <row r="1413" spans="1:4" x14ac:dyDescent="0.2">
      <c r="A1413" s="5">
        <v>1352</v>
      </c>
      <c r="B1413" s="138">
        <f>'Expenditures 15-22'!D234</f>
        <v>7046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653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8185</v>
      </c>
      <c r="C1417" s="2" t="s">
        <v>594</v>
      </c>
      <c r="D1417" s="2" t="str">
        <f t="shared" si="21"/>
        <v>Error?</v>
      </c>
    </row>
    <row r="1418" spans="1:4" x14ac:dyDescent="0.2">
      <c r="A1418" s="5">
        <v>1357</v>
      </c>
      <c r="B1418" s="138">
        <f>'Expenditures 15-22'!D240</f>
        <v>270</v>
      </c>
      <c r="D1418" s="2" t="str">
        <f t="shared" si="21"/>
        <v>Error?</v>
      </c>
    </row>
    <row r="1419" spans="1:4" x14ac:dyDescent="0.2">
      <c r="A1419" s="5">
        <v>1358</v>
      </c>
      <c r="B1419" s="138">
        <f>'Expenditures 15-22'!D241</f>
        <v>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282</v>
      </c>
      <c r="C1421" s="2" t="s">
        <v>594</v>
      </c>
      <c r="D1421" s="2" t="str">
        <f t="shared" si="21"/>
        <v>Error?</v>
      </c>
    </row>
    <row r="1422" spans="1:4" x14ac:dyDescent="0.2">
      <c r="A1422" s="5">
        <v>1361</v>
      </c>
      <c r="B1422" s="138">
        <f>'Expenditures 15-22'!D245</f>
        <v>970</v>
      </c>
      <c r="D1422" s="2" t="str">
        <f t="shared" si="21"/>
        <v>Error?</v>
      </c>
    </row>
    <row r="1423" spans="1:4" x14ac:dyDescent="0.2">
      <c r="A1423" s="5">
        <v>1362</v>
      </c>
      <c r="B1423" s="138">
        <f>'Expenditures 15-22'!D246</f>
        <v>6844</v>
      </c>
      <c r="D1423" s="2" t="str">
        <f t="shared" si="21"/>
        <v>Error?</v>
      </c>
    </row>
    <row r="1424" spans="1:4" x14ac:dyDescent="0.2">
      <c r="A1424" s="5">
        <v>1363</v>
      </c>
      <c r="B1424" s="138">
        <f>'Expenditures 15-22'!D257</f>
        <v>7814</v>
      </c>
      <c r="C1424" s="2" t="s">
        <v>594</v>
      </c>
      <c r="D1424" s="2" t="str">
        <f t="shared" si="21"/>
        <v>Error?</v>
      </c>
    </row>
    <row r="1425" spans="1:4" x14ac:dyDescent="0.2">
      <c r="A1425" s="5">
        <v>1364</v>
      </c>
      <c r="B1425" s="138">
        <f>'Expenditures 15-22'!D259</f>
        <v>10402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10402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31508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15211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56432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83115</v>
      </c>
      <c r="C1446" s="2" t="s">
        <v>594</v>
      </c>
      <c r="D1446" s="2" t="str">
        <f t="shared" si="21"/>
        <v>Error?</v>
      </c>
    </row>
    <row r="1447" spans="1:4" x14ac:dyDescent="0.2">
      <c r="A1447" s="5">
        <v>1386</v>
      </c>
      <c r="B1447" s="138">
        <f>'Expenditures 15-22'!D280</f>
        <v>2136</v>
      </c>
      <c r="D1447" s="2" t="str">
        <f t="shared" si="21"/>
        <v>Error?</v>
      </c>
    </row>
    <row r="1448" spans="1:4" x14ac:dyDescent="0.2">
      <c r="A1448" s="5">
        <v>1387</v>
      </c>
      <c r="B1448" s="138">
        <f>'Expenditures 15-22'!D295</f>
        <v>146673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7102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1465</v>
      </c>
      <c r="C1471" s="2" t="s">
        <v>594</v>
      </c>
      <c r="D1471" s="2" t="str">
        <f t="shared" ref="D1471:D1534" si="22">IF(ISBLANK(B1471),"OK",IF(A1471-B1471=0,"OK","Error?"))</f>
        <v>Error?</v>
      </c>
    </row>
    <row r="1472" spans="1:4" x14ac:dyDescent="0.2">
      <c r="A1472" s="5">
        <v>1411</v>
      </c>
      <c r="B1472" s="138">
        <f>'Expenditures 15-22'!K223</f>
        <v>3346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61422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486</v>
      </c>
      <c r="C1476" s="2" t="s">
        <v>594</v>
      </c>
      <c r="D1476" s="2" t="str">
        <f t="shared" si="22"/>
        <v>Error?</v>
      </c>
    </row>
    <row r="1477" spans="1:4" x14ac:dyDescent="0.2">
      <c r="A1477" s="5">
        <v>1416</v>
      </c>
      <c r="B1477" s="138">
        <f>'Expenditures 15-22'!K234</f>
        <v>7046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653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8185</v>
      </c>
      <c r="C1481" s="2" t="s">
        <v>594</v>
      </c>
      <c r="D1481" s="2" t="str">
        <f t="shared" si="22"/>
        <v>Error?</v>
      </c>
    </row>
    <row r="1482" spans="1:4" x14ac:dyDescent="0.2">
      <c r="A1482" s="5">
        <v>1421</v>
      </c>
      <c r="B1482" s="138">
        <f>'Expenditures 15-22'!K240</f>
        <v>270</v>
      </c>
      <c r="C1482" s="2" t="s">
        <v>594</v>
      </c>
      <c r="D1482" s="2" t="str">
        <f t="shared" si="22"/>
        <v>Error?</v>
      </c>
    </row>
    <row r="1483" spans="1:4" x14ac:dyDescent="0.2">
      <c r="A1483" s="5">
        <v>1422</v>
      </c>
      <c r="B1483" s="138">
        <f>'Expenditures 15-22'!K241</f>
        <v>12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282</v>
      </c>
      <c r="C1485" s="2" t="s">
        <v>594</v>
      </c>
      <c r="D1485" s="2" t="str">
        <f t="shared" si="22"/>
        <v>Error?</v>
      </c>
    </row>
    <row r="1486" spans="1:4" x14ac:dyDescent="0.2">
      <c r="A1486" s="5">
        <v>1425</v>
      </c>
      <c r="B1486" s="138">
        <f>'Expenditures 15-22'!K245</f>
        <v>970</v>
      </c>
      <c r="C1486" s="2" t="s">
        <v>594</v>
      </c>
      <c r="D1486" s="2" t="str">
        <f t="shared" si="22"/>
        <v>Error?</v>
      </c>
    </row>
    <row r="1487" spans="1:4" x14ac:dyDescent="0.2">
      <c r="A1487" s="5">
        <v>1426</v>
      </c>
      <c r="B1487" s="138">
        <f>'Expenditures 15-22'!K246</f>
        <v>6844</v>
      </c>
      <c r="C1487" s="2" t="s">
        <v>594</v>
      </c>
      <c r="D1487" s="2" t="str">
        <f t="shared" si="22"/>
        <v>Error?</v>
      </c>
    </row>
    <row r="1488" spans="1:4" x14ac:dyDescent="0.2">
      <c r="A1488" s="5">
        <v>1427</v>
      </c>
      <c r="B1488" s="138">
        <f>'Expenditures 15-22'!K257</f>
        <v>7814</v>
      </c>
      <c r="C1488" s="2" t="s">
        <v>594</v>
      </c>
      <c r="D1488" s="2" t="str">
        <f t="shared" si="22"/>
        <v>Error?</v>
      </c>
    </row>
    <row r="1489" spans="1:4" x14ac:dyDescent="0.2">
      <c r="A1489" s="5">
        <v>1428</v>
      </c>
      <c r="B1489" s="138">
        <f>'Expenditures 15-22'!K259</f>
        <v>10402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10402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9713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31508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15211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56432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83115</v>
      </c>
      <c r="C1510" s="2" t="s">
        <v>594</v>
      </c>
      <c r="D1510" s="2" t="str">
        <f t="shared" si="22"/>
        <v>Error?</v>
      </c>
    </row>
    <row r="1511" spans="1:4" x14ac:dyDescent="0.2">
      <c r="A1511" s="5">
        <v>1450</v>
      </c>
      <c r="B1511" s="138">
        <f>'Expenditures 15-22'!K280</f>
        <v>2136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146673</v>
      </c>
      <c r="C1517" s="2" t="s">
        <v>594</v>
      </c>
      <c r="D1517" s="2" t="str">
        <f t="shared" si="22"/>
        <v>Error?</v>
      </c>
    </row>
    <row r="1518" spans="1:4" x14ac:dyDescent="0.2">
      <c r="A1518" s="5">
        <v>1457</v>
      </c>
      <c r="B1518" s="138">
        <f>'Expenditures 15-22'!K296</f>
        <v>-23035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2303881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2600941</v>
      </c>
      <c r="C1630" s="2" t="s">
        <v>594</v>
      </c>
      <c r="D1630" s="2" t="str">
        <f t="shared" si="24"/>
        <v>Error?</v>
      </c>
    </row>
    <row r="1631" spans="1:4" x14ac:dyDescent="0.2">
      <c r="A1631" s="5">
        <v>1570</v>
      </c>
      <c r="B1631" s="138">
        <f>'Acct Summary 7-8'!D79</f>
        <v>623334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586763</v>
      </c>
      <c r="C1644" s="2" t="s">
        <v>594</v>
      </c>
      <c r="D1644" s="2" t="str">
        <f t="shared" si="24"/>
        <v>Error?</v>
      </c>
    </row>
    <row r="1645" spans="1:4" x14ac:dyDescent="0.2">
      <c r="A1645" s="5">
        <v>1584</v>
      </c>
      <c r="B1645" s="138">
        <f>'Acct Summary 7-8'!E79</f>
        <v>59670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79230</v>
      </c>
      <c r="C1658" s="2" t="s">
        <v>594</v>
      </c>
      <c r="D1658" s="2" t="str">
        <f t="shared" si="24"/>
        <v>Error?</v>
      </c>
    </row>
    <row r="1659" spans="1:4" x14ac:dyDescent="0.2">
      <c r="A1659" s="5">
        <v>1598</v>
      </c>
      <c r="B1659" s="138">
        <f>'Acct Summary 7-8'!F79</f>
        <v>123346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106014</v>
      </c>
      <c r="C1672" s="2" t="s">
        <v>594</v>
      </c>
      <c r="D1672" s="2" t="str">
        <f t="shared" si="25"/>
        <v>Error?</v>
      </c>
    </row>
    <row r="1673" spans="1:4" x14ac:dyDescent="0.2">
      <c r="A1673" s="5">
        <v>1612</v>
      </c>
      <c r="B1673" s="138">
        <f>'Acct Summary 7-8'!G79</f>
        <v>45922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22887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502656</v>
      </c>
      <c r="C1744" s="2" t="s">
        <v>594</v>
      </c>
      <c r="D1744" s="2" t="str">
        <f t="shared" si="26"/>
        <v>Error?</v>
      </c>
    </row>
    <row r="1745" spans="1:5" x14ac:dyDescent="0.2">
      <c r="A1745" s="5">
        <v>1684</v>
      </c>
      <c r="B1745" s="138">
        <f>'Tax Sched 23'!B5</f>
        <v>145779</v>
      </c>
      <c r="C1745" s="2" t="s">
        <v>594</v>
      </c>
      <c r="D1745" s="2" t="str">
        <f t="shared" si="26"/>
        <v>Error?</v>
      </c>
    </row>
    <row r="1746" spans="1:5" x14ac:dyDescent="0.2">
      <c r="A1746" s="5">
        <v>1685</v>
      </c>
      <c r="B1746" s="138">
        <f>'Tax Sched 23'!B6</f>
        <v>226901</v>
      </c>
      <c r="C1746" s="2" t="s">
        <v>594</v>
      </c>
      <c r="D1746" s="2" t="str">
        <f t="shared" si="26"/>
        <v>Error?</v>
      </c>
    </row>
    <row r="1747" spans="1:5" x14ac:dyDescent="0.2">
      <c r="A1747" s="5">
        <v>1686</v>
      </c>
      <c r="B1747" s="138">
        <f>'Tax Sched 23'!B7</f>
        <v>64793</v>
      </c>
      <c r="C1747" s="2" t="s">
        <v>594</v>
      </c>
      <c r="D1747" s="2" t="str">
        <f t="shared" si="26"/>
        <v>Error?</v>
      </c>
    </row>
    <row r="1748" spans="1:5" x14ac:dyDescent="0.2">
      <c r="A1748" s="5">
        <v>1687</v>
      </c>
      <c r="B1748" s="138">
        <f>'Tax Sched 23'!B8</f>
        <v>52195</v>
      </c>
      <c r="C1748" s="2" t="s">
        <v>594</v>
      </c>
      <c r="D1748" s="2" t="str">
        <f t="shared" si="26"/>
        <v>Error?</v>
      </c>
    </row>
    <row r="1749" spans="1:5" x14ac:dyDescent="0.2">
      <c r="A1749" s="5">
        <v>1688</v>
      </c>
      <c r="B1749" s="138">
        <f>'Tax Sched 23'!B10</f>
        <v>15301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73792</v>
      </c>
      <c r="C1752" s="2" t="s">
        <v>594</v>
      </c>
      <c r="D1752" s="2" t="str">
        <f t="shared" si="26"/>
        <v>Error?</v>
      </c>
    </row>
    <row r="1753" spans="1:5" x14ac:dyDescent="0.2">
      <c r="A1753" s="5">
        <v>1692</v>
      </c>
      <c r="B1753" s="138">
        <f>'Tax Sched 23'!B12</f>
        <v>15301</v>
      </c>
      <c r="C1753" s="2" t="s">
        <v>594</v>
      </c>
      <c r="D1753" s="2" t="str">
        <f t="shared" si="26"/>
        <v>Error?</v>
      </c>
    </row>
    <row r="1754" spans="1:5" x14ac:dyDescent="0.2">
      <c r="A1754" s="5">
        <v>1693</v>
      </c>
      <c r="B1754" s="138">
        <f>'Tax Sched 23'!B14</f>
        <v>13391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1174902</v>
      </c>
      <c r="C1759" s="2" t="s">
        <v>594</v>
      </c>
      <c r="D1759" s="2" t="str">
        <f t="shared" si="26"/>
        <v>Error?</v>
      </c>
    </row>
    <row r="1760" spans="1:5" x14ac:dyDescent="0.2">
      <c r="A1760" s="5">
        <v>1699</v>
      </c>
      <c r="B1760" s="138">
        <f>'Tax Sched 23'!D4</f>
        <v>502656</v>
      </c>
      <c r="C1760" s="2" t="s">
        <v>594</v>
      </c>
      <c r="D1760" s="2" t="str">
        <f t="shared" si="26"/>
        <v>Error?</v>
      </c>
    </row>
    <row r="1761" spans="1:5" x14ac:dyDescent="0.2">
      <c r="A1761" s="5">
        <v>1700</v>
      </c>
      <c r="B1761" s="138">
        <f>'Tax Sched 23'!D5</f>
        <v>145779</v>
      </c>
      <c r="C1761" s="2" t="s">
        <v>594</v>
      </c>
      <c r="D1761" s="2" t="str">
        <f t="shared" si="26"/>
        <v>Error?</v>
      </c>
    </row>
    <row r="1762" spans="1:5" s="8" customFormat="1" x14ac:dyDescent="0.2">
      <c r="A1762" s="5">
        <v>1701</v>
      </c>
      <c r="B1762" s="138">
        <f>'Tax Sched 23'!D6</f>
        <v>226901</v>
      </c>
      <c r="C1762" s="2" t="s">
        <v>594</v>
      </c>
      <c r="D1762" s="2" t="str">
        <f t="shared" si="26"/>
        <v>Error?</v>
      </c>
      <c r="E1762" s="9"/>
    </row>
    <row r="1763" spans="1:5" x14ac:dyDescent="0.2">
      <c r="A1763" s="5">
        <v>1702</v>
      </c>
      <c r="B1763" s="138">
        <f>'Tax Sched 23'!D7</f>
        <v>64793</v>
      </c>
      <c r="C1763" s="2" t="s">
        <v>594</v>
      </c>
      <c r="D1763" s="2" t="str">
        <f t="shared" si="26"/>
        <v>Error?</v>
      </c>
    </row>
    <row r="1764" spans="1:5" x14ac:dyDescent="0.2">
      <c r="A1764" s="5">
        <v>1703</v>
      </c>
      <c r="B1764" s="138">
        <f>'Tax Sched 23'!D8</f>
        <v>52195</v>
      </c>
      <c r="C1764" s="2" t="s">
        <v>594</v>
      </c>
      <c r="D1764" s="2" t="str">
        <f t="shared" si="26"/>
        <v>Error?</v>
      </c>
    </row>
    <row r="1765" spans="1:5" x14ac:dyDescent="0.2">
      <c r="A1765" s="5">
        <v>1704</v>
      </c>
      <c r="B1765" s="138">
        <f>'Tax Sched 23'!D10</f>
        <v>15301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73792</v>
      </c>
      <c r="C1768" s="2" t="s">
        <v>594</v>
      </c>
      <c r="D1768" s="2" t="str">
        <f t="shared" si="26"/>
        <v>Error?</v>
      </c>
    </row>
    <row r="1769" spans="1:5" x14ac:dyDescent="0.2">
      <c r="A1769" s="5">
        <v>1708</v>
      </c>
      <c r="B1769" s="138">
        <f>'Tax Sched 23'!D12</f>
        <v>15301</v>
      </c>
      <c r="C1769" s="2" t="s">
        <v>594</v>
      </c>
      <c r="D1769" s="2" t="str">
        <f t="shared" si="26"/>
        <v>Error?</v>
      </c>
    </row>
    <row r="1770" spans="1:5" x14ac:dyDescent="0.2">
      <c r="A1770" s="5">
        <v>1709</v>
      </c>
      <c r="B1770" s="138">
        <f>'Tax Sched 23'!D14</f>
        <v>13391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1174902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561562</v>
      </c>
      <c r="C1792" s="2" t="s">
        <v>594</v>
      </c>
      <c r="D1792" s="2" t="str">
        <f t="shared" si="27"/>
        <v>Error?</v>
      </c>
    </row>
    <row r="1793" spans="1:4" x14ac:dyDescent="0.2">
      <c r="A1793" s="5">
        <v>1732</v>
      </c>
      <c r="B1793" s="138">
        <f>'Tax Sched 23'!F5</f>
        <v>167371</v>
      </c>
      <c r="C1793" s="2" t="s">
        <v>594</v>
      </c>
      <c r="D1793" s="2" t="str">
        <f t="shared" si="27"/>
        <v>Error?</v>
      </c>
    </row>
    <row r="1794" spans="1:4" x14ac:dyDescent="0.2">
      <c r="A1794" s="5">
        <v>1733</v>
      </c>
      <c r="B1794" s="138">
        <f>'Tax Sched 23'!F6</f>
        <v>240314</v>
      </c>
      <c r="C1794" s="2" t="s">
        <v>594</v>
      </c>
      <c r="D1794" s="2" t="str">
        <f t="shared" si="27"/>
        <v>Error?</v>
      </c>
    </row>
    <row r="1795" spans="1:4" x14ac:dyDescent="0.2">
      <c r="A1795" s="5">
        <v>1734</v>
      </c>
      <c r="B1795" s="138">
        <f>'Tax Sched 23'!F7</f>
        <v>75226</v>
      </c>
      <c r="C1795" s="2" t="s">
        <v>594</v>
      </c>
      <c r="D1795" s="2" t="str">
        <f t="shared" si="27"/>
        <v>Error?</v>
      </c>
    </row>
    <row r="1796" spans="1:4" x14ac:dyDescent="0.2">
      <c r="A1796" s="5">
        <v>1735</v>
      </c>
      <c r="B1796" s="138">
        <f>'Tax Sched 23'!F8</f>
        <v>51692</v>
      </c>
      <c r="C1796" s="2" t="s">
        <v>594</v>
      </c>
      <c r="D1796" s="2" t="str">
        <f t="shared" si="27"/>
        <v>Error?</v>
      </c>
    </row>
    <row r="1797" spans="1:4" x14ac:dyDescent="0.2">
      <c r="A1797" s="5">
        <v>1736</v>
      </c>
      <c r="B1797" s="138">
        <f>'Tax Sched 23'!F10</f>
        <v>18711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78762</v>
      </c>
      <c r="C1800" s="2" t="s">
        <v>594</v>
      </c>
      <c r="D1800" s="2" t="str">
        <f t="shared" si="27"/>
        <v>Error?</v>
      </c>
    </row>
    <row r="1801" spans="1:4" x14ac:dyDescent="0.2">
      <c r="A1801" s="5">
        <v>1740</v>
      </c>
      <c r="B1801" s="138">
        <f>'Tax Sched 23'!F12</f>
        <v>18711</v>
      </c>
      <c r="C1801" s="2" t="s">
        <v>594</v>
      </c>
      <c r="D1801" s="2" t="str">
        <f t="shared" si="27"/>
        <v>Error?</v>
      </c>
    </row>
    <row r="1802" spans="1:4" x14ac:dyDescent="0.2">
      <c r="A1802" s="5">
        <v>1741</v>
      </c>
      <c r="B1802" s="138">
        <f>'Tax Sched 23'!F14</f>
        <v>14772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1292595</v>
      </c>
      <c r="C1807" s="2" t="s">
        <v>594</v>
      </c>
      <c r="D1807" s="2" t="str">
        <f t="shared" si="27"/>
        <v>Error?</v>
      </c>
    </row>
    <row r="1808" spans="1:4" x14ac:dyDescent="0.2">
      <c r="A1808" s="5">
        <v>1747</v>
      </c>
      <c r="B1808" s="138">
        <f>'Tax Sched 23'!E4</f>
        <v>561562</v>
      </c>
      <c r="D1808" s="2" t="str">
        <f t="shared" si="27"/>
        <v>Error?</v>
      </c>
    </row>
    <row r="1809" spans="1:4" x14ac:dyDescent="0.2">
      <c r="A1809" s="5">
        <v>1748</v>
      </c>
      <c r="B1809" s="138">
        <f>'Tax Sched 23'!E5</f>
        <v>167371</v>
      </c>
      <c r="D1809" s="2" t="str">
        <f t="shared" si="27"/>
        <v>Error?</v>
      </c>
    </row>
    <row r="1810" spans="1:4" x14ac:dyDescent="0.2">
      <c r="A1810" s="5">
        <v>1749</v>
      </c>
      <c r="B1810" s="138">
        <f>'Tax Sched 23'!E6</f>
        <v>240314</v>
      </c>
      <c r="D1810" s="2" t="str">
        <f t="shared" si="27"/>
        <v>Error?</v>
      </c>
    </row>
    <row r="1811" spans="1:4" x14ac:dyDescent="0.2">
      <c r="A1811" s="5">
        <v>1750</v>
      </c>
      <c r="B1811" s="138">
        <f>'Tax Sched 23'!E7</f>
        <v>75226</v>
      </c>
      <c r="D1811" s="2" t="str">
        <f t="shared" si="27"/>
        <v>Error?</v>
      </c>
    </row>
    <row r="1812" spans="1:4" x14ac:dyDescent="0.2">
      <c r="A1812" s="5">
        <v>1751</v>
      </c>
      <c r="B1812" s="138">
        <f>'Tax Sched 23'!E8</f>
        <v>51692</v>
      </c>
      <c r="D1812" s="2" t="str">
        <f t="shared" si="27"/>
        <v>Error?</v>
      </c>
    </row>
    <row r="1813" spans="1:4" x14ac:dyDescent="0.2">
      <c r="A1813" s="5">
        <v>1752</v>
      </c>
      <c r="B1813" s="138">
        <f>'Tax Sched 23'!E10</f>
        <v>18711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78762</v>
      </c>
      <c r="D1816" s="2" t="str">
        <f t="shared" si="27"/>
        <v>Error?</v>
      </c>
    </row>
    <row r="1817" spans="1:4" x14ac:dyDescent="0.2">
      <c r="A1817" s="5">
        <v>1756</v>
      </c>
      <c r="B1817" s="138">
        <f>'Tax Sched 23'!E12</f>
        <v>18711</v>
      </c>
      <c r="D1817" s="2" t="str">
        <f t="shared" si="27"/>
        <v>Error?</v>
      </c>
    </row>
    <row r="1818" spans="1:4" x14ac:dyDescent="0.2">
      <c r="A1818" s="5">
        <v>1757</v>
      </c>
      <c r="B1818" s="138">
        <f>'Tax Sched 23'!E14</f>
        <v>14772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1292595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2010000</v>
      </c>
      <c r="C1939" s="2" t="s">
        <v>594</v>
      </c>
      <c r="D1939" s="2" t="str">
        <f t="shared" si="29"/>
        <v>Error?</v>
      </c>
    </row>
    <row r="1940" spans="1:5" x14ac:dyDescent="0.2">
      <c r="A1940" s="5">
        <v>1879</v>
      </c>
      <c r="B1940" s="138">
        <f>'Short-Term Long-Term Debt 24'!F49</f>
        <v>1845000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13391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13391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13391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106866</v>
      </c>
      <c r="D2008" s="2" t="str">
        <f t="shared" si="30"/>
        <v>Error?</v>
      </c>
    </row>
    <row r="2009" spans="1:4" x14ac:dyDescent="0.2">
      <c r="A2009" s="5">
        <v>1948</v>
      </c>
      <c r="B2009" s="138">
        <f>'Cap Outlay Deprec 26'!C8</f>
        <v>10173526</v>
      </c>
      <c r="D2009" s="2" t="str">
        <f t="shared" si="30"/>
        <v>Error?</v>
      </c>
    </row>
    <row r="2010" spans="1:4" x14ac:dyDescent="0.2">
      <c r="A2010" s="5">
        <v>1949</v>
      </c>
      <c r="B2010" s="138">
        <f>'Cap Outlay Deprec 26'!C10</f>
        <v>907663</v>
      </c>
      <c r="D2010" s="2" t="str">
        <f t="shared" si="30"/>
        <v>Error?</v>
      </c>
    </row>
    <row r="2011" spans="1:4" x14ac:dyDescent="0.2">
      <c r="A2011" s="5">
        <v>1950</v>
      </c>
      <c r="B2011" s="138">
        <f>'Cap Outlay Deprec 26'!C12</f>
        <v>1122179</v>
      </c>
      <c r="D2011" s="2" t="str">
        <f t="shared" si="30"/>
        <v>Error?</v>
      </c>
    </row>
    <row r="2012" spans="1:4" x14ac:dyDescent="0.2">
      <c r="A2012" s="5">
        <v>1951</v>
      </c>
      <c r="B2012" s="138">
        <f>'Cap Outlay Deprec 26'!C13</f>
        <v>505</v>
      </c>
      <c r="D2012" s="2" t="str">
        <f t="shared" si="30"/>
        <v>Error?</v>
      </c>
    </row>
    <row r="2013" spans="1:4" x14ac:dyDescent="0.2">
      <c r="A2013" s="5">
        <v>1952</v>
      </c>
      <c r="B2013" s="138">
        <f>'Cap Outlay Deprec 26'!C16</f>
        <v>12737367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14991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111930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79847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79847</v>
      </c>
      <c r="C2025" s="2" t="s">
        <v>594</v>
      </c>
      <c r="D2025" s="2" t="str">
        <f t="shared" si="30"/>
        <v>Error?</v>
      </c>
    </row>
    <row r="2026" spans="1:4" x14ac:dyDescent="0.2">
      <c r="A2026" s="5">
        <v>1965</v>
      </c>
      <c r="B2026" s="138">
        <f>'Cap Outlay Deprec 26'!F5</f>
        <v>106866</v>
      </c>
      <c r="C2026" s="2" t="s">
        <v>594</v>
      </c>
      <c r="D2026" s="2" t="str">
        <f t="shared" si="30"/>
        <v>Error?</v>
      </c>
    </row>
    <row r="2027" spans="1:4" x14ac:dyDescent="0.2">
      <c r="A2027" s="5">
        <v>1966</v>
      </c>
      <c r="B2027" s="138">
        <f>'Cap Outlay Deprec 26'!F8</f>
        <v>10173526</v>
      </c>
      <c r="C2027" s="2" t="s">
        <v>594</v>
      </c>
      <c r="D2027" s="2" t="str">
        <f t="shared" si="30"/>
        <v>Error?</v>
      </c>
    </row>
    <row r="2028" spans="1:4" x14ac:dyDescent="0.2">
      <c r="A2028" s="5">
        <v>1967</v>
      </c>
      <c r="B2028" s="138">
        <f>'Cap Outlay Deprec 26'!F10</f>
        <v>907663</v>
      </c>
      <c r="C2028" s="2" t="s">
        <v>594</v>
      </c>
      <c r="D2028" s="2" t="str">
        <f t="shared" si="30"/>
        <v>Error?</v>
      </c>
    </row>
    <row r="2029" spans="1:4" x14ac:dyDescent="0.2">
      <c r="A2029" s="5">
        <v>1968</v>
      </c>
      <c r="B2029" s="138">
        <f>'Cap Outlay Deprec 26'!F12</f>
        <v>1057323</v>
      </c>
      <c r="C2029" s="2" t="s">
        <v>594</v>
      </c>
      <c r="D2029" s="2" t="str">
        <f t="shared" si="30"/>
        <v>Error?</v>
      </c>
    </row>
    <row r="2030" spans="1:4" x14ac:dyDescent="0.2">
      <c r="A2030" s="5">
        <v>1969</v>
      </c>
      <c r="B2030" s="138">
        <f>'Cap Outlay Deprec 26'!F13</f>
        <v>505</v>
      </c>
      <c r="C2030" s="2" t="s">
        <v>594</v>
      </c>
      <c r="D2030" s="2" t="str">
        <f t="shared" si="30"/>
        <v>Error?</v>
      </c>
    </row>
    <row r="2031" spans="1:4" x14ac:dyDescent="0.2">
      <c r="A2031" s="5">
        <v>1970</v>
      </c>
      <c r="B2031" s="138">
        <f>'Cap Outlay Deprec 26'!F16</f>
        <v>12769450</v>
      </c>
      <c r="C2031" s="2" t="s">
        <v>594</v>
      </c>
      <c r="D2031" s="2" t="str">
        <f t="shared" si="30"/>
        <v>Error?</v>
      </c>
    </row>
    <row r="2032" spans="1:4" x14ac:dyDescent="0.2">
      <c r="A2032" s="10">
        <v>1971</v>
      </c>
      <c r="D2032" s="2" t="str">
        <f t="shared" si="30"/>
        <v>OK</v>
      </c>
    </row>
    <row r="2033" spans="1:4" x14ac:dyDescent="0.2">
      <c r="A2033" s="5">
        <v>1972</v>
      </c>
      <c r="B2033" s="138">
        <f>'Cap Outlay Deprec 26'!H8</f>
        <v>2902472</v>
      </c>
      <c r="D2033" s="2" t="str">
        <f t="shared" si="30"/>
        <v>Error?</v>
      </c>
    </row>
    <row r="2034" spans="1:4" x14ac:dyDescent="0.2">
      <c r="A2034" s="5">
        <v>1973</v>
      </c>
      <c r="B2034" s="138">
        <f>'Cap Outlay Deprec 26'!H10</f>
        <v>318618</v>
      </c>
      <c r="D2034" s="2" t="str">
        <f t="shared" si="30"/>
        <v>Error?</v>
      </c>
    </row>
    <row r="2035" spans="1:4" x14ac:dyDescent="0.2">
      <c r="A2035" s="5">
        <v>1974</v>
      </c>
      <c r="B2035" s="138">
        <f>'Cap Outlay Deprec 26'!H12</f>
        <v>1063007</v>
      </c>
      <c r="D2035" s="2" t="str">
        <f t="shared" si="30"/>
        <v>Error?</v>
      </c>
    </row>
    <row r="2036" spans="1:4" x14ac:dyDescent="0.2">
      <c r="A2036" s="5">
        <v>1975</v>
      </c>
      <c r="B2036" s="138">
        <f>'Cap Outlay Deprec 26'!H13</f>
        <v>404</v>
      </c>
      <c r="D2036" s="2" t="str">
        <f t="shared" si="30"/>
        <v>Error?</v>
      </c>
    </row>
    <row r="2037" spans="1:4" x14ac:dyDescent="0.2">
      <c r="A2037" s="5">
        <v>1976</v>
      </c>
      <c r="B2037" s="138">
        <f>'Cap Outlay Deprec 26'!H16</f>
        <v>4697075</v>
      </c>
      <c r="C2037" s="2" t="s">
        <v>594</v>
      </c>
      <c r="D2037" s="2" t="str">
        <f t="shared" si="30"/>
        <v>Error?</v>
      </c>
    </row>
    <row r="2038" spans="1:4" x14ac:dyDescent="0.2">
      <c r="A2038" s="10">
        <v>1977</v>
      </c>
      <c r="D2038" s="2" t="str">
        <f t="shared" si="30"/>
        <v>OK</v>
      </c>
    </row>
    <row r="2039" spans="1:4" x14ac:dyDescent="0.2">
      <c r="A2039" s="5">
        <v>1978</v>
      </c>
      <c r="B2039" s="138">
        <f>'Cap Outlay Deprec 26'!I8</f>
        <v>203471</v>
      </c>
      <c r="D2039" s="2" t="str">
        <f t="shared" si="30"/>
        <v>Error?</v>
      </c>
    </row>
    <row r="2040" spans="1:4" x14ac:dyDescent="0.2">
      <c r="A2040" s="5">
        <v>1979</v>
      </c>
      <c r="B2040" s="138">
        <f>'Cap Outlay Deprec 26'!I10</f>
        <v>45380</v>
      </c>
      <c r="D2040" s="2" t="str">
        <f t="shared" si="30"/>
        <v>Error?</v>
      </c>
    </row>
    <row r="2041" spans="1:4" x14ac:dyDescent="0.2">
      <c r="A2041" s="5">
        <v>1980</v>
      </c>
      <c r="B2041" s="138">
        <f>'Cap Outlay Deprec 26'!I12</f>
        <v>13413</v>
      </c>
      <c r="D2041" s="2" t="str">
        <f t="shared" si="30"/>
        <v>Error?</v>
      </c>
    </row>
    <row r="2042" spans="1:4" x14ac:dyDescent="0.2">
      <c r="A2042" s="5">
        <v>1981</v>
      </c>
      <c r="B2042" s="138">
        <f>'Cap Outlay Deprec 26'!I13</f>
        <v>101</v>
      </c>
      <c r="D2042" s="2" t="str">
        <f t="shared" si="30"/>
        <v>Error?</v>
      </c>
    </row>
    <row r="2043" spans="1:4" x14ac:dyDescent="0.2">
      <c r="A2043" s="5">
        <v>1982</v>
      </c>
      <c r="B2043" s="138">
        <f>'Cap Outlay Deprec 26'!I16</f>
        <v>305492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79847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79847</v>
      </c>
      <c r="C2049" s="2" t="s">
        <v>594</v>
      </c>
      <c r="D2049" s="2" t="str">
        <f t="shared" si="31"/>
        <v>Error?</v>
      </c>
    </row>
    <row r="2050" spans="1:4" x14ac:dyDescent="0.2">
      <c r="A2050" s="10">
        <v>1989</v>
      </c>
      <c r="D2050" s="2" t="str">
        <f t="shared" si="31"/>
        <v>OK</v>
      </c>
    </row>
    <row r="2051" spans="1:4" x14ac:dyDescent="0.2">
      <c r="A2051" s="5">
        <v>1990</v>
      </c>
      <c r="B2051" s="138">
        <f>'Cap Outlay Deprec 26'!K8</f>
        <v>3105943</v>
      </c>
      <c r="C2051" s="2" t="s">
        <v>594</v>
      </c>
      <c r="D2051" s="2" t="str">
        <f t="shared" si="31"/>
        <v>Error?</v>
      </c>
    </row>
    <row r="2052" spans="1:4" x14ac:dyDescent="0.2">
      <c r="A2052" s="5">
        <v>1991</v>
      </c>
      <c r="B2052" s="138">
        <f>'Cap Outlay Deprec 26'!K10</f>
        <v>363998</v>
      </c>
      <c r="C2052" s="2" t="s">
        <v>594</v>
      </c>
      <c r="D2052" s="2" t="str">
        <f t="shared" si="31"/>
        <v>Error?</v>
      </c>
    </row>
    <row r="2053" spans="1:4" x14ac:dyDescent="0.2">
      <c r="A2053" s="5">
        <v>1992</v>
      </c>
      <c r="B2053" s="138">
        <f>'Cap Outlay Deprec 26'!K12</f>
        <v>996573</v>
      </c>
      <c r="C2053" s="2" t="s">
        <v>594</v>
      </c>
      <c r="D2053" s="2" t="str">
        <f t="shared" si="31"/>
        <v>Error?</v>
      </c>
    </row>
    <row r="2054" spans="1:4" x14ac:dyDescent="0.2">
      <c r="A2054" s="5">
        <v>1993</v>
      </c>
      <c r="B2054" s="138">
        <f>'Cap Outlay Deprec 26'!K13</f>
        <v>505</v>
      </c>
      <c r="C2054" s="2" t="s">
        <v>594</v>
      </c>
      <c r="D2054" s="2" t="str">
        <f t="shared" si="31"/>
        <v>Error?</v>
      </c>
    </row>
    <row r="2055" spans="1:4" x14ac:dyDescent="0.2">
      <c r="A2055" s="5">
        <v>1994</v>
      </c>
      <c r="B2055" s="138">
        <f>'Cap Outlay Deprec 26'!K16</f>
        <v>4922720</v>
      </c>
      <c r="C2055" s="2" t="s">
        <v>594</v>
      </c>
      <c r="D2055" s="2" t="str">
        <f t="shared" si="31"/>
        <v>Error?</v>
      </c>
    </row>
    <row r="2056" spans="1:4" x14ac:dyDescent="0.2">
      <c r="A2056" s="5">
        <v>1995</v>
      </c>
      <c r="B2056" s="138">
        <f>'Cap Outlay Deprec 26'!L5</f>
        <v>106866</v>
      </c>
      <c r="C2056" s="2" t="s">
        <v>594</v>
      </c>
      <c r="D2056" s="2" t="str">
        <f t="shared" si="31"/>
        <v>Error?</v>
      </c>
    </row>
    <row r="2057" spans="1:4" x14ac:dyDescent="0.2">
      <c r="A2057" s="5">
        <v>1996</v>
      </c>
      <c r="B2057" s="138">
        <f>'Cap Outlay Deprec 26'!L8</f>
        <v>7067583</v>
      </c>
      <c r="C2057" s="2" t="s">
        <v>594</v>
      </c>
      <c r="D2057" s="2" t="str">
        <f t="shared" si="31"/>
        <v>Error?</v>
      </c>
    </row>
    <row r="2058" spans="1:4" x14ac:dyDescent="0.2">
      <c r="A2058" s="5">
        <v>1997</v>
      </c>
      <c r="B2058" s="138">
        <f>'Cap Outlay Deprec 26'!L10</f>
        <v>543665</v>
      </c>
      <c r="C2058" s="2" t="s">
        <v>594</v>
      </c>
      <c r="D2058" s="2" t="str">
        <f t="shared" si="31"/>
        <v>Error?</v>
      </c>
    </row>
    <row r="2059" spans="1:4" x14ac:dyDescent="0.2">
      <c r="A2059" s="5">
        <v>1998</v>
      </c>
      <c r="B2059" s="138">
        <f>'Cap Outlay Deprec 26'!L12</f>
        <v>60750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7846730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140889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22887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79230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688990</v>
      </c>
      <c r="C2551" s="2" t="s">
        <v>594</v>
      </c>
      <c r="D2551" s="2" t="str">
        <f t="shared" si="38"/>
        <v>Error?</v>
      </c>
    </row>
    <row r="2552" spans="1:4" x14ac:dyDescent="0.2">
      <c r="A2552" s="10">
        <v>2491</v>
      </c>
      <c r="D2552" s="2" t="str">
        <f t="shared" si="38"/>
        <v>OK</v>
      </c>
    </row>
    <row r="2553" spans="1:4" x14ac:dyDescent="0.2">
      <c r="A2553" s="5">
        <v>2492</v>
      </c>
      <c r="B2553" s="138">
        <f>'Acct Summary 7-8'!C6</f>
        <v>3524311</v>
      </c>
      <c r="C2553" s="2" t="s">
        <v>594</v>
      </c>
      <c r="D2553" s="2" t="str">
        <f t="shared" si="38"/>
        <v>Error?</v>
      </c>
    </row>
    <row r="2554" spans="1:4" x14ac:dyDescent="0.2">
      <c r="A2554" s="5">
        <v>2493</v>
      </c>
      <c r="B2554" s="138">
        <f>'Acct Summary 7-8'!C7</f>
        <v>377945</v>
      </c>
      <c r="C2554" s="2" t="s">
        <v>594</v>
      </c>
      <c r="D2554" s="2" t="str">
        <f t="shared" si="38"/>
        <v>Error?</v>
      </c>
    </row>
    <row r="2555" spans="1:4" x14ac:dyDescent="0.2">
      <c r="A2555" s="5">
        <v>2494</v>
      </c>
      <c r="B2555" s="138">
        <f>'Acct Summary 7-8'!C8</f>
        <v>4591246</v>
      </c>
      <c r="C2555" s="2" t="s">
        <v>594</v>
      </c>
      <c r="D2555" s="2" t="str">
        <f t="shared" si="38"/>
        <v>Error?</v>
      </c>
    </row>
    <row r="2556" spans="1:4" x14ac:dyDescent="0.2">
      <c r="A2556" s="5">
        <v>2495</v>
      </c>
      <c r="B2556" s="138">
        <f>'Acct Summary 7-8'!C12</f>
        <v>3052481</v>
      </c>
      <c r="C2556" s="2" t="s">
        <v>594</v>
      </c>
      <c r="D2556" s="2" t="str">
        <f t="shared" si="38"/>
        <v>Error?</v>
      </c>
    </row>
    <row r="2557" spans="1:4" x14ac:dyDescent="0.2">
      <c r="A2557" s="5">
        <v>2496</v>
      </c>
      <c r="B2557" s="138">
        <f>'Acct Summary 7-8'!C13</f>
        <v>1076990</v>
      </c>
      <c r="C2557" s="2" t="s">
        <v>594</v>
      </c>
      <c r="D2557" s="2" t="str">
        <f t="shared" si="38"/>
        <v>Error?</v>
      </c>
    </row>
    <row r="2558" spans="1:4" x14ac:dyDescent="0.2">
      <c r="A2558" s="5">
        <v>2497</v>
      </c>
      <c r="B2558" s="138">
        <f>'Acct Summary 7-8'!C14</f>
        <v>23826</v>
      </c>
      <c r="C2558" s="2" t="s">
        <v>594</v>
      </c>
      <c r="D2558" s="2" t="str">
        <f t="shared" si="38"/>
        <v>Error?</v>
      </c>
    </row>
    <row r="2559" spans="1:4" x14ac:dyDescent="0.2">
      <c r="A2559" s="5">
        <v>2498</v>
      </c>
      <c r="B2559" s="138">
        <f>'Acct Summary 7-8'!C15</f>
        <v>140889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4294186</v>
      </c>
      <c r="C2561" s="2" t="s">
        <v>594</v>
      </c>
      <c r="D2561" s="2" t="str">
        <f t="shared" si="39"/>
        <v>Error?</v>
      </c>
    </row>
    <row r="2562" spans="1:4" x14ac:dyDescent="0.2">
      <c r="A2562" s="5">
        <v>2501</v>
      </c>
      <c r="B2562" s="138">
        <f>'Acct Summary 7-8'!C20</f>
        <v>297060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162654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162654</v>
      </c>
      <c r="C2568" s="2" t="s">
        <v>594</v>
      </c>
      <c r="D2568" s="2" t="str">
        <f t="shared" si="39"/>
        <v>Error?</v>
      </c>
    </row>
    <row r="2569" spans="1:4" x14ac:dyDescent="0.2">
      <c r="A2569" s="5">
        <v>2508</v>
      </c>
      <c r="B2569" s="138">
        <f>'Acct Summary 7-8'!D13</f>
        <v>199225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199225</v>
      </c>
      <c r="C2573" s="2" t="s">
        <v>594</v>
      </c>
      <c r="D2573" s="2" t="str">
        <f t="shared" si="39"/>
        <v>Error?</v>
      </c>
    </row>
    <row r="2574" spans="1:4" x14ac:dyDescent="0.2">
      <c r="A2574" s="5">
        <v>2513</v>
      </c>
      <c r="B2574" s="138">
        <f>'Acct Summary 7-8'!D20</f>
        <v>-36571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64948</v>
      </c>
      <c r="C2591" s="2" t="s">
        <v>594</v>
      </c>
      <c r="D2591" s="2" t="str">
        <f t="shared" si="39"/>
        <v>Error?</v>
      </c>
    </row>
    <row r="2592" spans="1:4" x14ac:dyDescent="0.2">
      <c r="A2592" s="10">
        <v>2531</v>
      </c>
      <c r="D2592" s="2" t="str">
        <f t="shared" si="39"/>
        <v>OK</v>
      </c>
    </row>
    <row r="2593" spans="1:4" x14ac:dyDescent="0.2">
      <c r="A2593" s="5">
        <v>2532</v>
      </c>
      <c r="B2593" s="138">
        <f>'Acct Summary 7-8'!F6</f>
        <v>265866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330814</v>
      </c>
      <c r="C2595" s="2" t="s">
        <v>594</v>
      </c>
      <c r="D2595" s="2" t="str">
        <f t="shared" si="39"/>
        <v>Error?</v>
      </c>
    </row>
    <row r="2596" spans="1:4" x14ac:dyDescent="0.2">
      <c r="A2596" s="5">
        <v>2535</v>
      </c>
      <c r="B2596" s="138">
        <f>'Acct Summary 7-8'!F13</f>
        <v>348146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348146</v>
      </c>
      <c r="C2600" s="2" t="s">
        <v>594</v>
      </c>
      <c r="D2600" s="2" t="str">
        <f t="shared" si="39"/>
        <v>Error?</v>
      </c>
    </row>
    <row r="2601" spans="1:4" x14ac:dyDescent="0.2">
      <c r="A2601" s="5">
        <v>2540</v>
      </c>
      <c r="B2601" s="138">
        <f>'Acct Summary 7-8'!F20</f>
        <v>-17332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123638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123638</v>
      </c>
      <c r="C2606" s="2" t="s">
        <v>594</v>
      </c>
      <c r="D2606" s="2" t="str">
        <f t="shared" si="39"/>
        <v>Error?</v>
      </c>
    </row>
    <row r="2607" spans="1:4" x14ac:dyDescent="0.2">
      <c r="A2607" s="5">
        <v>2546</v>
      </c>
      <c r="B2607" s="138">
        <f>'Acct Summary 7-8'!G12</f>
        <v>61422</v>
      </c>
      <c r="C2607" s="2" t="s">
        <v>594</v>
      </c>
      <c r="D2607" s="2" t="str">
        <f t="shared" si="39"/>
        <v>Error?</v>
      </c>
    </row>
    <row r="2608" spans="1:4" x14ac:dyDescent="0.2">
      <c r="A2608" s="5">
        <v>2547</v>
      </c>
      <c r="B2608" s="138">
        <f>'Acct Summary 7-8'!G13</f>
        <v>83115</v>
      </c>
      <c r="C2608" s="2" t="s">
        <v>594</v>
      </c>
      <c r="D2608" s="2" t="str">
        <f t="shared" si="39"/>
        <v>Error?</v>
      </c>
    </row>
    <row r="2609" spans="1:4" x14ac:dyDescent="0.2">
      <c r="A2609" s="5">
        <v>2548</v>
      </c>
      <c r="B2609" s="138">
        <f>'Acct Summary 7-8'!G14</f>
        <v>2136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146673</v>
      </c>
      <c r="C2612" s="2" t="s">
        <v>594</v>
      </c>
      <c r="D2612" s="2" t="str">
        <f t="shared" si="39"/>
        <v>Error?</v>
      </c>
    </row>
    <row r="2613" spans="1:4" x14ac:dyDescent="0.2">
      <c r="A2613" s="5">
        <v>2552</v>
      </c>
      <c r="B2613" s="138">
        <f>'Acct Summary 7-8'!G20</f>
        <v>-23035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227013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227013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2052453</v>
      </c>
      <c r="C2634" s="2" t="s">
        <v>594</v>
      </c>
      <c r="D2634" s="2" t="str">
        <f t="shared" si="40"/>
        <v>Error?</v>
      </c>
    </row>
    <row r="2635" spans="1:4" x14ac:dyDescent="0.2">
      <c r="A2635" s="5">
        <v>2574</v>
      </c>
      <c r="B2635" s="138">
        <f>'Acct Summary 7-8'!E17</f>
        <v>2052453</v>
      </c>
      <c r="C2635" s="2" t="s">
        <v>594</v>
      </c>
      <c r="D2635" s="2" t="str">
        <f t="shared" si="40"/>
        <v>Error?</v>
      </c>
    </row>
    <row r="2636" spans="1:4" x14ac:dyDescent="0.2">
      <c r="A2636" s="5">
        <v>2575</v>
      </c>
      <c r="B2636" s="138">
        <f>'Acct Summary 7-8'!E20</f>
        <v>-1825440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140889</v>
      </c>
      <c r="C2789" s="2" t="s">
        <v>594</v>
      </c>
      <c r="D2789" s="2" t="str">
        <f t="shared" si="42"/>
        <v>Error?</v>
      </c>
    </row>
    <row r="2790" spans="1:4" x14ac:dyDescent="0.2">
      <c r="A2790" s="5">
        <v>2729</v>
      </c>
      <c r="B2790" s="138">
        <f>'Expenditures 15-22'!E102</f>
        <v>140889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311405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119581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311405</v>
      </c>
      <c r="D2912" s="2" t="str">
        <f t="shared" si="44"/>
        <v>Error?</v>
      </c>
    </row>
    <row r="2913" spans="1:4" x14ac:dyDescent="0.2">
      <c r="A2913" s="5">
        <v>2852</v>
      </c>
      <c r="B2913" s="138">
        <f>'Assets-Liab 5-6'!I41</f>
        <v>311405</v>
      </c>
      <c r="C2913" s="2" t="s">
        <v>594</v>
      </c>
      <c r="D2913" s="2" t="str">
        <f t="shared" si="44"/>
        <v>Error?</v>
      </c>
    </row>
    <row r="2914" spans="1:4" x14ac:dyDescent="0.2">
      <c r="A2914" s="5">
        <v>2853</v>
      </c>
      <c r="B2914" s="138">
        <f>'Assets-Liab 5-6'!L33</f>
        <v>119581</v>
      </c>
      <c r="D2914" s="2" t="str">
        <f t="shared" si="44"/>
        <v>Error?</v>
      </c>
    </row>
    <row r="2915" spans="1:4" x14ac:dyDescent="0.2">
      <c r="A2915" s="10">
        <v>2854</v>
      </c>
      <c r="D2915" s="2" t="str">
        <f t="shared" si="44"/>
        <v>OK</v>
      </c>
    </row>
    <row r="2916" spans="1:4" x14ac:dyDescent="0.2">
      <c r="A2916" s="5">
        <v>2855</v>
      </c>
      <c r="B2916" s="138">
        <f>'Assets-Liab 5-6'!L34</f>
        <v>119581</v>
      </c>
      <c r="C2916" s="2" t="s">
        <v>594</v>
      </c>
      <c r="D2916" s="2" t="str">
        <f t="shared" si="44"/>
        <v>Error?</v>
      </c>
    </row>
    <row r="2917" spans="1:4" x14ac:dyDescent="0.2">
      <c r="A2917" s="5">
        <v>2856</v>
      </c>
      <c r="B2917" s="138">
        <f>'Assets-Liab 5-6'!L41</f>
        <v>119581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133823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7066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133823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7066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5032</v>
      </c>
      <c r="D3055" s="2" t="str">
        <f t="shared" si="46"/>
        <v>Error?</v>
      </c>
    </row>
    <row r="3056" spans="1:4" x14ac:dyDescent="0.2">
      <c r="A3056" s="5">
        <v>2995</v>
      </c>
      <c r="B3056" s="138">
        <f>'Expenditures 15-22'!D10</f>
        <v>1037</v>
      </c>
      <c r="D3056" s="2" t="str">
        <f t="shared" si="46"/>
        <v>Error?</v>
      </c>
    </row>
    <row r="3057" spans="1:4" x14ac:dyDescent="0.2">
      <c r="A3057" s="5">
        <v>2996</v>
      </c>
      <c r="B3057" s="138">
        <f>'Expenditures 15-22'!E10</f>
        <v>41536</v>
      </c>
      <c r="D3057" s="2" t="str">
        <f t="shared" si="46"/>
        <v>Error?</v>
      </c>
    </row>
    <row r="3058" spans="1:4" x14ac:dyDescent="0.2">
      <c r="A3058" s="5">
        <v>2997</v>
      </c>
      <c r="B3058" s="138">
        <f>'Expenditures 15-22'!F10</f>
        <v>70573</v>
      </c>
      <c r="D3058" s="2" t="str">
        <f t="shared" si="46"/>
        <v>Error?</v>
      </c>
    </row>
    <row r="3059" spans="1:4" x14ac:dyDescent="0.2">
      <c r="A3059" s="5">
        <v>2998</v>
      </c>
      <c r="B3059" s="138">
        <f>'Expenditures 15-22'!G10</f>
        <v>16317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134495</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1845000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15660</v>
      </c>
      <c r="C3225" s="2" t="s">
        <v>594</v>
      </c>
      <c r="D3225" s="2" t="str">
        <f t="shared" si="49"/>
        <v>Error?</v>
      </c>
    </row>
    <row r="3226" spans="1:4" x14ac:dyDescent="0.2">
      <c r="A3226" s="5">
        <v>3165</v>
      </c>
      <c r="B3226" s="138">
        <f>'Acct Summary 7-8'!I8</f>
        <v>15660</v>
      </c>
      <c r="C3226" s="2" t="s">
        <v>594</v>
      </c>
      <c r="D3226" s="2" t="str">
        <f t="shared" si="49"/>
        <v>Error?</v>
      </c>
    </row>
    <row r="3227" spans="1:4" x14ac:dyDescent="0.2">
      <c r="A3227" s="5">
        <v>3166</v>
      </c>
      <c r="B3227" s="138">
        <f>'Acct Summary 7-8'!I20</f>
        <v>15660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297060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-36571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-17332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-23035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1912036</v>
      </c>
      <c r="C3274" s="2" t="s">
        <v>594</v>
      </c>
      <c r="D3274" s="2" t="str">
        <f t="shared" si="50"/>
        <v>Error?</v>
      </c>
    </row>
    <row r="3275" spans="1:4" x14ac:dyDescent="0.2">
      <c r="A3275" s="5">
        <v>3214</v>
      </c>
      <c r="B3275" s="138">
        <f>'Acct Summary 7-8'!E75</f>
        <v>67036</v>
      </c>
      <c r="D3275" s="2" t="str">
        <f t="shared" si="50"/>
        <v>Error?</v>
      </c>
    </row>
    <row r="3276" spans="1:4" x14ac:dyDescent="0.2">
      <c r="A3276" s="5">
        <v>3215</v>
      </c>
      <c r="B3276" s="138">
        <f>'Acct Summary 7-8'!E76</f>
        <v>67036</v>
      </c>
      <c r="C3276" s="2" t="s">
        <v>594</v>
      </c>
      <c r="D3276" s="2" t="str">
        <f t="shared" si="50"/>
        <v>Error?</v>
      </c>
    </row>
    <row r="3277" spans="1:4" x14ac:dyDescent="0.2">
      <c r="A3277" s="5">
        <v>3216</v>
      </c>
      <c r="B3277" s="138">
        <f>'Acct Summary 7-8'!E77</f>
        <v>1845000</v>
      </c>
      <c r="C3277" s="2" t="s">
        <v>594</v>
      </c>
      <c r="D3277" s="2" t="str">
        <f t="shared" si="50"/>
        <v>Error?</v>
      </c>
    </row>
    <row r="3278" spans="1:4" x14ac:dyDescent="0.2">
      <c r="A3278" s="5">
        <v>3217</v>
      </c>
      <c r="B3278" s="138">
        <f>'Acct Summary 7-8'!E78</f>
        <v>19560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15660</v>
      </c>
      <c r="C3320" s="2" t="s">
        <v>594</v>
      </c>
      <c r="D3320" s="2" t="str">
        <f t="shared" si="50"/>
        <v>Error?</v>
      </c>
    </row>
    <row r="3321" spans="1:4" x14ac:dyDescent="0.2">
      <c r="A3321" s="5">
        <v>3260</v>
      </c>
      <c r="B3321" s="138">
        <f>'Acct Summary 7-8'!I79</f>
        <v>295745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311405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342864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59205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20533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426779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30970</v>
      </c>
      <c r="D3387" s="2" t="str">
        <f t="shared" si="51"/>
        <v>Error?</v>
      </c>
    </row>
    <row r="3388" spans="1:4" x14ac:dyDescent="0.2">
      <c r="A3388" s="5">
        <v>3327</v>
      </c>
      <c r="B3388" s="138">
        <f>'Expenditures 15-22'!D217</f>
        <v>18182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30970</v>
      </c>
      <c r="C3390" s="2" t="s">
        <v>594</v>
      </c>
      <c r="D3390" s="2" t="str">
        <f t="shared" si="51"/>
        <v>Error?</v>
      </c>
    </row>
    <row r="3391" spans="1:4" x14ac:dyDescent="0.2">
      <c r="A3391" s="5">
        <v>3330</v>
      </c>
      <c r="B3391" s="138">
        <f>'Expenditures 15-22'!K217</f>
        <v>18182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2042390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66410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79230</v>
      </c>
      <c r="D3417" s="2" t="str">
        <f t="shared" si="52"/>
        <v>Error?</v>
      </c>
    </row>
    <row r="3418" spans="1:4" x14ac:dyDescent="0.2">
      <c r="A3418" s="10">
        <v>3357</v>
      </c>
      <c r="D3418" s="2" t="str">
        <f t="shared" si="52"/>
        <v>OK</v>
      </c>
    </row>
    <row r="3419" spans="1:4" x14ac:dyDescent="0.2">
      <c r="A3419" s="5">
        <v>3358</v>
      </c>
      <c r="B3419" s="138">
        <f>'Assets-Liab 5-6'!F4</f>
        <v>106014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22887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311405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119581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64793</v>
      </c>
      <c r="C3446" s="2" t="s">
        <v>594</v>
      </c>
      <c r="D3446" s="2" t="str">
        <f t="shared" si="52"/>
        <v>Error?</v>
      </c>
    </row>
    <row r="3447" spans="1:4" x14ac:dyDescent="0.2">
      <c r="A3447" s="5">
        <v>3386</v>
      </c>
      <c r="B3447" s="138">
        <f>'Tax Sched 23'!D16</f>
        <v>64793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65474</v>
      </c>
      <c r="C3449" s="2" t="s">
        <v>594</v>
      </c>
      <c r="D3449" s="2" t="str">
        <f t="shared" si="52"/>
        <v>Error?</v>
      </c>
    </row>
    <row r="3450" spans="1:4" x14ac:dyDescent="0.2">
      <c r="A3450" s="5">
        <v>3389</v>
      </c>
      <c r="B3450" s="138">
        <f>'Tax Sched 23'!E16</f>
        <v>65474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15943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15943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15943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15943</v>
      </c>
      <c r="C3568" s="2" t="s">
        <v>594</v>
      </c>
      <c r="D3568" s="2" t="str">
        <f t="shared" si="54"/>
        <v>Error?</v>
      </c>
    </row>
    <row r="3569" spans="1:4" x14ac:dyDescent="0.2">
      <c r="A3569" s="5">
        <v>3508</v>
      </c>
      <c r="B3569" s="138">
        <f>'Acct Summary 7-8'!K4</f>
        <v>15315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15315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15315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15315</v>
      </c>
      <c r="C3588" s="2" t="s">
        <v>594</v>
      </c>
      <c r="D3588" s="2" t="str">
        <f t="shared" si="55"/>
        <v>Error?</v>
      </c>
    </row>
    <row r="3589" spans="1:4" x14ac:dyDescent="0.2">
      <c r="A3589" s="5">
        <v>3528</v>
      </c>
      <c r="B3589" s="138">
        <f>'Acct Summary 7-8'!K79</f>
        <v>628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15943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15315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195100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1889136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6480382</v>
      </c>
      <c r="C4122" s="2" t="s">
        <v>594</v>
      </c>
      <c r="D4122" s="2" t="str">
        <f t="shared" si="63"/>
        <v>Error?</v>
      </c>
    </row>
    <row r="4123" spans="1:4" x14ac:dyDescent="0.2">
      <c r="A4123" s="5">
        <v>4062</v>
      </c>
      <c r="B4123" s="138">
        <f>'Acct Summary 7-8'!D10</f>
        <v>162654</v>
      </c>
      <c r="C4123" s="2" t="s">
        <v>594</v>
      </c>
      <c r="D4123" s="2" t="str">
        <f t="shared" si="63"/>
        <v>Error?</v>
      </c>
    </row>
    <row r="4124" spans="1:4" x14ac:dyDescent="0.2">
      <c r="A4124" s="5">
        <v>4063</v>
      </c>
      <c r="B4124" s="138">
        <f>'Acct Summary 7-8'!E10</f>
        <v>227013</v>
      </c>
      <c r="C4124" s="2" t="s">
        <v>594</v>
      </c>
      <c r="D4124" s="2" t="str">
        <f t="shared" si="63"/>
        <v>Error?</v>
      </c>
    </row>
    <row r="4125" spans="1:4" x14ac:dyDescent="0.2">
      <c r="A4125" s="5">
        <v>4064</v>
      </c>
      <c r="B4125" s="138">
        <f>'Acct Summary 7-8'!F10</f>
        <v>330814</v>
      </c>
      <c r="C4125" s="2" t="s">
        <v>594</v>
      </c>
      <c r="D4125" s="2" t="str">
        <f t="shared" si="63"/>
        <v>Error?</v>
      </c>
    </row>
    <row r="4126" spans="1:4" x14ac:dyDescent="0.2">
      <c r="A4126" s="5">
        <v>4065</v>
      </c>
      <c r="B4126" s="138">
        <f>'Acct Summary 7-8'!G10</f>
        <v>123638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15660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15315</v>
      </c>
      <c r="C4130" s="2" t="s">
        <v>594</v>
      </c>
      <c r="D4130" s="2" t="str">
        <f t="shared" si="63"/>
        <v>Error?</v>
      </c>
    </row>
    <row r="4131" spans="1:4" x14ac:dyDescent="0.2">
      <c r="A4131" s="5">
        <v>4070</v>
      </c>
      <c r="B4131" s="138">
        <f>'Acct Summary 7-8'!C18</f>
        <v>1889136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6183322</v>
      </c>
      <c r="C4136" s="2" t="s">
        <v>594</v>
      </c>
      <c r="D4136" s="2" t="str">
        <f t="shared" si="63"/>
        <v>Error?</v>
      </c>
    </row>
    <row r="4137" spans="1:4" x14ac:dyDescent="0.2">
      <c r="A4137" s="5">
        <v>4076</v>
      </c>
      <c r="B4137" s="138">
        <f>'Acct Summary 7-8'!D19</f>
        <v>199225</v>
      </c>
      <c r="C4137" s="2" t="s">
        <v>594</v>
      </c>
      <c r="D4137" s="2" t="str">
        <f t="shared" si="63"/>
        <v>Error?</v>
      </c>
    </row>
    <row r="4138" spans="1:4" x14ac:dyDescent="0.2">
      <c r="A4138" s="5">
        <v>4077</v>
      </c>
      <c r="B4138" s="138">
        <f>'Acct Summary 7-8'!E19</f>
        <v>2052453</v>
      </c>
      <c r="C4138" s="2" t="s">
        <v>594</v>
      </c>
      <c r="D4138" s="2" t="str">
        <f t="shared" si="63"/>
        <v>Error?</v>
      </c>
    </row>
    <row r="4139" spans="1:4" x14ac:dyDescent="0.2">
      <c r="A4139" s="5">
        <v>4078</v>
      </c>
      <c r="B4139" s="138">
        <f>'Acct Summary 7-8'!F19</f>
        <v>348146</v>
      </c>
      <c r="C4139" s="2" t="s">
        <v>594</v>
      </c>
      <c r="D4139" s="2" t="str">
        <f t="shared" si="63"/>
        <v>Error?</v>
      </c>
    </row>
    <row r="4140" spans="1:4" x14ac:dyDescent="0.2">
      <c r="A4140" s="5">
        <v>4079</v>
      </c>
      <c r="B4140" s="138">
        <f>'Acct Summary 7-8'!G19</f>
        <v>146673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1845000</v>
      </c>
      <c r="C4171" s="2" t="s">
        <v>594</v>
      </c>
      <c r="D4171" s="2" t="str">
        <f t="shared" si="64"/>
        <v>Error?</v>
      </c>
    </row>
    <row r="4172" spans="1:4" x14ac:dyDescent="0.2">
      <c r="A4172" s="5">
        <v>4111</v>
      </c>
      <c r="B4172" s="138">
        <f>'Short-Term Long-Term Debt 24'!J49</f>
        <v>1765770</v>
      </c>
      <c r="C4172" s="2" t="s">
        <v>594</v>
      </c>
      <c r="D4172" s="2" t="str">
        <f t="shared" si="64"/>
        <v>Error?</v>
      </c>
    </row>
    <row r="4173" spans="1:4" x14ac:dyDescent="0.2">
      <c r="A4173" s="5">
        <v>4112</v>
      </c>
      <c r="B4173" s="138">
        <f>'Short-Term Long-Term Debt 24'!H49</f>
        <v>2010000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1468.78</v>
      </c>
      <c r="C4265" s="2" t="s">
        <v>594</v>
      </c>
      <c r="D4265" s="2" t="str">
        <f t="shared" si="65"/>
        <v>Error?</v>
      </c>
      <c r="E4265" s="128"/>
    </row>
    <row r="4266" spans="1:5" x14ac:dyDescent="0.2">
      <c r="A4266" s="12">
        <v>4205</v>
      </c>
      <c r="B4266" s="138">
        <f>('FP Info 3'!F10)*100000</f>
        <v>437.76</v>
      </c>
      <c r="C4266" s="2" t="s">
        <v>594</v>
      </c>
      <c r="D4266" s="2" t="str">
        <f t="shared" si="65"/>
        <v>Error?</v>
      </c>
      <c r="E4266" s="128"/>
    </row>
    <row r="4267" spans="1:5" x14ac:dyDescent="0.2">
      <c r="A4267" s="12">
        <v>4206</v>
      </c>
      <c r="B4267" s="138">
        <f>('FP Info 3'!H10)*100000</f>
        <v>196.75</v>
      </c>
      <c r="C4267" s="2" t="s">
        <v>594</v>
      </c>
      <c r="D4267" s="2" t="str">
        <f t="shared" si="65"/>
        <v>Error?</v>
      </c>
      <c r="E4267" s="128"/>
    </row>
    <row r="4268" spans="1:5" x14ac:dyDescent="0.2">
      <c r="A4268" s="12">
        <v>4207</v>
      </c>
      <c r="B4268" s="138">
        <f>('FP Info 3'!J10)*100000</f>
        <v>2103</v>
      </c>
      <c r="C4268" s="2" t="s">
        <v>594</v>
      </c>
      <c r="D4268" s="2" t="str">
        <f t="shared" si="65"/>
        <v>Error?</v>
      </c>
    </row>
    <row r="4269" spans="1:5" x14ac:dyDescent="0.2">
      <c r="A4269" s="12">
        <v>4208</v>
      </c>
      <c r="B4269" s="138">
        <f>'FP Info 3'!J16</f>
        <v>3605123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15859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28186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17734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29091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38233338</v>
      </c>
      <c r="D4995" s="2" t="str">
        <f t="shared" si="77"/>
        <v>Error?</v>
      </c>
    </row>
    <row r="4996" spans="1:4" x14ac:dyDescent="0.2">
      <c r="A4996" s="12">
        <v>4935</v>
      </c>
      <c r="B4996" s="138">
        <f>'FP Info 3'!H31</f>
        <v>5276200.6440000003</v>
      </c>
      <c r="D4996" s="2" t="str">
        <f t="shared" si="77"/>
        <v>Error?</v>
      </c>
    </row>
    <row r="4997" spans="1:4" x14ac:dyDescent="0.2">
      <c r="A4997" s="12">
        <v>4936</v>
      </c>
      <c r="B4997" s="138">
        <f>'FP Info 3'!H37</f>
        <v>1845000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502656</v>
      </c>
      <c r="D5061" s="2" t="str">
        <f t="shared" si="78"/>
        <v>Error?</v>
      </c>
    </row>
    <row r="5062" spans="1:4" x14ac:dyDescent="0.2">
      <c r="A5062" s="10">
        <v>5001</v>
      </c>
      <c r="D5062" s="2" t="str">
        <f t="shared" si="78"/>
        <v>OK</v>
      </c>
    </row>
    <row r="5063" spans="1:4" x14ac:dyDescent="0.2">
      <c r="A5063" s="5">
        <v>5002</v>
      </c>
      <c r="B5063" s="138">
        <f>'Revenues 9-14'!C7</f>
        <v>13391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516047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57928</v>
      </c>
      <c r="D5069" s="2" t="str">
        <f t="shared" si="78"/>
        <v>Error?</v>
      </c>
    </row>
    <row r="5070" spans="1:4" x14ac:dyDescent="0.2">
      <c r="A5070" s="5">
        <v>5009</v>
      </c>
      <c r="B5070" s="138">
        <f>'Revenues 9-14'!C17</f>
        <v>128</v>
      </c>
      <c r="D5070" s="2" t="str">
        <f t="shared" si="78"/>
        <v>Error?</v>
      </c>
    </row>
    <row r="5071" spans="1:4" x14ac:dyDescent="0.2">
      <c r="A5071" s="5">
        <v>5010</v>
      </c>
      <c r="B5071" s="138">
        <f>'Revenues 9-14'!C18</f>
        <v>58056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17920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17920</v>
      </c>
      <c r="C5090" s="2" t="s">
        <v>594</v>
      </c>
      <c r="D5090" s="2" t="str">
        <f t="shared" si="78"/>
        <v>Error?</v>
      </c>
    </row>
    <row r="5091" spans="1:4" x14ac:dyDescent="0.2">
      <c r="A5091" s="5">
        <v>5030</v>
      </c>
      <c r="B5091" s="138">
        <f>'Revenues 9-14'!C70</f>
        <v>819</v>
      </c>
      <c r="D5091" s="2" t="str">
        <f t="shared" si="78"/>
        <v>Error?</v>
      </c>
    </row>
    <row r="5092" spans="1:4" x14ac:dyDescent="0.2">
      <c r="A5092" s="5">
        <v>5031</v>
      </c>
      <c r="B5092" s="138">
        <f>'Revenues 9-14'!C71</f>
        <v>1802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3003</v>
      </c>
      <c r="D5094" s="2" t="str">
        <f t="shared" si="78"/>
        <v>Error?</v>
      </c>
    </row>
    <row r="5095" spans="1:4" x14ac:dyDescent="0.2">
      <c r="A5095" s="5">
        <v>5034</v>
      </c>
      <c r="B5095" s="138">
        <f>'Revenues 9-14'!C74</f>
        <v>13026</v>
      </c>
      <c r="D5095" s="2" t="str">
        <f t="shared" si="78"/>
        <v>Error?</v>
      </c>
    </row>
    <row r="5096" spans="1:4" x14ac:dyDescent="0.2">
      <c r="A5096" s="5">
        <v>5035</v>
      </c>
      <c r="B5096" s="138">
        <f>'Revenues 9-14'!C75</f>
        <v>33449</v>
      </c>
      <c r="C5096" s="2" t="s">
        <v>594</v>
      </c>
      <c r="D5096" s="2" t="str">
        <f t="shared" si="78"/>
        <v>Error?</v>
      </c>
    </row>
    <row r="5097" spans="1:4" x14ac:dyDescent="0.2">
      <c r="A5097" s="5">
        <v>5036</v>
      </c>
      <c r="B5097" s="138">
        <f>'Revenues 9-14'!C77</f>
        <v>26810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26810</v>
      </c>
      <c r="C5102" s="2" t="s">
        <v>594</v>
      </c>
      <c r="D5102" s="2" t="str">
        <f t="shared" si="78"/>
        <v>Error?</v>
      </c>
    </row>
    <row r="5103" spans="1:4" x14ac:dyDescent="0.2">
      <c r="A5103" s="5">
        <v>5042</v>
      </c>
      <c r="B5103" s="138">
        <f>'Revenues 9-14'!C84</f>
        <v>8600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16</v>
      </c>
      <c r="D5111" s="2" t="str">
        <f t="shared" si="78"/>
        <v>Error?</v>
      </c>
    </row>
    <row r="5112" spans="1:4" x14ac:dyDescent="0.2">
      <c r="A5112" s="5">
        <v>5051</v>
      </c>
      <c r="B5112" s="138">
        <f>'Revenues 9-14'!C93</f>
        <v>8616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4495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7223</v>
      </c>
      <c r="D5118" s="2" t="str">
        <f t="shared" si="78"/>
        <v>Error?</v>
      </c>
    </row>
    <row r="5119" spans="1:4" x14ac:dyDescent="0.2">
      <c r="A5119" s="5">
        <v>5058</v>
      </c>
      <c r="B5119" s="138">
        <f>'Revenues 9-14'!C107</f>
        <v>16374</v>
      </c>
      <c r="D5119" s="2" t="str">
        <f t="shared" ref="D5119:D5182" si="79">IF(ISBLANK(B5119),"OK",IF(A5119-B5119=0,"OK","Error?"))</f>
        <v>Error?</v>
      </c>
    </row>
    <row r="5120" spans="1:4" x14ac:dyDescent="0.2">
      <c r="A5120" s="5">
        <v>5059</v>
      </c>
      <c r="B5120" s="138">
        <f>'Revenues 9-14'!C108</f>
        <v>28092</v>
      </c>
      <c r="C5120" s="2" t="s">
        <v>594</v>
      </c>
      <c r="D5120" s="2" t="str">
        <f t="shared" si="79"/>
        <v>Error?</v>
      </c>
    </row>
    <row r="5121" spans="1:4" x14ac:dyDescent="0.2">
      <c r="A5121" s="5">
        <v>5060</v>
      </c>
      <c r="B5121" s="138">
        <f>'Revenues 9-14'!C109</f>
        <v>688990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3277917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3277917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38341</v>
      </c>
      <c r="D5134" s="2" t="str">
        <f t="shared" si="79"/>
        <v>Error?</v>
      </c>
    </row>
    <row r="5135" spans="1:4" x14ac:dyDescent="0.2">
      <c r="A5135" s="5">
        <v>5074</v>
      </c>
      <c r="B5135" s="138">
        <f>'Revenues 9-14'!C126</f>
        <v>42429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80770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2171</v>
      </c>
      <c r="C5161" s="2" t="s">
        <v>594</v>
      </c>
      <c r="D5161" s="2" t="str">
        <f t="shared" si="79"/>
        <v>Error?</v>
      </c>
    </row>
    <row r="5162" spans="1:4" x14ac:dyDescent="0.2">
      <c r="A5162" s="10">
        <v>5101</v>
      </c>
      <c r="D5162" s="2" t="str">
        <f t="shared" si="79"/>
        <v>OK</v>
      </c>
    </row>
    <row r="5163" spans="1:4" x14ac:dyDescent="0.2">
      <c r="A5163" s="5">
        <v>5102</v>
      </c>
      <c r="B5163" s="138">
        <f>'Revenues 9-14'!C142</f>
        <v>18665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18665</v>
      </c>
      <c r="C5165" s="2" t="s">
        <v>594</v>
      </c>
      <c r="D5165" s="2" t="str">
        <f t="shared" si="79"/>
        <v>Error?</v>
      </c>
    </row>
    <row r="5166" spans="1:4" x14ac:dyDescent="0.2">
      <c r="A5166" s="10">
        <v>5105</v>
      </c>
      <c r="D5166" s="2" t="str">
        <f t="shared" si="79"/>
        <v>OK</v>
      </c>
    </row>
    <row r="5167" spans="1:4" x14ac:dyDescent="0.2">
      <c r="A5167" s="5">
        <v>5106</v>
      </c>
      <c r="B5167" s="138">
        <f>'Revenues 9-14'!C145</f>
        <v>2569</v>
      </c>
      <c r="D5167" s="2" t="str">
        <f t="shared" si="79"/>
        <v>Error?</v>
      </c>
    </row>
    <row r="5168" spans="1:4" x14ac:dyDescent="0.2">
      <c r="A5168" s="5">
        <v>5107</v>
      </c>
      <c r="B5168" s="138">
        <f>'Revenues 9-14'!C147</f>
        <v>9005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104123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246394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3524311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139449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32753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172202</v>
      </c>
      <c r="C5246" s="2" t="s">
        <v>594</v>
      </c>
      <c r="D5246" s="2" t="str">
        <f t="shared" si="80"/>
        <v>Error?</v>
      </c>
    </row>
    <row r="5247" spans="1:4" x14ac:dyDescent="0.2">
      <c r="A5247" s="5">
        <v>5186</v>
      </c>
      <c r="B5247" s="138">
        <f>'Revenues 9-14'!C203</f>
        <v>143964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143964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377945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377945</v>
      </c>
      <c r="C5326" s="2" t="s">
        <v>594</v>
      </c>
      <c r="D5326" s="2" t="str">
        <f t="shared" si="82"/>
        <v>Error?</v>
      </c>
    </row>
    <row r="5327" spans="1:4" x14ac:dyDescent="0.2">
      <c r="A5327" s="5">
        <v>5266</v>
      </c>
      <c r="B5327" s="138">
        <f>'Revenues 9-14'!C275</f>
        <v>4591246</v>
      </c>
      <c r="C5327" s="2" t="s">
        <v>594</v>
      </c>
      <c r="D5327" s="2" t="str">
        <f t="shared" si="82"/>
        <v>Error?</v>
      </c>
    </row>
    <row r="5328" spans="1:4" x14ac:dyDescent="0.2">
      <c r="A5328" s="5">
        <v>5267</v>
      </c>
      <c r="B5328" s="138">
        <f>'Revenues 9-14'!D5</f>
        <v>145779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145779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10448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10448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337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v>
      </c>
      <c r="D5354" s="2" t="str">
        <f t="shared" si="82"/>
        <v>Error?</v>
      </c>
    </row>
    <row r="5355" spans="1:4" x14ac:dyDescent="0.2">
      <c r="A5355" s="5">
        <v>5294</v>
      </c>
      <c r="B5355" s="138">
        <f>'Revenues 9-14'!D108</f>
        <v>6427</v>
      </c>
      <c r="C5355" s="2" t="s">
        <v>594</v>
      </c>
      <c r="D5355" s="2" t="str">
        <f t="shared" si="82"/>
        <v>Error?</v>
      </c>
    </row>
    <row r="5356" spans="1:4" x14ac:dyDescent="0.2">
      <c r="A5356" s="5">
        <v>5295</v>
      </c>
      <c r="B5356" s="138">
        <f>'Revenues 9-14'!D109</f>
        <v>162654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162654</v>
      </c>
      <c r="C5508" s="2" t="s">
        <v>594</v>
      </c>
      <c r="D5508" s="2" t="str">
        <f t="shared" si="85"/>
        <v>Error?</v>
      </c>
    </row>
    <row r="5509" spans="1:4" x14ac:dyDescent="0.2">
      <c r="A5509" s="5">
        <v>5448</v>
      </c>
      <c r="B5509" s="138">
        <f>'Revenues 9-14'!E5</f>
        <v>226901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226901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227013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227013</v>
      </c>
      <c r="C5552" s="2" t="s">
        <v>594</v>
      </c>
      <c r="D5552" s="2" t="str">
        <f t="shared" si="85"/>
        <v>Error?</v>
      </c>
    </row>
    <row r="5553" spans="1:4" x14ac:dyDescent="0.2">
      <c r="A5553" s="5">
        <v>5492</v>
      </c>
      <c r="B5553" s="138">
        <f>'Revenues 9-14'!F5</f>
        <v>64793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64793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64948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133028</v>
      </c>
      <c r="D5615" s="2" t="str">
        <f t="shared" si="86"/>
        <v>Error?</v>
      </c>
    </row>
    <row r="5616" spans="1:4" x14ac:dyDescent="0.2">
      <c r="A5616" s="10">
        <v>5555</v>
      </c>
      <c r="D5616" s="2" t="str">
        <f t="shared" si="86"/>
        <v>OK</v>
      </c>
    </row>
    <row r="5617" spans="1:4" x14ac:dyDescent="0.2">
      <c r="A5617" s="5">
        <v>5556</v>
      </c>
      <c r="B5617" s="138">
        <f>'Revenues 9-14'!F152</f>
        <v>132838</v>
      </c>
      <c r="D5617" s="2" t="str">
        <f t="shared" si="86"/>
        <v>Error?</v>
      </c>
    </row>
    <row r="5618" spans="1:4" x14ac:dyDescent="0.2">
      <c r="A5618" s="5">
        <v>5557</v>
      </c>
      <c r="B5618" s="138">
        <f>'Revenues 9-14'!F154</f>
        <v>265866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265866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265866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330814</v>
      </c>
      <c r="C5720" s="2" t="s">
        <v>594</v>
      </c>
      <c r="D5720" s="2" t="str">
        <f t="shared" si="88"/>
        <v>Error?</v>
      </c>
    </row>
    <row r="5721" spans="1:4" x14ac:dyDescent="0.2">
      <c r="A5721" s="5">
        <v>5660</v>
      </c>
      <c r="B5721" s="138">
        <f>'Revenues 9-14'!G5</f>
        <v>52195</v>
      </c>
      <c r="D5721" s="2" t="str">
        <f t="shared" si="88"/>
        <v>Error?</v>
      </c>
    </row>
    <row r="5722" spans="1:4" x14ac:dyDescent="0.2">
      <c r="A5722" s="5">
        <v>5661</v>
      </c>
      <c r="B5722" s="138">
        <f>'Revenues 9-14'!G7</f>
        <v>0</v>
      </c>
      <c r="D5722" s="2" t="str">
        <f t="shared" si="88"/>
        <v>Error?</v>
      </c>
    </row>
    <row r="5723" spans="1:4" x14ac:dyDescent="0.2">
      <c r="A5723" s="5">
        <v>5662</v>
      </c>
      <c r="B5723" s="138">
        <f>'Revenues 9-14'!G8</f>
        <v>64793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116988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6591</v>
      </c>
      <c r="C5730" s="2" t="s">
        <v>594</v>
      </c>
      <c r="D5730" s="2" t="str">
        <f t="shared" si="88"/>
        <v>Error?</v>
      </c>
    </row>
    <row r="5731" spans="1:4" x14ac:dyDescent="0.2">
      <c r="A5731" s="5">
        <v>5670</v>
      </c>
      <c r="B5731" s="138">
        <f>'Revenues 9-14'!G65</f>
        <v>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123638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15301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15660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15301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15301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15315</v>
      </c>
      <c r="C6023" s="2" t="s">
        <v>594</v>
      </c>
      <c r="D6023" s="2" t="str">
        <f t="shared" si="93"/>
        <v>Error?</v>
      </c>
    </row>
    <row r="6024" spans="1:5" x14ac:dyDescent="0.2">
      <c r="A6024" s="5">
        <v>5963</v>
      </c>
      <c r="B6024" s="138">
        <f>'Revenues 9-14'!G109</f>
        <v>123638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15660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15315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14799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17289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491.44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73792</v>
      </c>
      <c r="D6220" s="2" t="str">
        <f t="shared" si="96"/>
        <v>Error?</v>
      </c>
      <c r="E6220" s="2" t="s">
        <v>199</v>
      </c>
    </row>
    <row r="6221" spans="1:5" x14ac:dyDescent="0.2">
      <c r="A6221">
        <v>6160</v>
      </c>
      <c r="B6221" s="138">
        <f>'Acct Summary 7-8'!J6</f>
        <v>8171</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81963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81963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81963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81963</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297060</v>
      </c>
      <c r="D6267" s="2" t="str">
        <f t="shared" si="96"/>
        <v>Error?</v>
      </c>
      <c r="E6267" s="2" t="s">
        <v>199</v>
      </c>
    </row>
    <row r="6268" spans="1:5" x14ac:dyDescent="0.2">
      <c r="A6268">
        <v>6207</v>
      </c>
      <c r="B6268" s="138">
        <f>'Acct Summary 7-8'!D82</f>
        <v>-36571</v>
      </c>
      <c r="D6268" s="2" t="str">
        <f t="shared" si="96"/>
        <v>Error?</v>
      </c>
      <c r="E6268" s="2" t="s">
        <v>199</v>
      </c>
    </row>
    <row r="6269" spans="1:5" x14ac:dyDescent="0.2">
      <c r="A6269">
        <v>6208</v>
      </c>
      <c r="B6269" s="138">
        <f>'Acct Summary 7-8'!E82</f>
        <v>19560</v>
      </c>
      <c r="D6269" s="2" t="str">
        <f t="shared" si="96"/>
        <v>Error?</v>
      </c>
      <c r="E6269" s="2" t="s">
        <v>199</v>
      </c>
    </row>
    <row r="6270" spans="1:5" x14ac:dyDescent="0.2">
      <c r="A6270">
        <v>6209</v>
      </c>
      <c r="B6270" s="138">
        <f>'Acct Summary 7-8'!F82</f>
        <v>-17332</v>
      </c>
      <c r="D6270" s="2" t="str">
        <f t="shared" si="96"/>
        <v>Error?</v>
      </c>
      <c r="E6270" s="2" t="s">
        <v>199</v>
      </c>
    </row>
    <row r="6271" spans="1:5" x14ac:dyDescent="0.2">
      <c r="A6271">
        <v>6210</v>
      </c>
      <c r="B6271" s="138">
        <f>'Acct Summary 7-8'!G82</f>
        <v>-23035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15660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15315</v>
      </c>
      <c r="D6275" s="2" t="str">
        <f t="shared" si="97"/>
        <v>Error?</v>
      </c>
      <c r="E6275" s="2" t="s">
        <v>199</v>
      </c>
    </row>
    <row r="6276" spans="1:5" x14ac:dyDescent="0.2">
      <c r="A6276">
        <v>6215</v>
      </c>
      <c r="B6276" s="138">
        <f>'Acct Summary 7-8'!C83</f>
        <v>0.11421251001079993</v>
      </c>
      <c r="D6276" s="2" t="str">
        <f t="shared" si="97"/>
        <v>Error?</v>
      </c>
      <c r="E6276" s="2" t="s">
        <v>199</v>
      </c>
    </row>
    <row r="6277" spans="1:5" x14ac:dyDescent="0.2">
      <c r="A6277">
        <v>6216</v>
      </c>
      <c r="B6277" s="138">
        <f>'Acct Summary 7-8'!D83</f>
        <v>-6.23266974911506E-2</v>
      </c>
      <c r="D6277" s="2" t="str">
        <f t="shared" si="97"/>
        <v>Error?</v>
      </c>
      <c r="E6277" s="2" t="s">
        <v>199</v>
      </c>
    </row>
    <row r="6278" spans="1:5" x14ac:dyDescent="0.2">
      <c r="A6278">
        <v>6217</v>
      </c>
      <c r="B6278" s="138">
        <f>'Acct Summary 7-8'!E83</f>
        <v>0.24687618326391519</v>
      </c>
      <c r="D6278" s="2" t="str">
        <f t="shared" si="97"/>
        <v>Error?</v>
      </c>
      <c r="E6278" s="2" t="s">
        <v>199</v>
      </c>
    </row>
    <row r="6279" spans="1:5" x14ac:dyDescent="0.2">
      <c r="A6279">
        <v>6218</v>
      </c>
      <c r="B6279" s="138">
        <f>'Acct Summary 7-8'!F83</f>
        <v>-0.16348784122851698</v>
      </c>
      <c r="D6279" s="2" t="str">
        <f t="shared" si="97"/>
        <v>Error?</v>
      </c>
      <c r="E6279" s="2" t="s">
        <v>199</v>
      </c>
    </row>
    <row r="6280" spans="1:5" x14ac:dyDescent="0.2">
      <c r="A6280">
        <v>6219</v>
      </c>
      <c r="B6280" s="138">
        <f>'Acct Summary 7-8'!G83</f>
        <v>-1.0064665530650587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5.028820988744561E-2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0.9606096719563445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73792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73792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73792</v>
      </c>
      <c r="D6352" s="2" t="str">
        <f t="shared" si="98"/>
        <v>Error?</v>
      </c>
      <c r="E6352" s="2" t="s">
        <v>199</v>
      </c>
    </row>
    <row r="6353" spans="1:5" x14ac:dyDescent="0.2">
      <c r="A6353">
        <v>6292</v>
      </c>
      <c r="B6353" s="138">
        <f>'Revenues 9-14'!J117</f>
        <v>8171</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8171</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2171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8171</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55987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97900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30096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81963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81963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357</v>
      </c>
      <c r="D7079" s="2" t="str">
        <f t="shared" si="109"/>
        <v>Error?</v>
      </c>
    </row>
    <row r="7080" spans="1:4" x14ac:dyDescent="0.2">
      <c r="A7080">
        <v>7019</v>
      </c>
      <c r="B7080" s="138">
        <f>'Expenditures 15-22'!K226</f>
        <v>357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16409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16409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56424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56424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1118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8012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8012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81963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81963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81963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81963</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8454</v>
      </c>
      <c r="D7246" s="2" t="str">
        <f t="shared" si="112"/>
        <v>Error?</v>
      </c>
    </row>
    <row r="7247" spans="1:4" x14ac:dyDescent="0.2">
      <c r="A7247">
        <f t="shared" si="113"/>
        <v>7186</v>
      </c>
      <c r="B7247" s="138">
        <f>'Expenditures 15-22'!E7</f>
        <v>9023</v>
      </c>
      <c r="D7247" s="2" t="str">
        <f t="shared" si="112"/>
        <v>Error?</v>
      </c>
    </row>
    <row r="7248" spans="1:4" x14ac:dyDescent="0.2">
      <c r="A7248">
        <f t="shared" si="113"/>
        <v>7187</v>
      </c>
      <c r="B7248" s="138">
        <f>'Expenditures 15-22'!F7</f>
        <v>9214</v>
      </c>
      <c r="D7248" s="2" t="str">
        <f t="shared" si="112"/>
        <v>Error?</v>
      </c>
    </row>
    <row r="7249" spans="1:4" x14ac:dyDescent="0.2">
      <c r="A7249">
        <f t="shared" si="113"/>
        <v>7188</v>
      </c>
      <c r="B7249" s="138">
        <f>'Expenditures 15-22'!G7</f>
        <v>15142</v>
      </c>
      <c r="D7249" s="2" t="str">
        <f t="shared" si="112"/>
        <v>Error?</v>
      </c>
    </row>
    <row r="7250" spans="1:4" x14ac:dyDescent="0.2">
      <c r="A7250">
        <f t="shared" si="113"/>
        <v>7189</v>
      </c>
      <c r="B7250" s="138">
        <f>'Expenditures 15-22'!H7</f>
        <v>80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24625</v>
      </c>
      <c r="D7263" s="2" t="str">
        <f t="shared" si="112"/>
        <v>Error?</v>
      </c>
    </row>
    <row r="7264" spans="1:4" x14ac:dyDescent="0.2">
      <c r="A7264">
        <f t="shared" si="113"/>
        <v>7203</v>
      </c>
      <c r="B7264" s="138">
        <f>'Expenditures 15-22'!D17</f>
        <v>2087</v>
      </c>
      <c r="D7264" s="2" t="str">
        <f t="shared" si="112"/>
        <v>Error?</v>
      </c>
    </row>
    <row r="7265" spans="1:5" x14ac:dyDescent="0.2">
      <c r="A7265">
        <f t="shared" si="113"/>
        <v>7204</v>
      </c>
      <c r="B7265" s="138">
        <f>'Expenditures 15-22'!E17</f>
        <v>3009</v>
      </c>
      <c r="D7265" s="2" t="str">
        <f t="shared" si="112"/>
        <v>Error?</v>
      </c>
    </row>
    <row r="7266" spans="1:5" x14ac:dyDescent="0.2">
      <c r="A7266">
        <f t="shared" si="113"/>
        <v>7205</v>
      </c>
      <c r="B7266" s="138">
        <f>'Expenditures 15-22'!F17</f>
        <v>375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426628</v>
      </c>
      <c r="D7615" s="2" t="str">
        <f t="shared" ref="D7615:D7678" si="124">IF(ISBLANK(B7615),"OK",IF(A7615-B7615=0,"OK","Error?"))</f>
        <v>Error?</v>
      </c>
      <c r="E7615" s="2" t="s">
        <v>19</v>
      </c>
    </row>
    <row r="7616" spans="1:5" x14ac:dyDescent="0.2">
      <c r="A7616">
        <f t="shared" si="123"/>
        <v>7555</v>
      </c>
      <c r="B7616" s="138">
        <f>'Cap Outlay Deprec 26'!D14</f>
        <v>96939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523567</v>
      </c>
      <c r="D7618" s="2" t="str">
        <f t="shared" si="124"/>
        <v>Error?</v>
      </c>
      <c r="E7618" s="2" t="s">
        <v>19</v>
      </c>
    </row>
    <row r="7619" spans="1:5" x14ac:dyDescent="0.2">
      <c r="A7619">
        <f t="shared" si="123"/>
        <v>7558</v>
      </c>
      <c r="B7619" s="138">
        <f>'Cap Outlay Deprec 26'!H14</f>
        <v>412574</v>
      </c>
      <c r="D7619" s="2" t="str">
        <f t="shared" si="124"/>
        <v>Error?</v>
      </c>
      <c r="E7619" s="2" t="s">
        <v>19</v>
      </c>
    </row>
    <row r="7620" spans="1:5" x14ac:dyDescent="0.2">
      <c r="A7620">
        <f t="shared" si="123"/>
        <v>7559</v>
      </c>
      <c r="B7620" s="138">
        <f>'Cap Outlay Deprec 26'!I14</f>
        <v>43127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455701</v>
      </c>
      <c r="D7622" s="2" t="str">
        <f t="shared" si="124"/>
        <v>Error?</v>
      </c>
      <c r="E7622" s="2" t="s">
        <v>19</v>
      </c>
    </row>
    <row r="7623" spans="1:5" x14ac:dyDescent="0.2">
      <c r="A7623">
        <f t="shared" si="123"/>
        <v>7562</v>
      </c>
      <c r="B7623" s="138">
        <f>'Cap Outlay Deprec 26'!L14</f>
        <v>67866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305492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9005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9005</v>
      </c>
      <c r="D7719" s="2" t="str">
        <f t="shared" si="126"/>
        <v>Error?</v>
      </c>
      <c r="E7719" s="2" t="s">
        <v>881</v>
      </c>
    </row>
    <row r="7720" spans="1:6" x14ac:dyDescent="0.2">
      <c r="A7720">
        <v>7659</v>
      </c>
      <c r="B7720" s="138">
        <f>'Rest Tax Levies-Tort Im 25'!H14</f>
        <v>13391</v>
      </c>
      <c r="D7720" s="2" t="str">
        <f t="shared" si="126"/>
        <v>Error?</v>
      </c>
      <c r="E7720" s="2" t="s">
        <v>881</v>
      </c>
    </row>
    <row r="7721" spans="1:6" x14ac:dyDescent="0.2">
      <c r="A7721">
        <v>7660</v>
      </c>
      <c r="B7721" s="138">
        <f>'Rest Tax Levies-Tort Im 25'!K14</f>
        <v>9005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Cobden SUD 17</v>
      </c>
      <c r="B7" s="2422"/>
      <c r="C7" s="2422"/>
      <c r="D7" s="2423"/>
      <c r="E7" s="2424">
        <f>COVER!A13</f>
        <v>30091017022</v>
      </c>
      <c r="F7" s="2425"/>
      <c r="G7" s="2431" t="str">
        <f>COVER!T23</f>
        <v>066-005023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EDWIN SHOEMATE</v>
      </c>
      <c r="B10" s="2412"/>
      <c r="C10" s="2412"/>
      <c r="D10" s="2412"/>
      <c r="E10" s="2412"/>
      <c r="F10" s="2413"/>
      <c r="G10" s="2405" t="str">
        <f>COVER!T17</f>
        <v>139 W VIENNA ST - PO BOX 556</v>
      </c>
      <c r="H10" s="2406"/>
      <c r="I10" s="2406"/>
      <c r="J10" s="2406"/>
      <c r="K10" s="2406"/>
      <c r="L10" s="2407"/>
    </row>
    <row r="11" spans="1:29" ht="13.5" customHeight="1" x14ac:dyDescent="0.2">
      <c r="A11" s="1185" t="s">
        <v>1599</v>
      </c>
      <c r="B11" s="1186"/>
      <c r="C11" s="1187"/>
      <c r="D11" s="1192"/>
      <c r="E11" s="1187"/>
      <c r="F11" s="1191"/>
      <c r="G11" s="2405" t="str">
        <f>COVER!T19</f>
        <v>ANNA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shickam@frontier.com</v>
      </c>
      <c r="J13" s="2418"/>
      <c r="K13" s="2418"/>
      <c r="L13" s="2419"/>
    </row>
    <row r="14" spans="1:29" ht="13.5" customHeight="1" x14ac:dyDescent="0.2">
      <c r="A14" s="2405" t="str">
        <f>COVER!A19</f>
        <v>413 APPLEKNOCKER</v>
      </c>
      <c r="B14" s="2406"/>
      <c r="C14" s="2406"/>
      <c r="D14" s="2406"/>
      <c r="E14" s="2406"/>
      <c r="F14" s="2407"/>
      <c r="G14" s="1196" t="s">
        <v>1247</v>
      </c>
      <c r="H14" s="1194"/>
      <c r="I14" s="1194"/>
      <c r="J14" s="1194"/>
      <c r="K14" s="1194"/>
      <c r="L14" s="1195"/>
    </row>
    <row r="15" spans="1:29" ht="13.5" customHeight="1" x14ac:dyDescent="0.2">
      <c r="A15" s="2405" t="str">
        <f>COVER!A21</f>
        <v>COBDEN</v>
      </c>
      <c r="B15" s="2406"/>
      <c r="C15" s="2406"/>
      <c r="D15" s="2406"/>
      <c r="E15" s="2406"/>
      <c r="F15" s="2407"/>
      <c r="G15" s="2402" t="str">
        <f>COVER!T15</f>
        <v>SCOTT A HICKAM</v>
      </c>
      <c r="H15" s="2403"/>
      <c r="I15" s="2403"/>
      <c r="J15" s="2403"/>
      <c r="K15" s="2403"/>
      <c r="L15" s="2404"/>
    </row>
    <row r="16" spans="1:29" ht="12.2" customHeight="1" x14ac:dyDescent="0.2">
      <c r="A16" s="2427">
        <f>COVER!A25</f>
        <v>62920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Cobden SUD 17</v>
      </c>
      <c r="B1" s="2420"/>
      <c r="C1" s="2420"/>
      <c r="D1" s="2420"/>
    </row>
    <row r="2" spans="1:11" s="1215" customFormat="1" ht="12.75" x14ac:dyDescent="0.2">
      <c r="A2" s="2444">
        <f>'Single Audit Cover'!E7</f>
        <v>30091017022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Cobden SUD 17</v>
      </c>
      <c r="B1" s="2447"/>
      <c r="C1" s="2447"/>
      <c r="D1" s="2447"/>
      <c r="E1" s="2447"/>
    </row>
    <row r="2" spans="1:5" x14ac:dyDescent="0.2">
      <c r="A2" s="2448">
        <f>'Single Audit Cover'!E7</f>
        <v>30091017022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377945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17289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-28186</v>
      </c>
    </row>
    <row r="19" spans="1:4" ht="13.5" thickBot="1" x14ac:dyDescent="0.25">
      <c r="A19" s="1265" t="s">
        <v>1297</v>
      </c>
      <c r="D19" s="1266">
        <f>SUM(D10:D17)</f>
        <v>367048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367048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367048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Cobden SUD 17</v>
      </c>
      <c r="B1" s="2460"/>
      <c r="C1" s="2460"/>
      <c r="D1" s="2460"/>
      <c r="E1" s="2460"/>
      <c r="F1" s="2460"/>
    </row>
    <row r="2" spans="1:7" ht="13.5" customHeight="1" x14ac:dyDescent="0.2">
      <c r="A2" s="2461">
        <f>'Single Audit Cover'!E7</f>
        <v>30091017022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Cobden SUD 17</v>
      </c>
      <c r="C1" s="2464"/>
      <c r="D1" s="2464"/>
      <c r="E1" s="2464"/>
      <c r="F1" s="2464"/>
      <c r="G1" s="2464"/>
      <c r="H1" s="2464"/>
      <c r="I1" s="2464"/>
      <c r="J1" s="2464"/>
      <c r="K1" s="2464"/>
      <c r="L1" s="2464"/>
      <c r="M1" s="2464"/>
    </row>
    <row r="2" spans="2:14" ht="15" x14ac:dyDescent="0.2">
      <c r="B2" s="2461">
        <f>'Single Audit Cover'!E7</f>
        <v>30091017022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2077</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2103</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Cobden SUD 17</v>
      </c>
      <c r="C1" s="2479"/>
      <c r="D1" s="2479"/>
      <c r="E1" s="2479"/>
      <c r="F1" s="2479"/>
      <c r="G1" s="2479"/>
      <c r="H1" s="2479"/>
      <c r="I1" s="2479"/>
      <c r="J1" s="1422"/>
    </row>
    <row r="2" spans="2:10" s="317" customFormat="1" ht="12.75" customHeight="1" x14ac:dyDescent="0.2">
      <c r="B2" s="2480">
        <f>'Single Audit Cover'!E7</f>
        <v>30091017022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Cobden SUD 17</v>
      </c>
      <c r="C1" s="2478"/>
      <c r="D1" s="2478"/>
      <c r="E1" s="2478"/>
      <c r="F1" s="2478"/>
      <c r="G1" s="2478"/>
      <c r="H1" s="2478"/>
      <c r="I1" s="2478"/>
      <c r="J1" s="2478"/>
      <c r="K1" s="2478"/>
      <c r="L1" s="1374"/>
      <c r="M1" s="1374"/>
    </row>
    <row r="2" spans="1:13" ht="12" customHeight="1" x14ac:dyDescent="0.2">
      <c r="B2" s="2480">
        <f>'Single Audit Cover'!E7</f>
        <v>30091017022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Cobden SUD 17</v>
      </c>
      <c r="C1" s="2501"/>
      <c r="D1" s="2501"/>
      <c r="E1" s="2501"/>
      <c r="F1" s="2501"/>
      <c r="G1" s="2501"/>
      <c r="H1" s="2501"/>
      <c r="I1" s="2501"/>
      <c r="J1" s="2501"/>
      <c r="K1" s="2501"/>
      <c r="L1" s="1465"/>
    </row>
    <row r="2" spans="1:12" ht="12.75" customHeight="1" x14ac:dyDescent="0.2">
      <c r="B2" s="2502">
        <f>'Single Audit Cover'!E7</f>
        <v>30091017022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Cobden SUD 17</v>
      </c>
      <c r="C1" s="2478"/>
      <c r="D1" s="2478"/>
      <c r="E1" s="1491"/>
    </row>
    <row r="2" spans="2:5" s="1282" customFormat="1" ht="12.75" customHeight="1" x14ac:dyDescent="0.2">
      <c r="B2" s="2480">
        <f>'Single Audit Cover'!E7</f>
        <v>30091017022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38233338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1.46878/100</f>
        <v>1.4687799999999999E-2</v>
      </c>
      <c r="E10" s="356" t="s">
        <v>1062</v>
      </c>
      <c r="F10" s="355">
        <f>0.43776/100</f>
        <v>4.3775999999999997E-3</v>
      </c>
      <c r="G10" s="356" t="s">
        <v>1062</v>
      </c>
      <c r="H10" s="355">
        <f>0.19675/100</f>
        <v>1.9675000000000001E-3</v>
      </c>
      <c r="I10" s="356" t="s">
        <v>1063</v>
      </c>
      <c r="J10" s="1754">
        <f>ROUND(D10+F10+H10,5)</f>
        <v>2.103E-2</v>
      </c>
      <c r="K10" s="222"/>
      <c r="L10" s="355">
        <f>0.04894/100</f>
        <v>4.8939999999999997E-4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5100374</v>
      </c>
      <c r="E16" s="356"/>
      <c r="F16" s="1755">
        <f>SUM('Acct Summary 7-8'!C17,'Acct Summary 7-8'!D17,'Acct Summary 7-8'!F17)</f>
        <v>4841557</v>
      </c>
      <c r="G16" s="356"/>
      <c r="H16" s="1755">
        <f>SUM(D16-F16)</f>
        <v>258817</v>
      </c>
      <c r="I16" s="222"/>
      <c r="J16" s="1755">
        <f>SUM('Acct Summary 7-8'!C81,'Acct Summary 7-8'!D81,'Acct Summary 7-8'!F81,'Acct Summary 7-8'!I81)</f>
        <v>3605123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5276200.6440000003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1845000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Cobden SUD 17</v>
      </c>
      <c r="E7" s="391"/>
      <c r="G7" s="252"/>
      <c r="H7" s="387"/>
      <c r="I7" s="387"/>
      <c r="J7" s="387"/>
      <c r="K7" s="387"/>
      <c r="L7" s="329"/>
      <c r="M7" s="329"/>
      <c r="N7" s="329"/>
      <c r="O7" s="329"/>
      <c r="P7" s="329"/>
    </row>
    <row r="8" spans="1:18" ht="12.75" x14ac:dyDescent="0.2">
      <c r="A8" s="329"/>
      <c r="B8" s="329"/>
      <c r="C8" s="389" t="s">
        <v>1187</v>
      </c>
      <c r="D8" s="392">
        <f>COVER!A13</f>
        <v>30091017022</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3605123</v>
      </c>
      <c r="I12" s="404"/>
      <c r="J12" s="404"/>
      <c r="K12" s="405">
        <f>TRUNC((H12/H13*100000),5)/100000</f>
        <v>0.7068350281000001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5100374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4841557</v>
      </c>
      <c r="I17" s="404"/>
      <c r="J17" s="416"/>
      <c r="K17" s="405">
        <f>TRUNC((H17/H18*100000),5)/100000</f>
        <v>0.94925528990000008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5100374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3605123</v>
      </c>
      <c r="I24" s="422"/>
      <c r="J24" s="422"/>
      <c r="K24" s="423">
        <f>TRUNC(((H24/H25*100000)/100000),2)</f>
        <v>268.06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13448.76944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683440.03341999999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1845000</v>
      </c>
      <c r="I32" s="420"/>
      <c r="J32" s="420"/>
      <c r="K32" s="423">
        <f>TRUNC(100-((((H32/H33*100))*100)/100),2)</f>
        <v>65.03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5276200.6440000003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D11" sqref="D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7790+520381+8000+2064770-558551</f>
        <v>2042390</v>
      </c>
      <c r="D4" s="466">
        <v>66410</v>
      </c>
      <c r="E4" s="466">
        <v>79230</v>
      </c>
      <c r="F4" s="466">
        <v>106014</v>
      </c>
      <c r="G4" s="466">
        <v>22887</v>
      </c>
      <c r="H4" s="466">
        <v>0</v>
      </c>
      <c r="I4" s="466">
        <v>311405</v>
      </c>
      <c r="J4" s="467">
        <v>0</v>
      </c>
      <c r="K4" s="466">
        <v>15943</v>
      </c>
      <c r="L4" s="466">
        <v>119581</v>
      </c>
      <c r="M4" s="468"/>
      <c r="N4" s="469"/>
    </row>
    <row r="5" spans="1:14" x14ac:dyDescent="0.2">
      <c r="A5" s="463" t="s">
        <v>1049</v>
      </c>
      <c r="B5" s="470">
        <v>120</v>
      </c>
      <c r="C5" s="465">
        <v>558551</v>
      </c>
      <c r="D5" s="466">
        <v>520353</v>
      </c>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2600941</v>
      </c>
      <c r="D13" s="1759">
        <f t="shared" ref="D13:L13" si="0">SUM(D4:D12)</f>
        <v>586763</v>
      </c>
      <c r="E13" s="1759">
        <f t="shared" si="0"/>
        <v>79230</v>
      </c>
      <c r="F13" s="1759">
        <f t="shared" si="0"/>
        <v>106014</v>
      </c>
      <c r="G13" s="1759">
        <f t="shared" si="0"/>
        <v>22887</v>
      </c>
      <c r="H13" s="1759">
        <f t="shared" si="0"/>
        <v>0</v>
      </c>
      <c r="I13" s="1759">
        <f t="shared" si="0"/>
        <v>311405</v>
      </c>
      <c r="J13" s="1759">
        <f t="shared" si="0"/>
        <v>0</v>
      </c>
      <c r="K13" s="1759">
        <f t="shared" si="0"/>
        <v>15943</v>
      </c>
      <c r="L13" s="1759">
        <f t="shared" si="0"/>
        <v>119581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106866</v>
      </c>
      <c r="N16" s="484"/>
    </row>
    <row r="17" spans="1:14" s="485" customFormat="1" ht="12.75" customHeight="1" x14ac:dyDescent="0.2">
      <c r="A17" s="482" t="s">
        <v>1470</v>
      </c>
      <c r="B17" s="483">
        <v>230</v>
      </c>
      <c r="C17" s="477"/>
      <c r="D17" s="477"/>
      <c r="E17" s="477"/>
      <c r="F17" s="477"/>
      <c r="G17" s="477"/>
      <c r="H17" s="477"/>
      <c r="I17" s="477"/>
      <c r="J17" s="477"/>
      <c r="K17" s="477"/>
      <c r="L17" s="477"/>
      <c r="M17" s="467">
        <v>10173526</v>
      </c>
      <c r="N17" s="484"/>
    </row>
    <row r="18" spans="1:14" s="485" customFormat="1" ht="12.75" customHeight="1" x14ac:dyDescent="0.2">
      <c r="A18" s="482" t="s">
        <v>1471</v>
      </c>
      <c r="B18" s="483">
        <v>240</v>
      </c>
      <c r="C18" s="477"/>
      <c r="D18" s="477"/>
      <c r="E18" s="477"/>
      <c r="F18" s="477"/>
      <c r="G18" s="477"/>
      <c r="H18" s="477"/>
      <c r="I18" s="477"/>
      <c r="J18" s="477"/>
      <c r="K18" s="477"/>
      <c r="L18" s="477"/>
      <c r="M18" s="467">
        <v>907663</v>
      </c>
      <c r="N18" s="484"/>
    </row>
    <row r="19" spans="1:14" s="485" customFormat="1" ht="12.75" customHeight="1" x14ac:dyDescent="0.2">
      <c r="A19" s="482" t="s">
        <v>1472</v>
      </c>
      <c r="B19" s="483">
        <v>250</v>
      </c>
      <c r="C19" s="477"/>
      <c r="D19" s="477"/>
      <c r="E19" s="477"/>
      <c r="F19" s="477"/>
      <c r="G19" s="477"/>
      <c r="H19" s="477"/>
      <c r="I19" s="477"/>
      <c r="J19" s="477"/>
      <c r="K19" s="477"/>
      <c r="L19" s="477"/>
      <c r="M19" s="467">
        <f>1057323+505+523567</f>
        <v>1581395</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79230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1765770</v>
      </c>
    </row>
    <row r="23" spans="1:14" ht="13.5" customHeight="1" thickBot="1" x14ac:dyDescent="0.25">
      <c r="A23" s="1758" t="s">
        <v>664</v>
      </c>
      <c r="B23" s="1763"/>
      <c r="C23" s="468"/>
      <c r="D23" s="468"/>
      <c r="E23" s="468"/>
      <c r="F23" s="468"/>
      <c r="G23" s="468"/>
      <c r="H23" s="468"/>
      <c r="I23" s="468"/>
      <c r="J23" s="468"/>
      <c r="K23" s="468"/>
      <c r="L23" s="468"/>
      <c r="M23" s="1710">
        <f>SUM(M15:M22)</f>
        <v>12769450</v>
      </c>
      <c r="N23" s="1710">
        <f>SUM(N21:N22)</f>
        <v>1845000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119581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119581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1845000</v>
      </c>
    </row>
    <row r="37" spans="1:14" ht="13.5" thickBot="1" x14ac:dyDescent="0.25">
      <c r="A37" s="1758" t="s">
        <v>674</v>
      </c>
      <c r="B37" s="1763"/>
      <c r="C37" s="477"/>
      <c r="D37" s="477"/>
      <c r="E37" s="477"/>
      <c r="F37" s="477"/>
      <c r="G37" s="477"/>
      <c r="H37" s="477"/>
      <c r="I37" s="477"/>
      <c r="J37" s="477"/>
      <c r="K37" s="477"/>
      <c r="L37" s="480"/>
      <c r="M37" s="468"/>
      <c r="N37" s="1710">
        <f>SUM(N36:N36)</f>
        <v>1845000</v>
      </c>
    </row>
    <row r="38" spans="1:14" s="329" customFormat="1" ht="13.5" customHeight="1" thickTop="1" x14ac:dyDescent="0.2">
      <c r="A38" s="496" t="s">
        <v>440</v>
      </c>
      <c r="B38" s="483">
        <v>714</v>
      </c>
      <c r="C38" s="466">
        <v>0</v>
      </c>
      <c r="D38" s="466">
        <v>0</v>
      </c>
      <c r="E38" s="466">
        <v>79230</v>
      </c>
      <c r="F38" s="466">
        <v>0</v>
      </c>
      <c r="G38" s="466">
        <v>22887</v>
      </c>
      <c r="H38" s="466">
        <v>0</v>
      </c>
      <c r="I38" s="466">
        <v>0</v>
      </c>
      <c r="J38" s="467">
        <v>0</v>
      </c>
      <c r="K38" s="466">
        <v>15943</v>
      </c>
      <c r="L38" s="481">
        <v>0</v>
      </c>
      <c r="M38" s="497"/>
      <c r="N38" s="497"/>
    </row>
    <row r="39" spans="1:14" s="329" customFormat="1" ht="13.5" customHeight="1" x14ac:dyDescent="0.2">
      <c r="A39" s="496" t="s">
        <v>360</v>
      </c>
      <c r="B39" s="483">
        <v>730</v>
      </c>
      <c r="C39" s="466">
        <v>2600941</v>
      </c>
      <c r="D39" s="466">
        <v>586763</v>
      </c>
      <c r="E39" s="466">
        <v>0</v>
      </c>
      <c r="F39" s="466">
        <v>106014</v>
      </c>
      <c r="G39" s="466">
        <v>0</v>
      </c>
      <c r="H39" s="466">
        <v>0</v>
      </c>
      <c r="I39" s="466">
        <v>311405</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12769450</v>
      </c>
      <c r="N40" s="497"/>
    </row>
    <row r="41" spans="1:14" ht="13.5" customHeight="1" thickBot="1" x14ac:dyDescent="0.25">
      <c r="A41" s="1758" t="s">
        <v>676</v>
      </c>
      <c r="B41" s="1728"/>
      <c r="C41" s="1710">
        <f>(SUM(C34,C37,C38,C39))</f>
        <v>2600941</v>
      </c>
      <c r="D41" s="1710">
        <f t="shared" ref="D41:L41" si="2">SUM(D34,D37,D38:D39)</f>
        <v>586763</v>
      </c>
      <c r="E41" s="1710">
        <f t="shared" si="2"/>
        <v>79230</v>
      </c>
      <c r="F41" s="1710">
        <f t="shared" si="2"/>
        <v>106014</v>
      </c>
      <c r="G41" s="1710">
        <f t="shared" si="2"/>
        <v>22887</v>
      </c>
      <c r="H41" s="1710">
        <f t="shared" si="2"/>
        <v>0</v>
      </c>
      <c r="I41" s="1710">
        <f t="shared" si="2"/>
        <v>311405</v>
      </c>
      <c r="J41" s="1710">
        <f t="shared" si="2"/>
        <v>0</v>
      </c>
      <c r="K41" s="1710">
        <f t="shared" si="2"/>
        <v>15943</v>
      </c>
      <c r="L41" s="1710">
        <f t="shared" si="2"/>
        <v>119581</v>
      </c>
      <c r="M41" s="1710">
        <f>SUM(M40)</f>
        <v>12769450</v>
      </c>
      <c r="N41" s="1710">
        <f>SUM(N37)</f>
        <v>1845000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688990</v>
      </c>
      <c r="D4" s="1764">
        <f>'Revenues 9-14'!D109</f>
        <v>162654</v>
      </c>
      <c r="E4" s="1764">
        <f>'Revenues 9-14'!E109</f>
        <v>227013</v>
      </c>
      <c r="F4" s="1764">
        <f>'Revenues 9-14'!F109</f>
        <v>64948</v>
      </c>
      <c r="G4" s="1764">
        <f>'Revenues 9-14'!G109</f>
        <v>123638</v>
      </c>
      <c r="H4" s="1764">
        <f>'Revenues 9-14'!H109</f>
        <v>0</v>
      </c>
      <c r="I4" s="1764">
        <f>'Revenues 9-14'!I109</f>
        <v>15660</v>
      </c>
      <c r="J4" s="1764">
        <f>'Revenues 9-14'!J109</f>
        <v>73792</v>
      </c>
      <c r="K4" s="1764">
        <f>'Revenues 9-14'!K109</f>
        <v>15315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3524311</v>
      </c>
      <c r="D6" s="1765">
        <f>'Revenues 9-14'!D173</f>
        <v>0</v>
      </c>
      <c r="E6" s="1765">
        <f>'Revenues 9-14'!E173</f>
        <v>0</v>
      </c>
      <c r="F6" s="1765">
        <f>'Revenues 9-14'!F173</f>
        <v>265866</v>
      </c>
      <c r="G6" s="1765">
        <f>'Revenues 9-14'!G173</f>
        <v>0</v>
      </c>
      <c r="H6" s="1765">
        <f>'Revenues 9-14'!H173</f>
        <v>0</v>
      </c>
      <c r="I6" s="1765">
        <f>'Revenues 9-14'!I173</f>
        <v>0</v>
      </c>
      <c r="J6" s="1765">
        <f>'Revenues 9-14'!J173</f>
        <v>8171</v>
      </c>
      <c r="K6" s="1765">
        <f>'Revenues 9-14'!K173</f>
        <v>0</v>
      </c>
      <c r="L6" s="347"/>
      <c r="M6" s="513"/>
    </row>
    <row r="7" spans="1:13" ht="15.75" customHeight="1" x14ac:dyDescent="0.2">
      <c r="A7" s="1598" t="s">
        <v>1582</v>
      </c>
      <c r="B7" s="1600">
        <v>4000</v>
      </c>
      <c r="C7" s="1765">
        <f>'Revenues 9-14'!C274</f>
        <v>377945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4591246</v>
      </c>
      <c r="D8" s="1710">
        <f t="shared" ref="D8:K8" si="0">SUM(D4:D7)</f>
        <v>162654</v>
      </c>
      <c r="E8" s="1710">
        <f t="shared" si="0"/>
        <v>227013</v>
      </c>
      <c r="F8" s="1710">
        <f t="shared" si="0"/>
        <v>330814</v>
      </c>
      <c r="G8" s="1710">
        <f t="shared" si="0"/>
        <v>123638</v>
      </c>
      <c r="H8" s="1710">
        <f t="shared" si="0"/>
        <v>0</v>
      </c>
      <c r="I8" s="1710">
        <f t="shared" si="0"/>
        <v>15660</v>
      </c>
      <c r="J8" s="1710">
        <f t="shared" si="0"/>
        <v>81963</v>
      </c>
      <c r="K8" s="1710">
        <f t="shared" si="0"/>
        <v>15315</v>
      </c>
      <c r="L8" s="347"/>
    </row>
    <row r="9" spans="1:13" ht="15.75" thickTop="1" x14ac:dyDescent="0.2">
      <c r="A9" s="514" t="s">
        <v>1752</v>
      </c>
      <c r="B9" s="515">
        <v>3998</v>
      </c>
      <c r="C9" s="481">
        <v>1889136</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6480382</v>
      </c>
      <c r="D10" s="1710">
        <f t="shared" ref="D10:K10" si="1">SUM(D8:D9)</f>
        <v>162654</v>
      </c>
      <c r="E10" s="1710">
        <f t="shared" si="1"/>
        <v>227013</v>
      </c>
      <c r="F10" s="1710">
        <f t="shared" si="1"/>
        <v>330814</v>
      </c>
      <c r="G10" s="1710">
        <f t="shared" si="1"/>
        <v>123638</v>
      </c>
      <c r="H10" s="1710">
        <f t="shared" si="1"/>
        <v>0</v>
      </c>
      <c r="I10" s="1710">
        <f t="shared" si="1"/>
        <v>15660</v>
      </c>
      <c r="J10" s="1710">
        <f t="shared" si="1"/>
        <v>81963</v>
      </c>
      <c r="K10" s="1710">
        <f t="shared" si="1"/>
        <v>15315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3052481</v>
      </c>
      <c r="D12" s="520" t="s">
        <v>1231</v>
      </c>
      <c r="E12" s="468" t="s">
        <v>1231</v>
      </c>
      <c r="F12" s="468" t="s">
        <v>1231</v>
      </c>
      <c r="G12" s="1764">
        <f>'Expenditures 15-22'!K229</f>
        <v>61422</v>
      </c>
      <c r="H12" s="521"/>
      <c r="I12" s="468" t="s">
        <v>1231</v>
      </c>
      <c r="J12" s="468" t="s">
        <v>1231</v>
      </c>
      <c r="K12" s="521" t="s">
        <v>1231</v>
      </c>
      <c r="L12" s="347"/>
    </row>
    <row r="13" spans="1:13" ht="15.75" customHeight="1" x14ac:dyDescent="0.2">
      <c r="A13" s="1598" t="s">
        <v>477</v>
      </c>
      <c r="B13" s="1600">
        <v>2000</v>
      </c>
      <c r="C13" s="1765">
        <f>'Expenditures 15-22'!K74</f>
        <v>1076990</v>
      </c>
      <c r="D13" s="1765">
        <f>'Expenditures 15-22'!K129</f>
        <v>199225</v>
      </c>
      <c r="E13" s="469" t="s">
        <v>1231</v>
      </c>
      <c r="F13" s="1765">
        <f>'Expenditures 15-22'!K184</f>
        <v>348146</v>
      </c>
      <c r="G13" s="1765">
        <f>'Expenditures 15-22'!K279</f>
        <v>83115</v>
      </c>
      <c r="H13" s="1765">
        <f>'Expenditures 15-22'!K303</f>
        <v>0</v>
      </c>
      <c r="I13" s="468" t="s">
        <v>1231</v>
      </c>
      <c r="J13" s="1765">
        <f>'Expenditures 15-22'!K330</f>
        <v>81963</v>
      </c>
      <c r="K13" s="1769">
        <f>'Expenditures 15-22'!K352</f>
        <v>0</v>
      </c>
      <c r="L13" s="347"/>
    </row>
    <row r="14" spans="1:13" ht="15.75" customHeight="1" x14ac:dyDescent="0.2">
      <c r="A14" s="1598" t="s">
        <v>469</v>
      </c>
      <c r="B14" s="1600">
        <v>3000</v>
      </c>
      <c r="C14" s="1765">
        <f>'Expenditures 15-22'!K75</f>
        <v>23826</v>
      </c>
      <c r="D14" s="1765">
        <f>'Expenditures 15-22'!K130</f>
        <v>0</v>
      </c>
      <c r="E14" s="520" t="s">
        <v>1231</v>
      </c>
      <c r="F14" s="1765">
        <f>'Expenditures 15-22'!K185</f>
        <v>0</v>
      </c>
      <c r="G14" s="1765">
        <f>'Expenditures 15-22'!K280</f>
        <v>2136</v>
      </c>
      <c r="H14" s="512"/>
      <c r="I14" s="468" t="s">
        <v>1231</v>
      </c>
      <c r="J14" s="468" t="s">
        <v>1231</v>
      </c>
      <c r="K14" s="512" t="s">
        <v>1231</v>
      </c>
      <c r="L14" s="347"/>
    </row>
    <row r="15" spans="1:13" ht="15.75" customHeight="1" x14ac:dyDescent="0.2">
      <c r="A15" s="1598" t="s">
        <v>109</v>
      </c>
      <c r="B15" s="1600">
        <v>4000</v>
      </c>
      <c r="C15" s="1765">
        <f>'Expenditures 15-22'!K102</f>
        <v>140889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2052453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4294186</v>
      </c>
      <c r="D17" s="1710">
        <f t="shared" si="2"/>
        <v>199225</v>
      </c>
      <c r="E17" s="1710">
        <f t="shared" si="2"/>
        <v>2052453</v>
      </c>
      <c r="F17" s="1710">
        <f t="shared" si="2"/>
        <v>348146</v>
      </c>
      <c r="G17" s="1710">
        <f t="shared" si="2"/>
        <v>146673</v>
      </c>
      <c r="H17" s="1710">
        <f t="shared" si="2"/>
        <v>0</v>
      </c>
      <c r="I17" s="468"/>
      <c r="J17" s="1710">
        <f>SUM(J12:J16)</f>
        <v>81963</v>
      </c>
      <c r="K17" s="1710">
        <f>SUM(K12:K16)</f>
        <v>0</v>
      </c>
      <c r="L17" s="347"/>
    </row>
    <row r="18" spans="1:12" ht="15" customHeight="1" thickTop="1" x14ac:dyDescent="0.2">
      <c r="A18" s="1766" t="s">
        <v>1753</v>
      </c>
      <c r="B18" s="1767">
        <v>4180</v>
      </c>
      <c r="C18" s="1764">
        <f t="shared" ref="C18:H18" si="3">C9</f>
        <v>1889136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6183322</v>
      </c>
      <c r="D19" s="1710">
        <f t="shared" si="4"/>
        <v>199225</v>
      </c>
      <c r="E19" s="1710">
        <f t="shared" si="4"/>
        <v>2052453</v>
      </c>
      <c r="F19" s="1710">
        <f t="shared" si="4"/>
        <v>348146</v>
      </c>
      <c r="G19" s="1710">
        <f t="shared" si="4"/>
        <v>146673</v>
      </c>
      <c r="H19" s="1710">
        <f t="shared" si="4"/>
        <v>0</v>
      </c>
      <c r="I19" s="468"/>
      <c r="J19" s="1710">
        <f>SUM(J17:J18)</f>
        <v>81963</v>
      </c>
      <c r="K19" s="1710">
        <f>SUM(K17:K18)</f>
        <v>0</v>
      </c>
      <c r="L19" s="347"/>
    </row>
    <row r="20" spans="1:12" ht="16.5" thickTop="1" thickBot="1" x14ac:dyDescent="0.25">
      <c r="A20" s="2144" t="s">
        <v>1754</v>
      </c>
      <c r="B20" s="2145"/>
      <c r="C20" s="1768">
        <f>C8-C17</f>
        <v>297060</v>
      </c>
      <c r="D20" s="1768">
        <f t="shared" ref="D20:K20" si="5">D8-D17</f>
        <v>-36571</v>
      </c>
      <c r="E20" s="1768">
        <f t="shared" si="5"/>
        <v>-1825440</v>
      </c>
      <c r="F20" s="1768">
        <f t="shared" si="5"/>
        <v>-17332</v>
      </c>
      <c r="G20" s="1768">
        <f t="shared" si="5"/>
        <v>-23035</v>
      </c>
      <c r="H20" s="1768">
        <f t="shared" si="5"/>
        <v>0</v>
      </c>
      <c r="I20" s="1768">
        <f t="shared" si="5"/>
        <v>15660</v>
      </c>
      <c r="J20" s="1768">
        <f t="shared" si="5"/>
        <v>0</v>
      </c>
      <c r="K20" s="1768">
        <f t="shared" si="5"/>
        <v>15315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1845000</v>
      </c>
      <c r="F33" s="467">
        <v>0</v>
      </c>
      <c r="G33" s="477"/>
      <c r="H33" s="467">
        <v>0</v>
      </c>
      <c r="I33" s="467">
        <v>0</v>
      </c>
      <c r="J33" s="467">
        <v>0</v>
      </c>
      <c r="K33" s="467">
        <v>0</v>
      </c>
      <c r="L33" s="524"/>
    </row>
    <row r="34" spans="1:12" s="485" customFormat="1" x14ac:dyDescent="0.2">
      <c r="A34" s="1511" t="s">
        <v>1058</v>
      </c>
      <c r="B34" s="525">
        <v>7220</v>
      </c>
      <c r="C34" s="467">
        <v>0</v>
      </c>
      <c r="D34" s="467">
        <v>0</v>
      </c>
      <c r="E34" s="467">
        <v>67036</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0</v>
      </c>
      <c r="E44" s="1725">
        <f t="shared" si="6"/>
        <v>1912036</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67036</v>
      </c>
      <c r="F75" s="532">
        <v>0</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67036</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1845000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297060</v>
      </c>
      <c r="D78" s="1724">
        <f t="shared" si="9"/>
        <v>-36571</v>
      </c>
      <c r="E78" s="1724">
        <f t="shared" si="9"/>
        <v>19560</v>
      </c>
      <c r="F78" s="1724">
        <f t="shared" si="9"/>
        <v>-17332</v>
      </c>
      <c r="G78" s="1724">
        <f t="shared" si="9"/>
        <v>-23035</v>
      </c>
      <c r="H78" s="1724">
        <f t="shared" si="9"/>
        <v>0</v>
      </c>
      <c r="I78" s="1724">
        <f t="shared" si="9"/>
        <v>15660</v>
      </c>
      <c r="J78" s="1724">
        <f t="shared" si="9"/>
        <v>0</v>
      </c>
      <c r="K78" s="1724">
        <f t="shared" si="9"/>
        <v>15315</v>
      </c>
      <c r="L78" s="533"/>
    </row>
    <row r="79" spans="1:12" ht="13.5" thickTop="1" x14ac:dyDescent="0.2">
      <c r="A79" s="1516" t="s">
        <v>2071</v>
      </c>
      <c r="B79" s="534"/>
      <c r="C79" s="478">
        <v>2303881</v>
      </c>
      <c r="D79" s="535">
        <v>623334</v>
      </c>
      <c r="E79" s="535">
        <v>59670</v>
      </c>
      <c r="F79" s="535">
        <v>123346</v>
      </c>
      <c r="G79" s="535">
        <v>45922</v>
      </c>
      <c r="H79" s="535">
        <v>0</v>
      </c>
      <c r="I79" s="535">
        <v>295745</v>
      </c>
      <c r="J79" s="535">
        <v>0</v>
      </c>
      <c r="K79" s="535">
        <v>628</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2600941</v>
      </c>
      <c r="D81" s="1710">
        <f>SUM(D78:D80)</f>
        <v>586763</v>
      </c>
      <c r="E81" s="1710">
        <f t="shared" ref="E81:K81" si="10">SUM(E78:E80)</f>
        <v>79230</v>
      </c>
      <c r="F81" s="1710">
        <f t="shared" si="10"/>
        <v>106014</v>
      </c>
      <c r="G81" s="1710">
        <f t="shared" si="10"/>
        <v>22887</v>
      </c>
      <c r="H81" s="1710">
        <f t="shared" si="10"/>
        <v>0</v>
      </c>
      <c r="I81" s="1710">
        <f t="shared" si="10"/>
        <v>311405</v>
      </c>
      <c r="J81" s="1710">
        <f t="shared" si="10"/>
        <v>0</v>
      </c>
      <c r="K81" s="1710">
        <f t="shared" si="10"/>
        <v>15943</v>
      </c>
      <c r="L81" s="347"/>
    </row>
    <row r="82" spans="1:12" ht="0.75" customHeight="1" thickTop="1" thickBot="1" x14ac:dyDescent="0.25">
      <c r="A82" s="536" t="s">
        <v>361</v>
      </c>
      <c r="B82" s="537"/>
      <c r="C82" s="538">
        <f>(C81-C79)</f>
        <v>297060</v>
      </c>
      <c r="D82" s="538">
        <f t="shared" ref="D82:K82" si="11">(D81-D79)</f>
        <v>-36571</v>
      </c>
      <c r="E82" s="538">
        <f t="shared" si="11"/>
        <v>19560</v>
      </c>
      <c r="F82" s="538">
        <f t="shared" si="11"/>
        <v>-17332</v>
      </c>
      <c r="G82" s="538">
        <f t="shared" si="11"/>
        <v>-23035</v>
      </c>
      <c r="H82" s="538">
        <f t="shared" si="11"/>
        <v>0</v>
      </c>
      <c r="I82" s="538">
        <f t="shared" si="11"/>
        <v>15660</v>
      </c>
      <c r="J82" s="538">
        <f t="shared" si="11"/>
        <v>0</v>
      </c>
      <c r="K82" s="538">
        <f t="shared" si="11"/>
        <v>15315</v>
      </c>
    </row>
    <row r="83" spans="1:12" ht="14.25" hidden="1" thickTop="1" thickBot="1" x14ac:dyDescent="0.25">
      <c r="A83" s="539" t="s">
        <v>362</v>
      </c>
      <c r="B83" s="464"/>
      <c r="C83" s="540">
        <f>C82/C81</f>
        <v>0.11421251001079993</v>
      </c>
      <c r="D83" s="540">
        <f t="shared" ref="D83:K83" si="12">D82/D81</f>
        <v>-6.23266974911506E-2</v>
      </c>
      <c r="E83" s="540">
        <f t="shared" si="12"/>
        <v>0.24687618326391519</v>
      </c>
      <c r="F83" s="540">
        <f t="shared" si="12"/>
        <v>-0.16348784122851698</v>
      </c>
      <c r="G83" s="540">
        <f t="shared" si="12"/>
        <v>-1.0064665530650587</v>
      </c>
      <c r="H83" s="540" t="e">
        <f t="shared" si="12"/>
        <v>#DIV/0!</v>
      </c>
      <c r="I83" s="540">
        <f t="shared" si="12"/>
        <v>5.028820988744561E-2</v>
      </c>
      <c r="J83" s="540" t="e">
        <f t="shared" si="12"/>
        <v>#DIV/0!</v>
      </c>
      <c r="K83" s="540">
        <f t="shared" si="12"/>
        <v>0.9606096719563445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497098+5558</f>
        <v>502656</v>
      </c>
      <c r="D5" s="481">
        <f>144165+1614</f>
        <v>145779</v>
      </c>
      <c r="E5" s="466">
        <f>224472+2429</f>
        <v>226901</v>
      </c>
      <c r="F5" s="548">
        <f>64076+717</f>
        <v>64793</v>
      </c>
      <c r="G5" s="466">
        <f>51617+578</f>
        <v>52195</v>
      </c>
      <c r="H5" s="466">
        <v>0</v>
      </c>
      <c r="I5" s="466">
        <f>15131+170</f>
        <v>15301</v>
      </c>
      <c r="J5" s="467">
        <f>72975+817</f>
        <v>73792</v>
      </c>
      <c r="K5" s="466">
        <f>15131+170</f>
        <v>15301</v>
      </c>
    </row>
    <row r="6" spans="1:12" ht="15" x14ac:dyDescent="0.2">
      <c r="A6" s="463" t="s">
        <v>1761</v>
      </c>
      <c r="B6" s="470">
        <v>1130</v>
      </c>
      <c r="C6" s="466"/>
      <c r="D6" s="466"/>
      <c r="E6" s="475"/>
      <c r="F6" s="475"/>
      <c r="G6" s="468"/>
      <c r="H6" s="468"/>
      <c r="I6" s="468"/>
      <c r="J6" s="468"/>
      <c r="K6" s="468"/>
    </row>
    <row r="7" spans="1:12" x14ac:dyDescent="0.2">
      <c r="A7" s="463" t="s">
        <v>112</v>
      </c>
      <c r="B7" s="549">
        <v>1140</v>
      </c>
      <c r="C7" s="466">
        <f>13231+160</f>
        <v>13391</v>
      </c>
      <c r="D7" s="466"/>
      <c r="E7" s="468"/>
      <c r="F7" s="467"/>
      <c r="G7" s="467"/>
      <c r="H7" s="467"/>
      <c r="I7" s="468"/>
      <c r="J7" s="468"/>
      <c r="K7" s="468"/>
    </row>
    <row r="8" spans="1:12" x14ac:dyDescent="0.2">
      <c r="A8" s="463" t="s">
        <v>433</v>
      </c>
      <c r="B8" s="470">
        <v>1150</v>
      </c>
      <c r="C8" s="475"/>
      <c r="D8" s="475"/>
      <c r="E8" s="477"/>
      <c r="F8" s="477"/>
      <c r="G8" s="481">
        <f>64076+717</f>
        <v>64793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516047</v>
      </c>
      <c r="D12" s="1729">
        <f t="shared" si="0"/>
        <v>145779</v>
      </c>
      <c r="E12" s="1729">
        <f t="shared" si="0"/>
        <v>226901</v>
      </c>
      <c r="F12" s="1729">
        <f t="shared" si="0"/>
        <v>64793</v>
      </c>
      <c r="G12" s="1729">
        <f t="shared" si="0"/>
        <v>116988</v>
      </c>
      <c r="H12" s="1729">
        <f t="shared" si="0"/>
        <v>0</v>
      </c>
      <c r="I12" s="1729">
        <f t="shared" si="0"/>
        <v>15301</v>
      </c>
      <c r="J12" s="1729">
        <f t="shared" si="0"/>
        <v>73792</v>
      </c>
      <c r="K12" s="1710">
        <f t="shared" si="0"/>
        <v>15301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57928</v>
      </c>
      <c r="D16" s="466"/>
      <c r="E16" s="466"/>
      <c r="F16" s="466"/>
      <c r="G16" s="466">
        <v>6591</v>
      </c>
      <c r="H16" s="466"/>
      <c r="I16" s="466"/>
      <c r="J16" s="467"/>
      <c r="K16" s="466"/>
    </row>
    <row r="17" spans="1:11" ht="12.75" customHeight="1" x14ac:dyDescent="0.2">
      <c r="A17" s="463" t="s">
        <v>840</v>
      </c>
      <c r="B17" s="470">
        <v>1290</v>
      </c>
      <c r="C17" s="551">
        <v>128</v>
      </c>
      <c r="D17" s="466"/>
      <c r="E17" s="466"/>
      <c r="F17" s="466"/>
      <c r="G17" s="466"/>
      <c r="H17" s="466"/>
      <c r="I17" s="466"/>
      <c r="J17" s="467"/>
      <c r="K17" s="466"/>
    </row>
    <row r="18" spans="1:11" ht="12.75" customHeight="1" thickBot="1" x14ac:dyDescent="0.25">
      <c r="A18" s="1730" t="s">
        <v>558</v>
      </c>
      <c r="B18" s="1731"/>
      <c r="C18" s="1732">
        <f>SUM(C14:C17)</f>
        <v>58056</v>
      </c>
      <c r="D18" s="1732">
        <f t="shared" ref="D18:K18" si="1">SUM(D14:D17)</f>
        <v>0</v>
      </c>
      <c r="E18" s="1732">
        <f t="shared" si="1"/>
        <v>0</v>
      </c>
      <c r="F18" s="1732">
        <f t="shared" si="1"/>
        <v>0</v>
      </c>
      <c r="G18" s="1732">
        <f t="shared" si="1"/>
        <v>6591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17920</v>
      </c>
      <c r="D65" s="466">
        <v>10448</v>
      </c>
      <c r="E65" s="466">
        <v>112</v>
      </c>
      <c r="F65" s="467">
        <v>155</v>
      </c>
      <c r="G65" s="466">
        <v>59</v>
      </c>
      <c r="H65" s="466"/>
      <c r="I65" s="466">
        <v>359</v>
      </c>
      <c r="J65" s="467"/>
      <c r="K65" s="466">
        <v>14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17920</v>
      </c>
      <c r="D67" s="1710">
        <f t="shared" ref="D67:K67" si="2">SUM(D65:D66)</f>
        <v>10448</v>
      </c>
      <c r="E67" s="1710">
        <f t="shared" si="2"/>
        <v>112</v>
      </c>
      <c r="F67" s="1710">
        <f t="shared" si="2"/>
        <v>155</v>
      </c>
      <c r="G67" s="1710">
        <f t="shared" si="2"/>
        <v>59</v>
      </c>
      <c r="H67" s="1710">
        <f t="shared" si="2"/>
        <v>0</v>
      </c>
      <c r="I67" s="1710">
        <f t="shared" si="2"/>
        <v>359</v>
      </c>
      <c r="J67" s="1710">
        <f t="shared" si="2"/>
        <v>0</v>
      </c>
      <c r="K67" s="1710">
        <f t="shared" si="2"/>
        <v>14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14799</v>
      </c>
      <c r="D69" s="468"/>
      <c r="E69" s="468"/>
      <c r="F69" s="468"/>
      <c r="G69" s="468"/>
      <c r="H69" s="468"/>
      <c r="I69" s="468"/>
      <c r="J69" s="468"/>
      <c r="K69" s="468"/>
    </row>
    <row r="70" spans="1:11" ht="12.75" customHeight="1" x14ac:dyDescent="0.2">
      <c r="A70" s="463" t="s">
        <v>1054</v>
      </c>
      <c r="B70" s="470">
        <v>1612</v>
      </c>
      <c r="C70" s="551">
        <v>819</v>
      </c>
      <c r="D70" s="468"/>
      <c r="E70" s="468"/>
      <c r="F70" s="468"/>
      <c r="G70" s="468"/>
      <c r="H70" s="468"/>
      <c r="I70" s="468"/>
      <c r="J70" s="468"/>
      <c r="K70" s="468"/>
    </row>
    <row r="71" spans="1:11" ht="12.75" customHeight="1" x14ac:dyDescent="0.2">
      <c r="A71" s="463" t="s">
        <v>291</v>
      </c>
      <c r="B71" s="470">
        <v>1613</v>
      </c>
      <c r="C71" s="551">
        <v>1802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3003</v>
      </c>
      <c r="D73" s="468"/>
      <c r="E73" s="468"/>
      <c r="F73" s="468"/>
      <c r="G73" s="468"/>
      <c r="H73" s="468"/>
      <c r="I73" s="468"/>
      <c r="J73" s="468"/>
      <c r="K73" s="468"/>
    </row>
    <row r="74" spans="1:11" ht="12.75" customHeight="1" x14ac:dyDescent="0.2">
      <c r="A74" s="463" t="s">
        <v>25</v>
      </c>
      <c r="B74" s="470">
        <v>1690</v>
      </c>
      <c r="C74" s="551">
        <v>13026</v>
      </c>
      <c r="D74" s="468"/>
      <c r="E74" s="468"/>
      <c r="F74" s="468"/>
      <c r="G74" s="468"/>
      <c r="H74" s="468"/>
      <c r="I74" s="468"/>
      <c r="J74" s="468"/>
      <c r="K74" s="468"/>
    </row>
    <row r="75" spans="1:11" ht="12.75" customHeight="1" thickBot="1" x14ac:dyDescent="0.25">
      <c r="A75" s="1730" t="s">
        <v>569</v>
      </c>
      <c r="B75" s="1731"/>
      <c r="C75" s="1710">
        <f>SUM(C69:C74)</f>
        <v>33449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26810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26810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8600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16</v>
      </c>
      <c r="D92" s="468"/>
      <c r="E92" s="468"/>
      <c r="F92" s="468"/>
      <c r="G92" s="468"/>
      <c r="H92" s="468"/>
      <c r="I92" s="468"/>
      <c r="J92" s="468"/>
      <c r="K92" s="468"/>
    </row>
    <row r="93" spans="1:11" ht="12.75" customHeight="1" thickBot="1" x14ac:dyDescent="0.25">
      <c r="A93" s="1730" t="s">
        <v>261</v>
      </c>
      <c r="B93" s="1731"/>
      <c r="C93" s="1710">
        <f>SUM(C84:C92)</f>
        <v>8616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6000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4495</v>
      </c>
      <c r="D99" s="466">
        <v>337</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f>7152+71</f>
        <v>7223</v>
      </c>
      <c r="D106" s="489"/>
      <c r="E106" s="467"/>
      <c r="F106" s="467"/>
      <c r="G106" s="467"/>
      <c r="H106" s="467"/>
      <c r="I106" s="521"/>
      <c r="J106" s="467"/>
      <c r="K106" s="467"/>
    </row>
    <row r="107" spans="1:12" ht="12.75" customHeight="1" x14ac:dyDescent="0.2">
      <c r="A107" s="463" t="s">
        <v>80</v>
      </c>
      <c r="B107" s="470">
        <v>1999</v>
      </c>
      <c r="C107" s="551">
        <f>14755+1619</f>
        <v>16374</v>
      </c>
      <c r="D107" s="466">
        <v>90</v>
      </c>
      <c r="E107" s="466"/>
      <c r="F107" s="466"/>
      <c r="G107" s="466"/>
      <c r="H107" s="466"/>
      <c r="I107" s="466"/>
      <c r="J107" s="467"/>
      <c r="K107" s="466"/>
    </row>
    <row r="108" spans="1:12" ht="12.75" customHeight="1" thickBot="1" x14ac:dyDescent="0.25">
      <c r="A108" s="1730" t="s">
        <v>508</v>
      </c>
      <c r="B108" s="1734"/>
      <c r="C108" s="1729">
        <f>SUM(C95:C107)</f>
        <v>28092</v>
      </c>
      <c r="D108" s="1729">
        <f t="shared" ref="D108:K108" si="3">SUM(D95:D107)</f>
        <v>6427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688990</v>
      </c>
      <c r="D109" s="1737">
        <f t="shared" si="4"/>
        <v>162654</v>
      </c>
      <c r="E109" s="1737">
        <f t="shared" si="4"/>
        <v>227013</v>
      </c>
      <c r="F109" s="1737">
        <f t="shared" si="4"/>
        <v>64948</v>
      </c>
      <c r="G109" s="1737">
        <f t="shared" si="4"/>
        <v>123638</v>
      </c>
      <c r="H109" s="1737">
        <f t="shared" si="4"/>
        <v>0</v>
      </c>
      <c r="I109" s="1737">
        <f t="shared" si="4"/>
        <v>15660</v>
      </c>
      <c r="J109" s="1737">
        <f t="shared" si="4"/>
        <v>73792</v>
      </c>
      <c r="K109" s="1724">
        <f t="shared" si="4"/>
        <v>15315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3277917</v>
      </c>
      <c r="D117" s="481"/>
      <c r="E117" s="466"/>
      <c r="F117" s="481"/>
      <c r="G117" s="481"/>
      <c r="H117" s="466"/>
      <c r="I117" s="468"/>
      <c r="J117" s="467">
        <v>8171</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3277917</v>
      </c>
      <c r="D121" s="1729">
        <f t="shared" si="5"/>
        <v>0</v>
      </c>
      <c r="E121" s="1729">
        <f t="shared" si="5"/>
        <v>0</v>
      </c>
      <c r="F121" s="1729">
        <f t="shared" si="5"/>
        <v>0</v>
      </c>
      <c r="G121" s="1729">
        <f t="shared" si="5"/>
        <v>0</v>
      </c>
      <c r="H121" s="1729">
        <f t="shared" si="5"/>
        <v>0</v>
      </c>
      <c r="I121" s="468"/>
      <c r="J121" s="1729">
        <f>SUM(J117:J120)</f>
        <v>8171</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38341</v>
      </c>
      <c r="D125" s="561"/>
      <c r="E125" s="468"/>
      <c r="F125" s="466"/>
      <c r="G125" s="468"/>
      <c r="H125" s="468"/>
      <c r="I125" s="468"/>
      <c r="J125" s="468"/>
      <c r="K125" s="468"/>
    </row>
    <row r="126" spans="1:11" ht="12.75" customHeight="1" x14ac:dyDescent="0.2">
      <c r="A126" s="463" t="s">
        <v>922</v>
      </c>
      <c r="B126" s="562">
        <v>3110</v>
      </c>
      <c r="C126" s="551">
        <v>42429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80770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2171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2171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18665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18665</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2569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9005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133028</v>
      </c>
      <c r="G151" s="467"/>
      <c r="H151" s="468"/>
      <c r="I151" s="468"/>
      <c r="J151" s="468"/>
      <c r="K151" s="468"/>
    </row>
    <row r="152" spans="1:11" ht="12.75" customHeight="1" x14ac:dyDescent="0.2">
      <c r="A152" s="463" t="s">
        <v>1117</v>
      </c>
      <c r="B152" s="562">
        <v>3510</v>
      </c>
      <c r="C152" s="551"/>
      <c r="D152" s="466"/>
      <c r="E152" s="561"/>
      <c r="F152" s="466">
        <v>132838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265866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104123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f>28675+416</f>
        <v>29091</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246394</v>
      </c>
      <c r="D172" s="1744">
        <f t="shared" si="6"/>
        <v>0</v>
      </c>
      <c r="E172" s="1744">
        <f t="shared" si="6"/>
        <v>0</v>
      </c>
      <c r="F172" s="1744">
        <f t="shared" si="6"/>
        <v>265866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3524311</v>
      </c>
      <c r="D173" s="1737">
        <f>SUM(D121,D172)</f>
        <v>0</v>
      </c>
      <c r="E173" s="1737">
        <f>SUM(E121,E172)</f>
        <v>0</v>
      </c>
      <c r="F173" s="1737">
        <f t="shared" ref="F173:K173" si="7">SUM(F121,F172)</f>
        <v>265866</v>
      </c>
      <c r="G173" s="1737">
        <f t="shared" si="7"/>
        <v>0</v>
      </c>
      <c r="H173" s="1737">
        <f t="shared" si="7"/>
        <v>0</v>
      </c>
      <c r="I173" s="1737">
        <f t="shared" si="7"/>
        <v>0</v>
      </c>
      <c r="J173" s="1737">
        <f t="shared" si="7"/>
        <v>8171</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139449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32753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172202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143964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143964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17734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15859</v>
      </c>
      <c r="D270" s="576"/>
      <c r="E270" s="468"/>
      <c r="F270" s="576"/>
      <c r="G270" s="576"/>
      <c r="H270" s="468"/>
      <c r="I270" s="468"/>
      <c r="J270" s="468"/>
      <c r="K270" s="468"/>
    </row>
    <row r="271" spans="1:11" ht="12.75" customHeight="1" thickTop="1" thickBot="1" x14ac:dyDescent="0.25">
      <c r="A271" s="463" t="s">
        <v>395</v>
      </c>
      <c r="B271" s="470">
        <v>4992</v>
      </c>
      <c r="C271" s="575">
        <v>28186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377945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377945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4591246</v>
      </c>
      <c r="D275" s="1737">
        <f t="shared" si="12"/>
        <v>162654</v>
      </c>
      <c r="E275" s="1737">
        <f t="shared" si="12"/>
        <v>227013</v>
      </c>
      <c r="F275" s="1737">
        <f t="shared" si="12"/>
        <v>330814</v>
      </c>
      <c r="G275" s="1737">
        <f t="shared" si="12"/>
        <v>123638</v>
      </c>
      <c r="H275" s="1737">
        <f t="shared" si="12"/>
        <v>0</v>
      </c>
      <c r="I275" s="1737">
        <f t="shared" si="12"/>
        <v>15660</v>
      </c>
      <c r="J275" s="1737">
        <f t="shared" si="12"/>
        <v>81963</v>
      </c>
      <c r="K275" s="1724">
        <f t="shared" si="12"/>
        <v>15315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26"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761304+69+25881+36148+313213+399673</f>
        <v>1536288</v>
      </c>
      <c r="D5" s="466">
        <f>96435+35925+3000+3762+41257+14570+50323+31028</f>
        <v>276300</v>
      </c>
      <c r="E5" s="466">
        <f>80+33254+500+4154+28723</f>
        <v>66711</v>
      </c>
      <c r="F5" s="466">
        <f>9045+2164+4781+18562+5451</f>
        <v>40003</v>
      </c>
      <c r="G5" s="466">
        <v>63994</v>
      </c>
      <c r="H5" s="466"/>
      <c r="I5" s="467"/>
      <c r="J5" s="467"/>
      <c r="K5" s="1693">
        <f>SUM(C5:J5)</f>
        <v>1983296</v>
      </c>
      <c r="L5" s="466">
        <v>1825377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55987</v>
      </c>
      <c r="D7" s="467">
        <f>8430+24</f>
        <v>8454</v>
      </c>
      <c r="E7" s="467">
        <v>9023</v>
      </c>
      <c r="F7" s="467">
        <v>9214</v>
      </c>
      <c r="G7" s="467">
        <v>15142</v>
      </c>
      <c r="H7" s="467">
        <v>80</v>
      </c>
      <c r="I7" s="467"/>
      <c r="J7" s="467"/>
      <c r="K7" s="1693">
        <f t="shared" ref="K7:K32" si="0">SUM(C7:J7)</f>
        <v>97900</v>
      </c>
      <c r="L7" s="466">
        <v>104830</v>
      </c>
    </row>
    <row r="8" spans="1:14" x14ac:dyDescent="0.2">
      <c r="A8" s="1526" t="s">
        <v>166</v>
      </c>
      <c r="B8" s="615">
        <v>1200</v>
      </c>
      <c r="C8" s="466">
        <v>342864</v>
      </c>
      <c r="D8" s="466">
        <f>33233+25972</f>
        <v>59205</v>
      </c>
      <c r="E8" s="466">
        <v>20533</v>
      </c>
      <c r="F8" s="466">
        <v>4177</v>
      </c>
      <c r="G8" s="466"/>
      <c r="H8" s="466"/>
      <c r="I8" s="467"/>
      <c r="J8" s="467"/>
      <c r="K8" s="1693">
        <f t="shared" si="0"/>
        <v>426779</v>
      </c>
      <c r="L8" s="466">
        <v>441627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5032</v>
      </c>
      <c r="D10" s="466">
        <v>1037</v>
      </c>
      <c r="E10" s="466">
        <v>41536</v>
      </c>
      <c r="F10" s="466">
        <v>70573</v>
      </c>
      <c r="G10" s="466">
        <v>16317</v>
      </c>
      <c r="H10" s="466"/>
      <c r="I10" s="467"/>
      <c r="J10" s="467"/>
      <c r="K10" s="1693">
        <f t="shared" si="0"/>
        <v>134495</v>
      </c>
      <c r="L10" s="466">
        <v>117909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124571</v>
      </c>
      <c r="D13" s="466">
        <f>16040+12719</f>
        <v>28759</v>
      </c>
      <c r="E13" s="466">
        <v>323</v>
      </c>
      <c r="F13" s="466">
        <v>6409</v>
      </c>
      <c r="G13" s="466">
        <v>2448</v>
      </c>
      <c r="H13" s="466"/>
      <c r="I13" s="467"/>
      <c r="J13" s="467"/>
      <c r="K13" s="1693">
        <f t="shared" si="0"/>
        <v>162510</v>
      </c>
      <c r="L13" s="466">
        <v>162976</v>
      </c>
    </row>
    <row r="14" spans="1:14" x14ac:dyDescent="0.2">
      <c r="A14" s="1526" t="s">
        <v>1020</v>
      </c>
      <c r="B14" s="615">
        <v>1500</v>
      </c>
      <c r="C14" s="466">
        <v>56505</v>
      </c>
      <c r="D14" s="466">
        <v>2922</v>
      </c>
      <c r="E14" s="466">
        <v>35852</v>
      </c>
      <c r="F14" s="466">
        <v>18368</v>
      </c>
      <c r="G14" s="466"/>
      <c r="H14" s="466"/>
      <c r="I14" s="467"/>
      <c r="J14" s="467"/>
      <c r="K14" s="1693">
        <f t="shared" si="0"/>
        <v>113647</v>
      </c>
      <c r="L14" s="466">
        <v>103430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24625</v>
      </c>
      <c r="D17" s="467">
        <f>2075+12</f>
        <v>2087</v>
      </c>
      <c r="E17" s="467">
        <v>3009</v>
      </c>
      <c r="F17" s="467">
        <v>375</v>
      </c>
      <c r="G17" s="467"/>
      <c r="H17" s="467"/>
      <c r="I17" s="467"/>
      <c r="J17" s="467"/>
      <c r="K17" s="1693">
        <f t="shared" si="0"/>
        <v>30096</v>
      </c>
      <c r="L17" s="466">
        <v>29845</v>
      </c>
    </row>
    <row r="18" spans="1:12" x14ac:dyDescent="0.2">
      <c r="A18" s="1526" t="s">
        <v>1148</v>
      </c>
      <c r="B18" s="615">
        <v>1800</v>
      </c>
      <c r="C18" s="466">
        <v>94873</v>
      </c>
      <c r="D18" s="466">
        <f>8048+36</f>
        <v>8084</v>
      </c>
      <c r="E18" s="466"/>
      <c r="F18" s="466">
        <v>801</v>
      </c>
      <c r="G18" s="466"/>
      <c r="H18" s="466"/>
      <c r="I18" s="467"/>
      <c r="J18" s="467"/>
      <c r="K18" s="1693">
        <f t="shared" si="0"/>
        <v>103758</v>
      </c>
      <c r="L18" s="466">
        <v>102443</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2240745</v>
      </c>
      <c r="D33" s="1692">
        <f t="shared" ref="D33:L33" si="1">SUM(D5:D32)</f>
        <v>386848</v>
      </c>
      <c r="E33" s="1692">
        <f t="shared" si="1"/>
        <v>176987</v>
      </c>
      <c r="F33" s="1692">
        <f t="shared" si="1"/>
        <v>149920</v>
      </c>
      <c r="G33" s="1692">
        <f t="shared" si="1"/>
        <v>97901</v>
      </c>
      <c r="H33" s="1692">
        <f t="shared" si="1"/>
        <v>80</v>
      </c>
      <c r="I33" s="1692">
        <f t="shared" si="1"/>
        <v>0</v>
      </c>
      <c r="J33" s="1692">
        <f t="shared" si="1"/>
        <v>0</v>
      </c>
      <c r="K33" s="1692">
        <f t="shared" si="1"/>
        <v>3052481</v>
      </c>
      <c r="L33" s="1692">
        <f t="shared" si="1"/>
        <v>2888437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33503</v>
      </c>
      <c r="D37" s="466">
        <f>4857+10</f>
        <v>4867</v>
      </c>
      <c r="E37" s="466"/>
      <c r="F37" s="466">
        <v>3473</v>
      </c>
      <c r="G37" s="466"/>
      <c r="H37" s="466"/>
      <c r="I37" s="467"/>
      <c r="J37" s="467"/>
      <c r="K37" s="1693">
        <f t="shared" si="2"/>
        <v>41843</v>
      </c>
      <c r="L37" s="466">
        <v>49284</v>
      </c>
    </row>
    <row r="38" spans="1:14" x14ac:dyDescent="0.2">
      <c r="A38" s="1526" t="s">
        <v>207</v>
      </c>
      <c r="B38" s="615">
        <v>2130</v>
      </c>
      <c r="C38" s="466">
        <v>37675</v>
      </c>
      <c r="D38" s="466">
        <v>10</v>
      </c>
      <c r="E38" s="466">
        <v>2182</v>
      </c>
      <c r="F38" s="466">
        <v>4824</v>
      </c>
      <c r="G38" s="466"/>
      <c r="H38" s="466"/>
      <c r="I38" s="467"/>
      <c r="J38" s="467"/>
      <c r="K38" s="1693">
        <f t="shared" si="2"/>
        <v>44691</v>
      </c>
      <c r="L38" s="466">
        <v>45300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48424</v>
      </c>
      <c r="D40" s="466">
        <f>6219+4480</f>
        <v>10699</v>
      </c>
      <c r="E40" s="466">
        <v>71</v>
      </c>
      <c r="F40" s="466">
        <v>569</v>
      </c>
      <c r="G40" s="466"/>
      <c r="H40" s="466"/>
      <c r="I40" s="467"/>
      <c r="J40" s="467"/>
      <c r="K40" s="1693">
        <f t="shared" si="2"/>
        <v>59763</v>
      </c>
      <c r="L40" s="466">
        <v>59487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119602</v>
      </c>
      <c r="D42" s="1692">
        <f t="shared" ref="D42:L42" si="3">SUM(D36:D41)</f>
        <v>15576</v>
      </c>
      <c r="E42" s="1692">
        <f t="shared" si="3"/>
        <v>2253</v>
      </c>
      <c r="F42" s="1692">
        <f t="shared" si="3"/>
        <v>8866</v>
      </c>
      <c r="G42" s="1692">
        <f t="shared" si="3"/>
        <v>0</v>
      </c>
      <c r="H42" s="1692">
        <f t="shared" si="3"/>
        <v>0</v>
      </c>
      <c r="I42" s="1692">
        <f t="shared" si="3"/>
        <v>0</v>
      </c>
      <c r="J42" s="1692">
        <f t="shared" si="3"/>
        <v>0</v>
      </c>
      <c r="K42" s="1692">
        <f t="shared" si="3"/>
        <v>146297</v>
      </c>
      <c r="L42" s="1692">
        <f t="shared" si="3"/>
        <v>154071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6796+3377+7885</f>
        <v>18058</v>
      </c>
      <c r="D44" s="481">
        <f>458+432+1009</f>
        <v>1899</v>
      </c>
      <c r="E44" s="481">
        <v>17069</v>
      </c>
      <c r="F44" s="481"/>
      <c r="G44" s="481"/>
      <c r="H44" s="481"/>
      <c r="I44" s="467"/>
      <c r="J44" s="467"/>
      <c r="K44" s="1694">
        <f>SUM(C44:J44)</f>
        <v>37026</v>
      </c>
      <c r="L44" s="481">
        <v>23087</v>
      </c>
    </row>
    <row r="45" spans="1:14" x14ac:dyDescent="0.2">
      <c r="A45" s="1526" t="s">
        <v>869</v>
      </c>
      <c r="B45" s="615">
        <v>2220</v>
      </c>
      <c r="C45" s="466">
        <v>326</v>
      </c>
      <c r="D45" s="466"/>
      <c r="E45" s="466"/>
      <c r="F45" s="466">
        <v>864</v>
      </c>
      <c r="G45" s="466"/>
      <c r="H45" s="466"/>
      <c r="I45" s="467"/>
      <c r="J45" s="467"/>
      <c r="K45" s="1694">
        <f>SUM(C45:J45)</f>
        <v>1190</v>
      </c>
      <c r="L45" s="466">
        <v>2133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18384</v>
      </c>
      <c r="D47" s="1692">
        <f t="shared" ref="D47:K47" si="4">SUM(D44:D46)</f>
        <v>1899</v>
      </c>
      <c r="E47" s="1692">
        <f t="shared" si="4"/>
        <v>17069</v>
      </c>
      <c r="F47" s="1692">
        <f t="shared" si="4"/>
        <v>864</v>
      </c>
      <c r="G47" s="1692">
        <f t="shared" si="4"/>
        <v>0</v>
      </c>
      <c r="H47" s="1692">
        <f t="shared" si="4"/>
        <v>0</v>
      </c>
      <c r="I47" s="1692">
        <f t="shared" si="4"/>
        <v>0</v>
      </c>
      <c r="J47" s="1692">
        <f t="shared" si="4"/>
        <v>0</v>
      </c>
      <c r="K47" s="1692">
        <f t="shared" si="4"/>
        <v>38216</v>
      </c>
      <c r="L47" s="1692">
        <f>SUM(L44:L46)</f>
        <v>25220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10650</v>
      </c>
      <c r="D49" s="481">
        <v>563</v>
      </c>
      <c r="E49" s="481">
        <v>25689</v>
      </c>
      <c r="F49" s="481">
        <v>896</v>
      </c>
      <c r="G49" s="481"/>
      <c r="H49" s="481"/>
      <c r="I49" s="467"/>
      <c r="J49" s="467"/>
      <c r="K49" s="1694">
        <f>SUM(C49:J49)</f>
        <v>37798</v>
      </c>
      <c r="L49" s="481">
        <v>52395</v>
      </c>
    </row>
    <row r="50" spans="1:14" x14ac:dyDescent="0.2">
      <c r="A50" s="1526" t="s">
        <v>872</v>
      </c>
      <c r="B50" s="615">
        <v>2320</v>
      </c>
      <c r="C50" s="466">
        <v>149628</v>
      </c>
      <c r="D50" s="466">
        <f>14707+19445</f>
        <v>34152</v>
      </c>
      <c r="E50" s="466">
        <v>4376</v>
      </c>
      <c r="F50" s="466">
        <v>1330</v>
      </c>
      <c r="G50" s="466"/>
      <c r="H50" s="466"/>
      <c r="I50" s="467"/>
      <c r="J50" s="467"/>
      <c r="K50" s="1694">
        <f>SUM(C50:J50)</f>
        <v>189486</v>
      </c>
      <c r="L50" s="466">
        <v>167124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160278</v>
      </c>
      <c r="D53" s="1692">
        <f t="shared" ref="D53:L53" si="5">SUM(D49:D52)</f>
        <v>34715</v>
      </c>
      <c r="E53" s="1692">
        <f t="shared" si="5"/>
        <v>30065</v>
      </c>
      <c r="F53" s="1692">
        <f t="shared" si="5"/>
        <v>2226</v>
      </c>
      <c r="G53" s="1692">
        <f t="shared" si="5"/>
        <v>0</v>
      </c>
      <c r="H53" s="1692">
        <f t="shared" si="5"/>
        <v>0</v>
      </c>
      <c r="I53" s="1692">
        <f t="shared" si="5"/>
        <v>0</v>
      </c>
      <c r="J53" s="1692">
        <f t="shared" si="5"/>
        <v>0</v>
      </c>
      <c r="K53" s="1692">
        <f t="shared" si="5"/>
        <v>227284</v>
      </c>
      <c r="L53" s="1692">
        <f t="shared" si="5"/>
        <v>219519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47034+111386</f>
        <v>158420</v>
      </c>
      <c r="D55" s="481">
        <f>6082+11355+10354</f>
        <v>27791</v>
      </c>
      <c r="E55" s="481">
        <f>7032+14305</f>
        <v>21337</v>
      </c>
      <c r="F55" s="481">
        <f>1247+2135</f>
        <v>3382</v>
      </c>
      <c r="G55" s="481"/>
      <c r="H55" s="481"/>
      <c r="I55" s="467"/>
      <c r="J55" s="467"/>
      <c r="K55" s="1694">
        <f>SUM(C55:J55)</f>
        <v>210930</v>
      </c>
      <c r="L55" s="481">
        <v>219697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158420</v>
      </c>
      <c r="D57" s="1696">
        <f t="shared" ref="D57:K57" si="6">SUM(D55:D56)</f>
        <v>27791</v>
      </c>
      <c r="E57" s="1696">
        <f t="shared" si="6"/>
        <v>21337</v>
      </c>
      <c r="F57" s="1696">
        <f t="shared" si="6"/>
        <v>3382</v>
      </c>
      <c r="G57" s="1696">
        <f t="shared" si="6"/>
        <v>0</v>
      </c>
      <c r="H57" s="1696">
        <f t="shared" si="6"/>
        <v>0</v>
      </c>
      <c r="I57" s="1696">
        <f t="shared" si="6"/>
        <v>0</v>
      </c>
      <c r="J57" s="1696">
        <f t="shared" si="6"/>
        <v>0</v>
      </c>
      <c r="K57" s="1696">
        <f t="shared" si="6"/>
        <v>210930</v>
      </c>
      <c r="L57" s="1692">
        <f>SUM(L55:L56)</f>
        <v>219697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53142</v>
      </c>
      <c r="D60" s="466">
        <v>10342</v>
      </c>
      <c r="E60" s="466"/>
      <c r="F60" s="466"/>
      <c r="G60" s="466"/>
      <c r="H60" s="466"/>
      <c r="I60" s="467"/>
      <c r="J60" s="467"/>
      <c r="K60" s="1694">
        <f t="shared" si="7"/>
        <v>63484</v>
      </c>
      <c r="L60" s="466">
        <v>64110</v>
      </c>
      <c r="M60" s="610"/>
      <c r="N60" s="610"/>
    </row>
    <row r="61" spans="1:14" s="343" customFormat="1" x14ac:dyDescent="0.2">
      <c r="A61" s="1526" t="s">
        <v>206</v>
      </c>
      <c r="B61" s="615">
        <v>2540</v>
      </c>
      <c r="C61" s="466">
        <v>176544</v>
      </c>
      <c r="D61" s="466">
        <v>19034</v>
      </c>
      <c r="E61" s="466"/>
      <c r="F61" s="466">
        <v>101</v>
      </c>
      <c r="G61" s="466"/>
      <c r="H61" s="466"/>
      <c r="I61" s="467"/>
      <c r="J61" s="467"/>
      <c r="K61" s="1694">
        <f t="shared" si="7"/>
        <v>195679</v>
      </c>
      <c r="L61" s="466">
        <v>203518</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91868</v>
      </c>
      <c r="D63" s="466">
        <v>14181</v>
      </c>
      <c r="E63" s="466">
        <v>2614</v>
      </c>
      <c r="F63" s="466">
        <v>81840</v>
      </c>
      <c r="G63" s="466">
        <v>4426</v>
      </c>
      <c r="H63" s="466">
        <v>171</v>
      </c>
      <c r="I63" s="467"/>
      <c r="J63" s="467"/>
      <c r="K63" s="1694">
        <f t="shared" si="7"/>
        <v>195100</v>
      </c>
      <c r="L63" s="466">
        <v>234265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321554</v>
      </c>
      <c r="D65" s="1692">
        <f t="shared" ref="D65:L65" si="8">SUM(D59:D64)</f>
        <v>43557</v>
      </c>
      <c r="E65" s="1692">
        <f t="shared" si="8"/>
        <v>2614</v>
      </c>
      <c r="F65" s="1692">
        <f t="shared" si="8"/>
        <v>81941</v>
      </c>
      <c r="G65" s="1692">
        <f t="shared" si="8"/>
        <v>4426</v>
      </c>
      <c r="H65" s="1692">
        <f t="shared" si="8"/>
        <v>171</v>
      </c>
      <c r="I65" s="1692">
        <f t="shared" si="8"/>
        <v>0</v>
      </c>
      <c r="J65" s="1692">
        <f t="shared" si="8"/>
        <v>0</v>
      </c>
      <c r="K65" s="1692">
        <f t="shared" si="8"/>
        <v>454263</v>
      </c>
      <c r="L65" s="1692">
        <f t="shared" si="8"/>
        <v>501893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778238</v>
      </c>
      <c r="D74" s="1699">
        <f t="shared" ref="D74:K74" si="10">SUM(D42,D47,D53,D57,D65,D72,D73)</f>
        <v>123538</v>
      </c>
      <c r="E74" s="1699">
        <f t="shared" si="10"/>
        <v>73338</v>
      </c>
      <c r="F74" s="1699">
        <f t="shared" si="10"/>
        <v>97279</v>
      </c>
      <c r="G74" s="1699">
        <f t="shared" si="10"/>
        <v>4426</v>
      </c>
      <c r="H74" s="1699">
        <f t="shared" si="10"/>
        <v>171</v>
      </c>
      <c r="I74" s="1699">
        <f t="shared" si="10"/>
        <v>0</v>
      </c>
      <c r="J74" s="1699">
        <f t="shared" si="10"/>
        <v>0</v>
      </c>
      <c r="K74" s="1699">
        <f t="shared" si="10"/>
        <v>1076990</v>
      </c>
      <c r="L74" s="1699">
        <f>SUM(L42,L47,L53,L57,L65,L72,L73)</f>
        <v>1120400</v>
      </c>
    </row>
    <row r="75" spans="1:14" s="259" customFormat="1" ht="15.75" customHeight="1" thickTop="1" thickBot="1" x14ac:dyDescent="0.25">
      <c r="A75" s="1632" t="s">
        <v>49</v>
      </c>
      <c r="B75" s="1633" t="s">
        <v>596</v>
      </c>
      <c r="C75" s="573">
        <v>22313</v>
      </c>
      <c r="D75" s="573">
        <v>1513</v>
      </c>
      <c r="E75" s="573"/>
      <c r="F75" s="573"/>
      <c r="G75" s="573"/>
      <c r="H75" s="573"/>
      <c r="I75" s="531"/>
      <c r="J75" s="531"/>
      <c r="K75" s="1692">
        <f>SUM(C75:J75)</f>
        <v>23826</v>
      </c>
      <c r="L75" s="576">
        <v>28000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133823</v>
      </c>
      <c r="F79" s="617"/>
      <c r="G79" s="617"/>
      <c r="H79" s="466"/>
      <c r="I79" s="477"/>
      <c r="J79" s="477"/>
      <c r="K79" s="1693">
        <f t="shared" si="11"/>
        <v>133823</v>
      </c>
      <c r="L79" s="466">
        <v>169126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7066</v>
      </c>
      <c r="F81" s="617"/>
      <c r="G81" s="617"/>
      <c r="H81" s="466"/>
      <c r="I81" s="477"/>
      <c r="J81" s="477"/>
      <c r="K81" s="1693">
        <f t="shared" si="11"/>
        <v>7066</v>
      </c>
      <c r="L81" s="466">
        <v>6800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140889</v>
      </c>
      <c r="F84" s="617"/>
      <c r="G84" s="617"/>
      <c r="H84" s="1692">
        <f>SUM(H78:H83)</f>
        <v>0</v>
      </c>
      <c r="I84" s="477"/>
      <c r="J84" s="477"/>
      <c r="K84" s="1692">
        <f>SUM(K78:K83)</f>
        <v>140889</v>
      </c>
      <c r="L84" s="1692">
        <f>SUM(L78:L83)</f>
        <v>175926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140889</v>
      </c>
      <c r="F102" s="617"/>
      <c r="G102" s="617"/>
      <c r="H102" s="1699">
        <f>SUM(H84,H92,H100,H101)</f>
        <v>0</v>
      </c>
      <c r="I102" s="477"/>
      <c r="J102" s="477"/>
      <c r="K102" s="1699">
        <f>SUM(K84,K92,K100,K101)</f>
        <v>140889</v>
      </c>
      <c r="L102" s="1699">
        <f>SUM(L84,L92,L100,L101)</f>
        <v>175926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3041296</v>
      </c>
      <c r="D114" s="1692">
        <f t="shared" ref="D114:K114" si="13">SUM(D33,D74,D75,D102,D112,D113)</f>
        <v>511899</v>
      </c>
      <c r="E114" s="1692">
        <f t="shared" si="13"/>
        <v>391214</v>
      </c>
      <c r="F114" s="1692">
        <f t="shared" si="13"/>
        <v>247199</v>
      </c>
      <c r="G114" s="1692">
        <f t="shared" si="13"/>
        <v>102327</v>
      </c>
      <c r="H114" s="1692">
        <f>SUM(H33,H74,H75,H102,H112,H113)</f>
        <v>251</v>
      </c>
      <c r="I114" s="1692">
        <f t="shared" si="13"/>
        <v>0</v>
      </c>
      <c r="J114" s="1692">
        <f t="shared" si="13"/>
        <v>0</v>
      </c>
      <c r="K114" s="1692">
        <f t="shared" si="13"/>
        <v>4294186</v>
      </c>
      <c r="L114" s="1692">
        <f>SUM(L33,L74,L75,L102,L112,L113)</f>
        <v>4212763</v>
      </c>
    </row>
    <row r="115" spans="1:14" ht="13.5" thickTop="1" x14ac:dyDescent="0.2">
      <c r="A115" s="2199" t="s">
        <v>1053</v>
      </c>
      <c r="B115" s="2200"/>
      <c r="C115" s="619"/>
      <c r="D115" s="619"/>
      <c r="E115" s="619"/>
      <c r="F115" s="619"/>
      <c r="G115" s="619"/>
      <c r="H115" s="619"/>
      <c r="I115" s="619"/>
      <c r="J115" s="619"/>
      <c r="K115" s="1706">
        <f>'Revenues 9-14'!C275-'Expenditures 15-22'!K114</f>
        <v>297060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98580</v>
      </c>
    </row>
    <row r="124" spans="1:14" ht="14.25" thickTop="1" thickBot="1" x14ac:dyDescent="0.25">
      <c r="A124" s="1526" t="s">
        <v>206</v>
      </c>
      <c r="B124" s="615">
        <v>2540</v>
      </c>
      <c r="C124" s="466"/>
      <c r="D124" s="466"/>
      <c r="E124" s="466">
        <f>2049+14109+5084+7276+1500+29176+5038+886+1511+10558</f>
        <v>77187</v>
      </c>
      <c r="F124" s="466">
        <f>63740+16651+500+336+4789+19519+1015+1420+50+1657+318+2440+1</f>
        <v>112436</v>
      </c>
      <c r="G124" s="466">
        <f>4499+5103</f>
        <v>9602</v>
      </c>
      <c r="H124" s="466"/>
      <c r="I124" s="467"/>
      <c r="J124" s="467"/>
      <c r="K124" s="1692">
        <f>SUM(C124:J124)</f>
        <v>199225</v>
      </c>
      <c r="L124" s="466">
        <v>139823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77187</v>
      </c>
      <c r="F127" s="1692">
        <f t="shared" si="14"/>
        <v>112436</v>
      </c>
      <c r="G127" s="1692">
        <f t="shared" si="14"/>
        <v>9602</v>
      </c>
      <c r="H127" s="1692">
        <f t="shared" si="14"/>
        <v>0</v>
      </c>
      <c r="I127" s="1692">
        <f t="shared" si="14"/>
        <v>0</v>
      </c>
      <c r="J127" s="1692">
        <f t="shared" si="14"/>
        <v>0</v>
      </c>
      <c r="K127" s="1692">
        <f t="shared" si="14"/>
        <v>199225</v>
      </c>
      <c r="L127" s="1692">
        <f t="shared" si="14"/>
        <v>238403</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77187</v>
      </c>
      <c r="F129" s="1699">
        <f t="shared" si="15"/>
        <v>112436</v>
      </c>
      <c r="G129" s="1699">
        <f t="shared" si="15"/>
        <v>9602</v>
      </c>
      <c r="H129" s="1699">
        <f t="shared" si="15"/>
        <v>0</v>
      </c>
      <c r="I129" s="1699">
        <f t="shared" si="15"/>
        <v>0</v>
      </c>
      <c r="J129" s="1699">
        <f t="shared" si="15"/>
        <v>0</v>
      </c>
      <c r="K129" s="1699">
        <f t="shared" si="15"/>
        <v>199225</v>
      </c>
      <c r="L129" s="1699">
        <f t="shared" si="15"/>
        <v>238403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77187</v>
      </c>
      <c r="F151" s="1692">
        <f t="shared" si="16"/>
        <v>112436</v>
      </c>
      <c r="G151" s="1692">
        <f t="shared" si="16"/>
        <v>9602</v>
      </c>
      <c r="H151" s="1692">
        <f t="shared" si="16"/>
        <v>0</v>
      </c>
      <c r="I151" s="1692">
        <f t="shared" si="16"/>
        <v>0</v>
      </c>
      <c r="J151" s="1692">
        <f t="shared" si="16"/>
        <v>0</v>
      </c>
      <c r="K151" s="1692">
        <f t="shared" si="16"/>
        <v>199225</v>
      </c>
      <c r="L151" s="1692">
        <f>SUM(L129,L130,L139,L149,L150)</f>
        <v>238403</v>
      </c>
    </row>
    <row r="152" spans="1:14" ht="12.75" customHeight="1" thickTop="1" x14ac:dyDescent="0.2">
      <c r="A152" s="2192" t="s">
        <v>1240</v>
      </c>
      <c r="B152" s="2193"/>
      <c r="C152" s="619"/>
      <c r="D152" s="619"/>
      <c r="E152" s="619"/>
      <c r="F152" s="619"/>
      <c r="G152" s="619"/>
      <c r="H152" s="619"/>
      <c r="I152" s="619"/>
      <c r="J152" s="617"/>
      <c r="K152" s="1706">
        <f>'Revenues 9-14'!D275-'Expenditures 15-22'!K151</f>
        <v>-36571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40953</v>
      </c>
      <c r="I169" s="617"/>
      <c r="J169" s="617"/>
      <c r="K169" s="1693">
        <f>SUM(C169:H169)</f>
        <v>40953</v>
      </c>
      <c r="L169" s="657">
        <v>85140</v>
      </c>
    </row>
    <row r="170" spans="1:14" ht="33.75" customHeight="1" x14ac:dyDescent="0.2">
      <c r="A170" s="670" t="s">
        <v>1769</v>
      </c>
      <c r="B170" s="672" t="s">
        <v>31</v>
      </c>
      <c r="C170" s="617"/>
      <c r="D170" s="617"/>
      <c r="E170" s="617"/>
      <c r="F170" s="617"/>
      <c r="G170" s="617"/>
      <c r="H170" s="569">
        <f>1985000+25000</f>
        <v>2010000</v>
      </c>
      <c r="I170" s="617"/>
      <c r="J170" s="617"/>
      <c r="K170" s="1693">
        <f>SUM(C170:J170)</f>
        <v>2010000</v>
      </c>
      <c r="L170" s="569">
        <v>160000</v>
      </c>
    </row>
    <row r="171" spans="1:14" ht="15.75" customHeight="1" x14ac:dyDescent="0.2">
      <c r="A171" s="622" t="s">
        <v>790</v>
      </c>
      <c r="B171" s="673" t="s">
        <v>86</v>
      </c>
      <c r="C171" s="617"/>
      <c r="D171" s="617"/>
      <c r="E171" s="466"/>
      <c r="F171" s="617"/>
      <c r="G171" s="617"/>
      <c r="H171" s="569">
        <v>1500</v>
      </c>
      <c r="I171" s="477"/>
      <c r="J171" s="617"/>
      <c r="K171" s="1693">
        <f>SUM(C171:J171)</f>
        <v>1500</v>
      </c>
      <c r="L171" s="569">
        <v>1000</v>
      </c>
    </row>
    <row r="172" spans="1:14" ht="12.75" customHeight="1" thickBot="1" x14ac:dyDescent="0.25">
      <c r="A172" s="1690" t="s">
        <v>659</v>
      </c>
      <c r="B172" s="1691" t="s">
        <v>513</v>
      </c>
      <c r="C172" s="617"/>
      <c r="D172" s="617"/>
      <c r="E172" s="1699">
        <f>SUM(E168,E169,E170,E171)</f>
        <v>0</v>
      </c>
      <c r="F172" s="617"/>
      <c r="G172" s="617"/>
      <c r="H172" s="1699">
        <f>SUM(H168,H169,H170,H171)</f>
        <v>2052453</v>
      </c>
      <c r="I172" s="639"/>
      <c r="J172" s="617"/>
      <c r="K172" s="1699">
        <f>SUM(K168,K169,K170,K171)</f>
        <v>2052453</v>
      </c>
      <c r="L172" s="1699">
        <f>SUM(L168,L169,L170,L171)</f>
        <v>246140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2052453</v>
      </c>
      <c r="I174" s="639"/>
      <c r="J174" s="617"/>
      <c r="K174" s="1699">
        <f>SUM(K160,K172,K173)</f>
        <v>2052453</v>
      </c>
      <c r="L174" s="1699">
        <f>SUM(L160,L172,L173)</f>
        <v>246140</v>
      </c>
    </row>
    <row r="175" spans="1:14" ht="13.5" thickTop="1" x14ac:dyDescent="0.2">
      <c r="A175" s="2199" t="s">
        <v>1053</v>
      </c>
      <c r="B175" s="2200"/>
      <c r="C175" s="617"/>
      <c r="D175" s="617"/>
      <c r="E175" s="617"/>
      <c r="F175" s="617"/>
      <c r="G175" s="617"/>
      <c r="H175" s="619"/>
      <c r="I175" s="617"/>
      <c r="J175" s="617"/>
      <c r="K175" s="1706">
        <f>'Revenues 9-14'!E275-'Expenditures 15-22'!K174</f>
        <v>-1825440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f>192987+25324+678+102306</f>
        <v>321295</v>
      </c>
      <c r="F182" s="466">
        <f>17801+9049+1</f>
        <v>26851</v>
      </c>
      <c r="G182" s="466"/>
      <c r="H182" s="466"/>
      <c r="I182" s="467"/>
      <c r="J182" s="467"/>
      <c r="K182" s="1693">
        <f>SUM(C182:J182)</f>
        <v>348146</v>
      </c>
      <c r="L182" s="466">
        <v>347170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321295</v>
      </c>
      <c r="F184" s="1699">
        <f t="shared" si="17"/>
        <v>26851</v>
      </c>
      <c r="G184" s="1699">
        <f t="shared" si="17"/>
        <v>0</v>
      </c>
      <c r="H184" s="1699">
        <f t="shared" si="17"/>
        <v>0</v>
      </c>
      <c r="I184" s="1699">
        <f t="shared" si="17"/>
        <v>0</v>
      </c>
      <c r="J184" s="1699">
        <f t="shared" si="17"/>
        <v>0</v>
      </c>
      <c r="K184" s="1699">
        <f>SUM(K180,K182,K183)</f>
        <v>348146</v>
      </c>
      <c r="L184" s="1699">
        <f>SUM(L180, L182:L183)</f>
        <v>347170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321295</v>
      </c>
      <c r="F210" s="1692">
        <f>SUM(F184,F185)</f>
        <v>26851</v>
      </c>
      <c r="G210" s="1692">
        <f>SUM(G184,G185)</f>
        <v>0</v>
      </c>
      <c r="H210" s="1692">
        <f>SUM(H184,H185,H196,H208,H209)</f>
        <v>0</v>
      </c>
      <c r="I210" s="1692">
        <f>SUM(I184,I185)</f>
        <v>0</v>
      </c>
      <c r="J210" s="1692">
        <f>SUM(J184,J185)</f>
        <v>0</v>
      </c>
      <c r="K210" s="1693">
        <f>SUM(K184,K185,K196,K208,K209)</f>
        <v>348146</v>
      </c>
      <c r="L210" s="1692">
        <f>SUM(L184,L185,L196,L208,L209)</f>
        <v>347170</v>
      </c>
    </row>
    <row r="211" spans="1:14" ht="13.5" thickTop="1" x14ac:dyDescent="0.2">
      <c r="A211" s="2199" t="s">
        <v>1053</v>
      </c>
      <c r="B211" s="2200"/>
      <c r="C211" s="619"/>
      <c r="D211" s="619"/>
      <c r="E211" s="619"/>
      <c r="F211" s="619"/>
      <c r="G211" s="619"/>
      <c r="H211" s="619"/>
      <c r="I211" s="617"/>
      <c r="J211" s="617"/>
      <c r="K211" s="1706">
        <f>'Revenues 9-14'!F275-'Expenditures 15-22'!K210</f>
        <v>-17332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9847+4294+5632+13+4691+6493</f>
        <v>30970</v>
      </c>
      <c r="E215" s="617"/>
      <c r="F215" s="617"/>
      <c r="G215" s="617"/>
      <c r="H215" s="617"/>
      <c r="I215" s="617"/>
      <c r="J215" s="617"/>
      <c r="K215" s="1693">
        <f>D215</f>
        <v>30970</v>
      </c>
      <c r="L215" s="466">
        <v>32615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18182</v>
      </c>
      <c r="E217" s="617"/>
      <c r="F217" s="617"/>
      <c r="G217" s="617"/>
      <c r="H217" s="617"/>
      <c r="I217" s="617"/>
      <c r="J217" s="617"/>
      <c r="K217" s="1693">
        <f t="shared" si="19"/>
        <v>18182</v>
      </c>
      <c r="L217" s="466">
        <v>19052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1465</v>
      </c>
      <c r="E222" s="617"/>
      <c r="F222" s="617"/>
      <c r="G222" s="617"/>
      <c r="H222" s="617"/>
      <c r="I222" s="617"/>
      <c r="J222" s="617"/>
      <c r="K222" s="1693">
        <f t="shared" si="19"/>
        <v>1465</v>
      </c>
      <c r="L222" s="466">
        <v>2030</v>
      </c>
    </row>
    <row r="223" spans="1:14" x14ac:dyDescent="0.2">
      <c r="A223" s="1526" t="s">
        <v>1020</v>
      </c>
      <c r="B223" s="615">
        <v>1500</v>
      </c>
      <c r="C223" s="617"/>
      <c r="D223" s="466">
        <v>3346</v>
      </c>
      <c r="E223" s="617"/>
      <c r="F223" s="617"/>
      <c r="G223" s="617"/>
      <c r="H223" s="617"/>
      <c r="I223" s="617"/>
      <c r="J223" s="617"/>
      <c r="K223" s="1693">
        <f t="shared" si="19"/>
        <v>3346</v>
      </c>
      <c r="L223" s="466">
        <v>2830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357</v>
      </c>
      <c r="E226" s="617"/>
      <c r="F226" s="617"/>
      <c r="G226" s="617"/>
      <c r="H226" s="617"/>
      <c r="I226" s="617"/>
      <c r="J226" s="617"/>
      <c r="K226" s="1693">
        <f t="shared" si="19"/>
        <v>357</v>
      </c>
      <c r="L226" s="466">
        <v>375</v>
      </c>
    </row>
    <row r="227" spans="1:12" x14ac:dyDescent="0.2">
      <c r="A227" s="1526" t="s">
        <v>1148</v>
      </c>
      <c r="B227" s="615">
        <v>1800</v>
      </c>
      <c r="C227" s="617"/>
      <c r="D227" s="466">
        <v>7102</v>
      </c>
      <c r="E227" s="617"/>
      <c r="F227" s="617"/>
      <c r="G227" s="617"/>
      <c r="H227" s="617"/>
      <c r="I227" s="617"/>
      <c r="J227" s="617"/>
      <c r="K227" s="1693">
        <f t="shared" si="19"/>
        <v>7102</v>
      </c>
      <c r="L227" s="466">
        <v>7542</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61422</v>
      </c>
      <c r="E229" s="617"/>
      <c r="F229" s="617"/>
      <c r="G229" s="617"/>
      <c r="H229" s="617"/>
      <c r="I229" s="617"/>
      <c r="J229" s="617"/>
      <c r="K229" s="1692">
        <f>SUM(K215:K228)</f>
        <v>61422</v>
      </c>
      <c r="L229" s="1692">
        <f>SUM(L215:L228)</f>
        <v>64444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486</v>
      </c>
      <c r="E233" s="617"/>
      <c r="F233" s="617"/>
      <c r="G233" s="617"/>
      <c r="H233" s="617"/>
      <c r="I233" s="617"/>
      <c r="J233" s="617"/>
      <c r="K233" s="1693">
        <f t="shared" si="20"/>
        <v>486</v>
      </c>
      <c r="L233" s="466">
        <v>1292</v>
      </c>
    </row>
    <row r="234" spans="1:12" x14ac:dyDescent="0.2">
      <c r="A234" s="1526" t="s">
        <v>207</v>
      </c>
      <c r="B234" s="615">
        <v>2130</v>
      </c>
      <c r="C234" s="617"/>
      <c r="D234" s="466">
        <v>7046</v>
      </c>
      <c r="E234" s="617"/>
      <c r="F234" s="617"/>
      <c r="G234" s="617"/>
      <c r="H234" s="617"/>
      <c r="I234" s="617"/>
      <c r="J234" s="617"/>
      <c r="K234" s="1693">
        <f t="shared" si="20"/>
        <v>7046</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653</v>
      </c>
      <c r="E236" s="617"/>
      <c r="F236" s="617"/>
      <c r="G236" s="617"/>
      <c r="H236" s="617"/>
      <c r="I236" s="617"/>
      <c r="J236" s="617"/>
      <c r="K236" s="1693">
        <f t="shared" si="20"/>
        <v>653</v>
      </c>
      <c r="L236" s="466">
        <v>600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8185</v>
      </c>
      <c r="E238" s="617"/>
      <c r="F238" s="617"/>
      <c r="G238" s="617"/>
      <c r="H238" s="617"/>
      <c r="I238" s="617"/>
      <c r="J238" s="617"/>
      <c r="K238" s="1692">
        <f>SUM(K232:K237)</f>
        <v>8185</v>
      </c>
      <c r="L238" s="1692">
        <f>SUM(L232:L237)</f>
        <v>1892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270</v>
      </c>
      <c r="E240" s="617"/>
      <c r="F240" s="617"/>
      <c r="G240" s="617"/>
      <c r="H240" s="617"/>
      <c r="I240" s="617"/>
      <c r="J240" s="617"/>
      <c r="K240" s="1694">
        <f>D240</f>
        <v>270</v>
      </c>
      <c r="L240" s="481">
        <v>192</v>
      </c>
    </row>
    <row r="241" spans="1:12" x14ac:dyDescent="0.2">
      <c r="A241" s="1526" t="s">
        <v>869</v>
      </c>
      <c r="B241" s="615">
        <v>2220</v>
      </c>
      <c r="C241" s="617"/>
      <c r="D241" s="466">
        <v>12</v>
      </c>
      <c r="E241" s="617"/>
      <c r="F241" s="617"/>
      <c r="G241" s="617"/>
      <c r="H241" s="617"/>
      <c r="I241" s="617"/>
      <c r="J241" s="617"/>
      <c r="K241" s="1694">
        <f>D241</f>
        <v>12</v>
      </c>
      <c r="L241" s="466">
        <v>55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282</v>
      </c>
      <c r="E243" s="617"/>
      <c r="F243" s="617"/>
      <c r="G243" s="617"/>
      <c r="H243" s="617"/>
      <c r="I243" s="617"/>
      <c r="J243" s="617"/>
      <c r="K243" s="1692">
        <f>SUM(K240:K242)</f>
        <v>282</v>
      </c>
      <c r="L243" s="1692">
        <f>SUM(L240:L242)</f>
        <v>247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970</v>
      </c>
      <c r="E245" s="617"/>
      <c r="F245" s="617"/>
      <c r="G245" s="617"/>
      <c r="H245" s="617"/>
      <c r="I245" s="617"/>
      <c r="J245" s="617"/>
      <c r="K245" s="1694">
        <f>D245</f>
        <v>970</v>
      </c>
      <c r="L245" s="481">
        <v>963</v>
      </c>
    </row>
    <row r="246" spans="1:12" x14ac:dyDescent="0.2">
      <c r="A246" s="1526" t="s">
        <v>872</v>
      </c>
      <c r="B246" s="615">
        <v>2320</v>
      </c>
      <c r="C246" s="617"/>
      <c r="D246" s="466">
        <v>6844</v>
      </c>
      <c r="E246" s="617"/>
      <c r="F246" s="617"/>
      <c r="G246" s="617"/>
      <c r="H246" s="617"/>
      <c r="I246" s="617"/>
      <c r="J246" s="617"/>
      <c r="K246" s="1694">
        <f t="shared" ref="K246:K256" si="21">D246</f>
        <v>6844</v>
      </c>
      <c r="L246" s="466">
        <v>6682</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7814</v>
      </c>
      <c r="E257" s="617"/>
      <c r="F257" s="617"/>
      <c r="G257" s="617"/>
      <c r="H257" s="617"/>
      <c r="I257" s="617"/>
      <c r="J257" s="617"/>
      <c r="K257" s="1692">
        <f>SUM(K245:K256)</f>
        <v>7814</v>
      </c>
      <c r="L257" s="1692">
        <f>SUM(L245:L256)</f>
        <v>7645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5104+5298</f>
        <v>10402</v>
      </c>
      <c r="E259" s="617"/>
      <c r="F259" s="617"/>
      <c r="G259" s="617"/>
      <c r="H259" s="617"/>
      <c r="I259" s="617"/>
      <c r="J259" s="617"/>
      <c r="K259" s="1694">
        <f>D259</f>
        <v>10402</v>
      </c>
      <c r="L259" s="481">
        <v>11871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10402</v>
      </c>
      <c r="E261" s="617"/>
      <c r="F261" s="617"/>
      <c r="G261" s="617"/>
      <c r="H261" s="617"/>
      <c r="I261" s="617"/>
      <c r="J261" s="617"/>
      <c r="K261" s="1692">
        <f>SUM(K259:K260)</f>
        <v>10402</v>
      </c>
      <c r="L261" s="1692">
        <f>SUM(L259:L260)</f>
        <v>11871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9713</v>
      </c>
      <c r="E264" s="617"/>
      <c r="F264" s="617"/>
      <c r="G264" s="617"/>
      <c r="H264" s="617"/>
      <c r="I264" s="617"/>
      <c r="J264" s="617"/>
      <c r="K264" s="1694">
        <f t="shared" ref="K264:K269" si="22">D264</f>
        <v>9713</v>
      </c>
      <c r="L264" s="466">
        <v>10361</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31508</v>
      </c>
      <c r="E266" s="617"/>
      <c r="F266" s="617"/>
      <c r="G266" s="617"/>
      <c r="H266" s="617"/>
      <c r="I266" s="617"/>
      <c r="J266" s="617"/>
      <c r="K266" s="1694">
        <f t="shared" si="22"/>
        <v>31508</v>
      </c>
      <c r="L266" s="466">
        <v>34194</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15211</v>
      </c>
      <c r="E268" s="617"/>
      <c r="F268" s="617"/>
      <c r="G268" s="617"/>
      <c r="H268" s="617"/>
      <c r="I268" s="617"/>
      <c r="J268" s="617"/>
      <c r="K268" s="1694">
        <f t="shared" si="22"/>
        <v>15211</v>
      </c>
      <c r="L268" s="466">
        <v>17457</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56432</v>
      </c>
      <c r="E270" s="617"/>
      <c r="F270" s="617"/>
      <c r="G270" s="617"/>
      <c r="H270" s="617"/>
      <c r="I270" s="617"/>
      <c r="J270" s="617"/>
      <c r="K270" s="1692">
        <f>SUM(K263:K269)</f>
        <v>56432</v>
      </c>
      <c r="L270" s="1692">
        <f>SUM(L263:L269)</f>
        <v>62012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83115</v>
      </c>
      <c r="E279" s="617"/>
      <c r="F279" s="617"/>
      <c r="G279" s="617"/>
      <c r="H279" s="617"/>
      <c r="I279" s="617"/>
      <c r="J279" s="617"/>
      <c r="K279" s="1699">
        <f>SUM(K238,K243,K257,K261,K270,K277,K278)</f>
        <v>83115</v>
      </c>
      <c r="L279" s="1699">
        <f>SUM(L238,L243,L257,L261,L270,L277,L278)</f>
        <v>83667</v>
      </c>
    </row>
    <row r="280" spans="1:12" ht="15.75" customHeight="1" thickTop="1" thickBot="1" x14ac:dyDescent="0.25">
      <c r="A280" s="1646" t="s">
        <v>930</v>
      </c>
      <c r="B280" s="1635">
        <v>3000</v>
      </c>
      <c r="C280" s="617"/>
      <c r="D280" s="576">
        <v>2136</v>
      </c>
      <c r="E280" s="617"/>
      <c r="F280" s="617"/>
      <c r="G280" s="617"/>
      <c r="H280" s="617"/>
      <c r="I280" s="617"/>
      <c r="J280" s="617"/>
      <c r="K280" s="1701">
        <f>D280</f>
        <v>2136</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146673</v>
      </c>
      <c r="E295" s="617"/>
      <c r="F295" s="617"/>
      <c r="G295" s="617"/>
      <c r="H295" s="1692">
        <f>H293</f>
        <v>0</v>
      </c>
      <c r="I295" s="617"/>
      <c r="J295" s="617"/>
      <c r="K295" s="1692">
        <f>SUM(K229,K279,K280,K285,K293,K294)</f>
        <v>146673</v>
      </c>
      <c r="L295" s="1692">
        <f>SUM(L229,L279,L280,L285,L293,L294)</f>
        <v>148111</v>
      </c>
    </row>
    <row r="296" spans="1:14" ht="13.5" thickTop="1" x14ac:dyDescent="0.2">
      <c r="A296" s="2199" t="s">
        <v>1053</v>
      </c>
      <c r="B296" s="2200"/>
      <c r="C296" s="617"/>
      <c r="D296" s="619"/>
      <c r="E296" s="617"/>
      <c r="F296" s="617"/>
      <c r="G296" s="617"/>
      <c r="H296" s="688"/>
      <c r="I296" s="617"/>
      <c r="J296" s="617"/>
      <c r="K296" s="1706">
        <f>'Revenues 9-14'!G275-'Expenditures 15-22'!K295</f>
        <v>-23035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16409</v>
      </c>
      <c r="F320" s="467"/>
      <c r="G320" s="467"/>
      <c r="H320" s="467"/>
      <c r="I320" s="467"/>
      <c r="J320" s="467"/>
      <c r="K320" s="1693">
        <f t="shared" ref="K320:K327" si="24">SUM(C320:J320)</f>
        <v>16409</v>
      </c>
      <c r="L320" s="467">
        <v>20000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56424</v>
      </c>
      <c r="F322" s="467"/>
      <c r="G322" s="467"/>
      <c r="H322" s="467"/>
      <c r="I322" s="467"/>
      <c r="J322" s="467"/>
      <c r="K322" s="1693">
        <f t="shared" si="24"/>
        <v>56424</v>
      </c>
      <c r="L322" s="467">
        <v>50000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1118</v>
      </c>
      <c r="F325" s="467"/>
      <c r="G325" s="467"/>
      <c r="H325" s="467"/>
      <c r="I325" s="467"/>
      <c r="J325" s="467"/>
      <c r="K325" s="1693">
        <f t="shared" si="24"/>
        <v>1118</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8012</v>
      </c>
      <c r="F327" s="467"/>
      <c r="G327" s="467"/>
      <c r="H327" s="467"/>
      <c r="I327" s="467"/>
      <c r="J327" s="467"/>
      <c r="K327" s="1693">
        <f t="shared" si="24"/>
        <v>8012</v>
      </c>
      <c r="L327" s="467">
        <v>10000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81963</v>
      </c>
      <c r="F330" s="1692">
        <f t="shared" si="25"/>
        <v>0</v>
      </c>
      <c r="G330" s="1692">
        <f t="shared" si="25"/>
        <v>0</v>
      </c>
      <c r="H330" s="1692">
        <f t="shared" si="25"/>
        <v>0</v>
      </c>
      <c r="I330" s="1692">
        <f t="shared" si="25"/>
        <v>0</v>
      </c>
      <c r="J330" s="1692">
        <f t="shared" si="25"/>
        <v>0</v>
      </c>
      <c r="K330" s="1692">
        <f>SUM(K319:K329)</f>
        <v>81963</v>
      </c>
      <c r="L330" s="1692">
        <f>SUM(L319:L329)</f>
        <v>80000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81963</v>
      </c>
      <c r="F342" s="1692">
        <f>SUM(F330)</f>
        <v>0</v>
      </c>
      <c r="G342" s="1692">
        <f>SUM(G330)</f>
        <v>0</v>
      </c>
      <c r="H342" s="1692">
        <f>SUM(H330,H334,H340)</f>
        <v>0</v>
      </c>
      <c r="I342" s="1692">
        <f>SUM(I330)</f>
        <v>0</v>
      </c>
      <c r="J342" s="1692">
        <f>SUM(J330)</f>
        <v>0</v>
      </c>
      <c r="K342" s="1692">
        <f>SUM(K330,K334,K340)</f>
        <v>81963</v>
      </c>
      <c r="L342" s="1699">
        <f>SUM(L330,L340,L341)</f>
        <v>80000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15000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15000</v>
      </c>
    </row>
    <row r="368" spans="1:14" ht="13.5" thickTop="1" x14ac:dyDescent="0.2">
      <c r="A368" s="2199" t="s">
        <v>1053</v>
      </c>
      <c r="B368" s="2200"/>
      <c r="C368" s="655"/>
      <c r="D368" s="655"/>
      <c r="E368" s="627"/>
      <c r="F368" s="627"/>
      <c r="G368" s="627"/>
      <c r="H368" s="627"/>
      <c r="I368" s="627"/>
      <c r="J368" s="624"/>
      <c r="K368" s="1693">
        <f>'Revenues 9-14'!K275-'Expenditures 15-22'!K367</f>
        <v>15315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metadata/properties"/>
    <ds:schemaRef ds:uri="6ce3111e-7420-4802-b50a-75d4e9a0b980"/>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sharepoint/v3"/>
    <ds:schemaRef ds:uri="http://purl.org/dc/dcmityp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2018-12-04T14:57:11Z</cp:lastPrinted>
  <dcterms:created xsi:type="dcterms:W3CDTF">2003-10-29T19:06:34Z</dcterms:created>
  <dcterms:modified xsi:type="dcterms:W3CDTF">2018-12-17T14:43:47Z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