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490" windowHeight="687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1" sheetId="179" r:id="rId28"/>
    <sheet name="SEFA-2" sheetId="187" r:id="rId29"/>
    <sheet name="SEFA-3" sheetId="188" r:id="rId30"/>
    <sheet name="SEFA-4" sheetId="186" r:id="rId31"/>
    <sheet name="SEFA NOTES" sheetId="173" r:id="rId32"/>
    <sheet name="SF&amp;QC Sec-1" sheetId="174" r:id="rId33"/>
    <sheet name="SF&amp;QC Sec-2.1" sheetId="175" r:id="rId34"/>
    <sheet name="SF&amp;QC Sec-2.2" sheetId="189" r:id="rId35"/>
    <sheet name="SF&amp;QC Sec-3.1" sheetId="176" r:id="rId36"/>
    <sheet name="SF&amp;QC Sec-3.2" sheetId="190" r:id="rId37"/>
    <sheet name="SSPAF" sheetId="177" r:id="rId38"/>
  </sheets>
  <definedNames>
    <definedName name="_xlnm.Print_Area" localSheetId="27">' SEFA-1'!$B$1:$M$46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5">'SF&amp;QC Sec-3.1'!$A$1:$K$52</definedName>
    <definedName name="_xlnm.Print_Area" localSheetId="16">'Shared Outsourced Services 31'!$A$1:$G$43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5">#REF!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5">#REF!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5">#REF!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5">#REF!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5">#REF!</definedName>
    <definedName name="SUPT" localSheetId="25">#REF!</definedName>
    <definedName name="SUPT" localSheetId="24">#REF!</definedName>
    <definedName name="SUPT" localSheetId="37">#REF!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3" i="127" l="1"/>
  <c r="B4" i="190" l="1"/>
  <c r="B4" i="189"/>
  <c r="M23" i="186" l="1"/>
  <c r="M25" i="186" s="1"/>
  <c r="K23" i="186"/>
  <c r="K25" i="186" s="1"/>
  <c r="J23" i="186"/>
  <c r="J25" i="186" s="1"/>
  <c r="I23" i="186"/>
  <c r="I25" i="186" s="1"/>
  <c r="H23" i="186"/>
  <c r="H25" i="186" s="1"/>
  <c r="G23" i="186"/>
  <c r="G25" i="186" s="1"/>
  <c r="F23" i="186"/>
  <c r="F25" i="186" s="1"/>
  <c r="E23" i="186"/>
  <c r="E25" i="186" s="1"/>
  <c r="M14" i="186"/>
  <c r="K14" i="186"/>
  <c r="J14" i="186"/>
  <c r="I14" i="186"/>
  <c r="H14" i="186"/>
  <c r="G14" i="186"/>
  <c r="F14" i="186"/>
  <c r="E14" i="186"/>
  <c r="M24" i="188"/>
  <c r="K24" i="188"/>
  <c r="J24" i="188"/>
  <c r="I24" i="188"/>
  <c r="H24" i="188"/>
  <c r="G24" i="188"/>
  <c r="F24" i="188"/>
  <c r="E24" i="188"/>
  <c r="M19" i="188"/>
  <c r="K19" i="188"/>
  <c r="J19" i="188"/>
  <c r="I19" i="188"/>
  <c r="H19" i="188"/>
  <c r="G19" i="188"/>
  <c r="F19" i="188"/>
  <c r="E19" i="188"/>
  <c r="M14" i="188"/>
  <c r="K14" i="188"/>
  <c r="J14" i="188"/>
  <c r="I14" i="188"/>
  <c r="H14" i="188"/>
  <c r="G14" i="188"/>
  <c r="F14" i="188"/>
  <c r="E14" i="188"/>
  <c r="M27" i="187"/>
  <c r="K27" i="187"/>
  <c r="J27" i="187"/>
  <c r="I27" i="187"/>
  <c r="H27" i="187"/>
  <c r="G27" i="187"/>
  <c r="F27" i="187"/>
  <c r="E27" i="187"/>
  <c r="L25" i="187"/>
  <c r="L26" i="187"/>
  <c r="M22" i="187"/>
  <c r="K22" i="187"/>
  <c r="J22" i="187"/>
  <c r="I22" i="187"/>
  <c r="H22" i="187"/>
  <c r="G22" i="187"/>
  <c r="F22" i="187"/>
  <c r="E22" i="187"/>
  <c r="M14" i="187"/>
  <c r="K14" i="187"/>
  <c r="J14" i="187"/>
  <c r="I14" i="187"/>
  <c r="H14" i="187"/>
  <c r="G14" i="187"/>
  <c r="F14" i="187"/>
  <c r="E14" i="187"/>
  <c r="M24" i="179"/>
  <c r="K24" i="179"/>
  <c r="J24" i="179"/>
  <c r="I24" i="179"/>
  <c r="H24" i="179"/>
  <c r="G24" i="179"/>
  <c r="F24" i="179"/>
  <c r="E24" i="179"/>
  <c r="M15" i="179"/>
  <c r="K15" i="179"/>
  <c r="J15" i="179"/>
  <c r="I15" i="179"/>
  <c r="H15" i="179"/>
  <c r="G15" i="179"/>
  <c r="F15" i="179"/>
  <c r="E15" i="179"/>
  <c r="L26" i="186"/>
  <c r="L23" i="186"/>
  <c r="L22" i="186"/>
  <c r="L21" i="186"/>
  <c r="L14" i="186"/>
  <c r="L13" i="186"/>
  <c r="B4" i="186"/>
  <c r="L23" i="188"/>
  <c r="L22" i="188"/>
  <c r="L19" i="188"/>
  <c r="L18" i="188"/>
  <c r="L17" i="188"/>
  <c r="L16" i="188"/>
  <c r="L14" i="188"/>
  <c r="L13" i="188"/>
  <c r="B4" i="188"/>
  <c r="L21" i="187"/>
  <c r="L20" i="187"/>
  <c r="L13" i="187"/>
  <c r="B4" i="187"/>
  <c r="F18" i="127"/>
  <c r="E26" i="179" l="1"/>
  <c r="G16" i="186"/>
  <c r="K16" i="186"/>
  <c r="F26" i="179"/>
  <c r="F16" i="187" s="1"/>
  <c r="H16" i="186"/>
  <c r="G26" i="179"/>
  <c r="K26" i="179"/>
  <c r="E16" i="186"/>
  <c r="E27" i="186" s="1"/>
  <c r="I16" i="186"/>
  <c r="J26" i="179"/>
  <c r="J16" i="187" s="1"/>
  <c r="M16" i="186"/>
  <c r="H26" i="179"/>
  <c r="H16" i="187" s="1"/>
  <c r="H27" i="186" s="1"/>
  <c r="M26" i="179"/>
  <c r="F16" i="186"/>
  <c r="J16" i="186"/>
  <c r="E16" i="187"/>
  <c r="L25" i="186"/>
  <c r="K16" i="187"/>
  <c r="K27" i="186" s="1"/>
  <c r="G16" i="187"/>
  <c r="M16" i="187"/>
  <c r="M27" i="186" s="1"/>
  <c r="J27" i="186"/>
  <c r="I26" i="179"/>
  <c r="I16" i="187" s="1"/>
  <c r="I27" i="186" s="1"/>
  <c r="L22" i="187"/>
  <c r="L16" i="186"/>
  <c r="L24" i="188"/>
  <c r="L27" i="187"/>
  <c r="L14" i="187"/>
  <c r="F27" i="186" l="1"/>
  <c r="L16" i="187"/>
  <c r="G27" i="186"/>
  <c r="L27" i="186"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6" i="179" l="1"/>
  <c r="L23" i="179"/>
  <c r="L22" i="179"/>
  <c r="L21" i="179"/>
  <c r="L20" i="179"/>
  <c r="L19" i="179"/>
  <c r="L18" i="179"/>
  <c r="L15" i="179"/>
  <c r="L14" i="179"/>
  <c r="L13" i="179"/>
  <c r="L24" i="179" l="1"/>
  <c r="D14" i="171"/>
  <c r="D12" i="171"/>
  <c r="A10" i="169"/>
  <c r="A16" i="169"/>
  <c r="A15" i="169"/>
  <c r="A14" i="169"/>
  <c r="K18" i="169"/>
  <c r="G18" i="169"/>
  <c r="G15" i="169"/>
  <c r="I13" i="169"/>
  <c r="G11" i="169"/>
  <c r="G10" i="169"/>
  <c r="G9" i="169"/>
  <c r="G7" i="169"/>
  <c r="E7" i="169"/>
  <c r="A2" i="170"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90"/>
  <c r="B1" i="186"/>
  <c r="B1" i="187"/>
  <c r="B1" i="188"/>
  <c r="B2" i="179"/>
  <c r="B2" i="190"/>
  <c r="B2" i="189"/>
  <c r="B2" i="187"/>
  <c r="B2" i="188"/>
  <c r="B2" i="186"/>
  <c r="B2" i="174"/>
  <c r="A2" i="173"/>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s="1"/>
  <c r="B6307" i="106"/>
  <c r="D6307" i="106" s="1"/>
  <c r="B6308" i="106"/>
  <c r="D6308" i="106" s="1"/>
  <c r="B6309" i="106"/>
  <c r="D6309" i="106" s="1"/>
  <c r="B6310" i="106"/>
  <c r="D6310" i="106"/>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c r="B6326" i="106"/>
  <c r="D6326" i="106" s="1"/>
  <c r="B6327" i="106"/>
  <c r="D6327" i="106" s="1"/>
  <c r="B6328" i="106"/>
  <c r="D6328" i="106" s="1"/>
  <c r="B6329" i="106"/>
  <c r="D6329" i="106" s="1"/>
  <c r="B6330" i="106"/>
  <c r="D6330" i="106" s="1"/>
  <c r="B6331" i="106"/>
  <c r="D6331" i="106" s="1"/>
  <c r="B6332" i="106"/>
  <c r="D6332" i="106" s="1"/>
  <c r="B6333" i="106"/>
  <c r="D6333" i="106"/>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c r="B6361" i="106"/>
  <c r="D6361" i="106" s="1"/>
  <c r="B6362" i="106"/>
  <c r="D6362" i="106" s="1"/>
  <c r="B6363" i="106"/>
  <c r="D6363" i="106" s="1"/>
  <c r="B6364" i="106"/>
  <c r="D6364" i="106" s="1"/>
  <c r="B6365" i="106"/>
  <c r="D6365" i="106" s="1"/>
  <c r="B6366" i="106"/>
  <c r="D6366" i="106" s="1"/>
  <c r="B6367" i="106"/>
  <c r="D6367" i="106" s="1"/>
  <c r="B6368" i="106"/>
  <c r="D6368" i="106"/>
  <c r="B6369" i="106"/>
  <c r="D6369" i="106" s="1"/>
  <c r="B6370" i="106"/>
  <c r="D6370" i="106" s="1"/>
  <c r="B6371" i="106"/>
  <c r="D6371" i="106" s="1"/>
  <c r="B6372" i="106"/>
  <c r="D6372" i="106" s="1"/>
  <c r="B6373" i="106"/>
  <c r="D6373" i="106" s="1"/>
  <c r="B6374" i="106"/>
  <c r="D6374" i="106" s="1"/>
  <c r="B6375" i="106"/>
  <c r="D6375" i="106" s="1"/>
  <c r="B6376" i="106"/>
  <c r="D6376" i="106"/>
  <c r="B6377" i="106"/>
  <c r="D6377" i="106" s="1"/>
  <c r="B6378" i="106"/>
  <c r="D6378" i="106" s="1"/>
  <c r="B6379" i="106"/>
  <c r="D6379" i="106" s="1"/>
  <c r="B6380" i="106"/>
  <c r="D6380" i="106" s="1"/>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s="1"/>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c r="B6649" i="106"/>
  <c r="D6649" i="106" s="1"/>
  <c r="B6650" i="106"/>
  <c r="D6650" i="106" s="1"/>
  <c r="B6651" i="106"/>
  <c r="D6651" i="106" s="1"/>
  <c r="B6652" i="106"/>
  <c r="D6652" i="106" s="1"/>
  <c r="B6653" i="106"/>
  <c r="D6653" i="106" s="1"/>
  <c r="B6654" i="106"/>
  <c r="D6654" i="106" s="1"/>
  <c r="B6655" i="106"/>
  <c r="D6655" i="106" s="1"/>
  <c r="B6656" i="106"/>
  <c r="D6656" i="106"/>
  <c r="B6657" i="106"/>
  <c r="D6657" i="106" s="1"/>
  <c r="B6658" i="106"/>
  <c r="D6658" i="106" s="1"/>
  <c r="B6659" i="106"/>
  <c r="D6659" i="106" s="1"/>
  <c r="B6660" i="106"/>
  <c r="D6660" i="106" s="1"/>
  <c r="B6661" i="106"/>
  <c r="D6661" i="106" s="1"/>
  <c r="B6662" i="106"/>
  <c r="D6662" i="106" s="1"/>
  <c r="B6663" i="106"/>
  <c r="D6663" i="106" s="1"/>
  <c r="B6664" i="106"/>
  <c r="D6664" i="106"/>
  <c r="B6665" i="106"/>
  <c r="D6665" i="106" s="1"/>
  <c r="B6666" i="106"/>
  <c r="D6666" i="106" s="1"/>
  <c r="B6667" i="106"/>
  <c r="D6667" i="106" s="1"/>
  <c r="B6668" i="106"/>
  <c r="D6668" i="106" s="1"/>
  <c r="B6669" i="106"/>
  <c r="D6669" i="106" s="1"/>
  <c r="B6670" i="106"/>
  <c r="D6670" i="106" s="1"/>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c r="B6697" i="106"/>
  <c r="D6697" i="106" s="1"/>
  <c r="B6698" i="106"/>
  <c r="D6698" i="106" s="1"/>
  <c r="B6699" i="106"/>
  <c r="D6699" i="106" s="1"/>
  <c r="B6700" i="106"/>
  <c r="D6700" i="106" s="1"/>
  <c r="B6701" i="106"/>
  <c r="D6701" i="106" s="1"/>
  <c r="B6702" i="106"/>
  <c r="D6702" i="106" s="1"/>
  <c r="B6703" i="106"/>
  <c r="D6703" i="106" s="1"/>
  <c r="B6704" i="106"/>
  <c r="D6704" i="106"/>
  <c r="B6705" i="106"/>
  <c r="D6705" i="106" s="1"/>
  <c r="B6706" i="106"/>
  <c r="D6706" i="106" s="1"/>
  <c r="B6707" i="106"/>
  <c r="D6707" i="106" s="1"/>
  <c r="B6708" i="106"/>
  <c r="D6708" i="106" s="1"/>
  <c r="B6709" i="106"/>
  <c r="D6709" i="106" s="1"/>
  <c r="B6710" i="106"/>
  <c r="D6710" i="106" s="1"/>
  <c r="B6711" i="106"/>
  <c r="D6711" i="106" s="1"/>
  <c r="B6712" i="106"/>
  <c r="D6712" i="106"/>
  <c r="B6713" i="106"/>
  <c r="D6713" i="106" s="1"/>
  <c r="B6714" i="106"/>
  <c r="D6714" i="106" s="1"/>
  <c r="B6715" i="106"/>
  <c r="D6715" i="106" s="1"/>
  <c r="B6716" i="106"/>
  <c r="D6716" i="106" s="1"/>
  <c r="B6717" i="106"/>
  <c r="D6717" i="106" s="1"/>
  <c r="B6718" i="106"/>
  <c r="D6718" i="106" s="1"/>
  <c r="B6719" i="106"/>
  <c r="D6719" i="106" s="1"/>
  <c r="B6720" i="106"/>
  <c r="D6720" i="106"/>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70" i="127"/>
  <c r="B71" i="127"/>
  <c r="E26" i="108"/>
  <c r="G26" i="108"/>
  <c r="D27" i="108"/>
  <c r="E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J22" i="37"/>
  <c r="L22" i="37"/>
  <c r="D24" i="37"/>
  <c r="B4270" i="106" s="1"/>
  <c r="D4270" i="106" s="1"/>
  <c r="L5" i="11"/>
  <c r="B2056" i="106" s="1"/>
  <c r="D2056" i="106" s="1"/>
  <c r="D4" i="7"/>
  <c r="B1760" i="106" s="1"/>
  <c r="D1760" i="106" s="1"/>
  <c r="D13" i="7"/>
  <c r="B3726" i="106" s="1"/>
  <c r="D3726" i="106" s="1"/>
  <c r="F131" i="34"/>
  <c r="F111" i="34"/>
  <c r="B5847" i="106"/>
  <c r="D5847" i="106" s="1"/>
  <c r="H109" i="5"/>
  <c r="B6025" i="106" s="1"/>
  <c r="D6025" i="106" s="1"/>
  <c r="B1746" i="106"/>
  <c r="D1746" i="106" s="1"/>
  <c r="D12" i="7"/>
  <c r="B1769" i="106" s="1"/>
  <c r="D1769" i="106" s="1"/>
  <c r="D11" i="7"/>
  <c r="B1768" i="106" s="1"/>
  <c r="D1768" i="106" s="1"/>
  <c r="D15" i="7"/>
  <c r="B1772" i="106" s="1"/>
  <c r="D1772" i="106" s="1"/>
  <c r="E109" i="5" l="1"/>
  <c r="E4" i="4" s="1"/>
  <c r="B2630" i="106" s="1"/>
  <c r="D2630" i="106" s="1"/>
  <c r="K41" i="3"/>
  <c r="B3568" i="106" s="1"/>
  <c r="D3568" i="106" s="1"/>
  <c r="F77" i="4"/>
  <c r="B3255" i="106" s="1"/>
  <c r="D3255" i="106" s="1"/>
  <c r="D6103" i="106"/>
  <c r="C352" i="29"/>
  <c r="K285" i="29"/>
  <c r="L15" i="11"/>
  <c r="B3459" i="106" s="1"/>
  <c r="D3459" i="106" s="1"/>
  <c r="K24" i="12"/>
  <c r="F26" i="108"/>
  <c r="D26" i="108"/>
  <c r="D41" i="108" s="1"/>
  <c r="E43" i="108" s="1"/>
  <c r="H173" i="5"/>
  <c r="B5906" i="106" s="1"/>
  <c r="D5906" i="106" s="1"/>
  <c r="D52" i="36"/>
  <c r="L367" i="29"/>
  <c r="K274" i="5"/>
  <c r="I173" i="5"/>
  <c r="B4216" i="106" s="1"/>
  <c r="D4216" i="106" s="1"/>
  <c r="G172" i="5"/>
  <c r="B5770" i="106" s="1"/>
  <c r="D5770" i="106" s="1"/>
  <c r="B6238" i="106"/>
  <c r="D6238" i="106" s="1"/>
  <c r="J77" i="4"/>
  <c r="B6262" i="106" s="1"/>
  <c r="D6262" i="106" s="1"/>
  <c r="C109" i="5"/>
  <c r="B5121" i="106" s="1"/>
  <c r="D5121" i="106" s="1"/>
  <c r="F127" i="34"/>
  <c r="D7245" i="106"/>
  <c r="B3647" i="106"/>
  <c r="D3647" i="106" s="1"/>
  <c r="L13" i="11"/>
  <c r="B2060" i="106" s="1"/>
  <c r="D2060" i="106" s="1"/>
  <c r="F21" i="8"/>
  <c r="G15" i="145"/>
  <c r="K184" i="29"/>
  <c r="F13" i="4" s="1"/>
  <c r="B2596" i="106" s="1"/>
  <c r="D2596" i="106" s="1"/>
  <c r="G210" i="29"/>
  <c r="G173" i="5"/>
  <c r="B5778" i="106" s="1"/>
  <c r="D5778" i="106" s="1"/>
  <c r="D17" i="7"/>
  <c r="B4104" i="106" s="1"/>
  <c r="D4104" i="106" s="1"/>
  <c r="F106" i="34"/>
  <c r="B5752" i="106"/>
  <c r="D5752" i="106" s="1"/>
  <c r="F128" i="34"/>
  <c r="H33" i="118"/>
  <c r="J274" i="5"/>
  <c r="B7054" i="106" s="1"/>
  <c r="D7054" i="106" s="1"/>
  <c r="I342" i="29"/>
  <c r="B7222" i="106" s="1"/>
  <c r="D7222" i="106" s="1"/>
  <c r="B3621" i="106"/>
  <c r="D3621" i="106" s="1"/>
  <c r="C367" i="29"/>
  <c r="C129" i="29"/>
  <c r="B1225" i="106" s="1"/>
  <c r="D1225" i="106" s="1"/>
  <c r="B1223" i="106"/>
  <c r="D1223" i="106" s="1"/>
  <c r="B1053" i="106"/>
  <c r="D1053" i="106" s="1"/>
  <c r="H112" i="29"/>
  <c r="B7018" i="106" s="1"/>
  <c r="D7018" i="106" s="1"/>
  <c r="H4" i="4"/>
  <c r="B2655" i="106" s="1"/>
  <c r="D2655" i="106" s="1"/>
  <c r="D109" i="5"/>
  <c r="F130" i="34"/>
  <c r="D9" i="7"/>
  <c r="B1767" i="106" s="1"/>
  <c r="D1767" i="106" s="1"/>
  <c r="K28" i="118"/>
  <c r="O27" i="118" s="1"/>
  <c r="O29" i="118" s="1"/>
  <c r="B5232" i="106"/>
  <c r="D5232" i="106" s="1"/>
  <c r="G109" i="5"/>
  <c r="B5066" i="106"/>
  <c r="D5066" i="106" s="1"/>
  <c r="L342" i="29"/>
  <c r="F34" i="34"/>
  <c r="B7235" i="106"/>
  <c r="D7235" i="106" s="1"/>
  <c r="J41" i="3"/>
  <c r="B3669" i="106"/>
  <c r="D3669" i="106" s="1"/>
  <c r="K350" i="29"/>
  <c r="H6" i="4"/>
  <c r="B2656" i="106" s="1"/>
  <c r="D2656" i="106" s="1"/>
  <c r="D7" i="7"/>
  <c r="B1763" i="106" s="1"/>
  <c r="D1763" i="106" s="1"/>
  <c r="C172" i="5"/>
  <c r="F136" i="34"/>
  <c r="D5" i="7"/>
  <c r="B1761" i="106" s="1"/>
  <c r="D1761" i="106" s="1"/>
  <c r="K173" i="5"/>
  <c r="K6" i="4" s="1"/>
  <c r="B3570" i="106" s="1"/>
  <c r="D3570" i="106" s="1"/>
  <c r="F172" i="5"/>
  <c r="B5644" i="106" s="1"/>
  <c r="D5644" i="106" s="1"/>
  <c r="L312" i="29"/>
  <c r="H365" i="29"/>
  <c r="K76" i="4"/>
  <c r="B3586" i="106" s="1"/>
  <c r="D3586" i="106" s="1"/>
  <c r="I24" i="12"/>
  <c r="E174" i="29"/>
  <c r="B1309" i="106" s="1"/>
  <c r="D1309" i="106" s="1"/>
  <c r="B3689" i="106"/>
  <c r="D3689" i="106" s="1"/>
  <c r="B3649" i="106"/>
  <c r="D3649" i="106" s="1"/>
  <c r="G367" i="29"/>
  <c r="B3650" i="106" s="1"/>
  <c r="D3650" i="106" s="1"/>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F73" i="34" l="1"/>
  <c r="G15" i="4"/>
  <c r="B6032" i="106" s="1"/>
  <c r="D6032" i="106" s="1"/>
  <c r="B7733" i="106"/>
  <c r="D7733" i="106" s="1"/>
  <c r="K26" i="12"/>
  <c r="B7743" i="106" s="1"/>
  <c r="D7743" i="106" s="1"/>
  <c r="C4" i="4"/>
  <c r="B2551" i="106" s="1"/>
  <c r="D2551" i="106" s="1"/>
  <c r="D7255" i="106"/>
  <c r="D7252" i="106"/>
  <c r="C114" i="29"/>
  <c r="B757" i="106" s="1"/>
  <c r="D757" i="106" s="1"/>
  <c r="D19" i="7"/>
  <c r="B1775" i="106" s="1"/>
  <c r="D1775" i="106" s="1"/>
  <c r="B1879" i="106"/>
  <c r="D1879" i="106" s="1"/>
  <c r="H22" i="37"/>
  <c r="B1365" i="106"/>
  <c r="D1365" i="106" s="1"/>
  <c r="F65" i="34"/>
  <c r="D7254" i="106"/>
  <c r="D7250" i="106"/>
  <c r="L114" i="29"/>
  <c r="I26" i="12"/>
  <c r="B7741" i="106" s="1"/>
  <c r="D7741" i="106" s="1"/>
  <c r="B1996" i="106"/>
  <c r="D1996" i="106" s="1"/>
  <c r="B5214" i="106"/>
  <c r="D5214" i="106" s="1"/>
  <c r="C173" i="5"/>
  <c r="B3628" i="106"/>
  <c r="D3628" i="106" s="1"/>
  <c r="C151" i="29"/>
  <c r="B1226" i="106" s="1"/>
  <c r="D1226" i="106" s="1"/>
  <c r="B1317" i="106"/>
  <c r="D1317" i="106" s="1"/>
  <c r="F274" i="5"/>
  <c r="B5719" i="106" s="1"/>
  <c r="D5719" i="106" s="1"/>
  <c r="H367" i="29"/>
  <c r="B3660" i="106" s="1"/>
  <c r="D3660" i="106" s="1"/>
  <c r="B7242" i="106"/>
  <c r="D7242" i="106" s="1"/>
  <c r="B6024" i="106"/>
  <c r="D6024" i="106" s="1"/>
  <c r="G4" i="4"/>
  <c r="B2603" i="106" s="1"/>
  <c r="D2603" i="106" s="1"/>
  <c r="L16" i="11"/>
  <c r="B2061" i="106" s="1"/>
  <c r="D2061" i="106" s="1"/>
  <c r="K342" i="29"/>
  <c r="F13" i="34" s="1"/>
  <c r="F173" i="5"/>
  <c r="B3670" i="106"/>
  <c r="D3670" i="106" s="1"/>
  <c r="K352" i="29"/>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B5507" i="106"/>
  <c r="D5507" i="106" s="1"/>
  <c r="B7298" i="106"/>
  <c r="B7299" i="106"/>
  <c r="B1145" i="106" l="1"/>
  <c r="D1145" i="106" s="1"/>
  <c r="G41" i="108"/>
  <c r="G44" i="108" s="1"/>
  <c r="G45" i="108" s="1"/>
  <c r="E41" i="108"/>
  <c r="E44" i="108" s="1"/>
  <c r="E45" i="108" s="1"/>
  <c r="B5653" i="106"/>
  <c r="D5653" i="106" s="1"/>
  <c r="F275" i="5"/>
  <c r="B5720" i="106" s="1"/>
  <c r="D5720" i="106" s="1"/>
  <c r="F6" i="4"/>
  <c r="B5223" i="106"/>
  <c r="D5223" i="106" s="1"/>
  <c r="C6" i="4"/>
  <c r="B2553" i="106" s="1"/>
  <c r="D2553" i="106" s="1"/>
  <c r="K13" i="4"/>
  <c r="B3572" i="106" s="1"/>
  <c r="D3572" i="106" s="1"/>
  <c r="B3672" i="106"/>
  <c r="D3672"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K368" i="29"/>
  <c r="B3681" i="106" s="1"/>
  <c r="D3681" i="106" s="1"/>
  <c r="B2593" i="106"/>
  <c r="D2593" i="106" s="1"/>
  <c r="F8" i="4"/>
  <c r="D10" i="171"/>
  <c r="D19" i="171" s="1"/>
  <c r="D32" i="171" s="1"/>
  <c r="D49" i="171" s="1"/>
  <c r="F76" i="34"/>
  <c r="K17" i="4"/>
  <c r="B3575" i="106" s="1"/>
  <c r="D357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20" i="4" l="1"/>
  <c r="H13" i="118"/>
  <c r="K19" i="4"/>
  <c r="B4144" i="106" s="1"/>
  <c r="D4144" i="106" s="1"/>
  <c r="F10" i="4"/>
  <c r="B4125" i="106" s="1"/>
  <c r="D4125" i="106" s="1"/>
  <c r="B2595" i="106"/>
  <c r="D2595" i="106" s="1"/>
  <c r="D8" i="146"/>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<sst xmlns="http://schemas.openxmlformats.org/spreadsheetml/2006/main" count="5411" uniqueCount="2226">
  <si>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</si>
  <si>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</si>
  <si>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</si>
  <si>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</si>
  <si>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</si>
  <si>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</si>
  <si>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</si>
  <si>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</si>
  <si>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</si>
  <si>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</si>
  <si>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</si>
  <si>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</si>
  <si>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</si>
  <si>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</si>
  <si>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</si>
  <si>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</si>
  <si>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</si>
  <si>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</si>
  <si>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</si>
  <si>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</si>
  <si>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</si>
  <si>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</si>
  <si>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</si>
  <si>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</si>
  <si>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</si>
  <si>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</si>
  <si>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</si>
  <si>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</si>
  <si>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</si>
  <si>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</si>
  <si>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</si>
  <si>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</si>
  <si>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</si>
  <si>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</si>
  <si>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</si>
  <si>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</si>
  <si>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</si>
  <si>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</si>
  <si>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</si>
  <si>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</si>
  <si>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</si>
  <si>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</si>
  <si>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</si>
  <si>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</si>
  <si>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</si>
  <si>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</si>
  <si>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</si>
  <si>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</si>
  <si>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</si>
  <si>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</si>
  <si>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</si>
  <si>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</si>
  <si>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</si>
  <si>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</si>
  <si>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</si>
  <si>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</si>
  <si>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</si>
  <si>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</si>
  <si>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</si>
  <si>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</si>
  <si>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</si>
  <si>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</si>
  <si>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</si>
  <si>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</si>
  <si>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</si>
  <si>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</si>
  <si>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</si>
  <si>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</si>
  <si>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</si>
  <si>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</si>
  <si>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</si>
  <si>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</si>
  <si>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</si>
  <si>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</si>
  <si>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</si>
  <si>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</si>
  <si>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</si>
  <si>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</si>
  <si>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</si>
  <si>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</si>
  <si>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</si>
  <si>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</si>
  <si>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</si>
  <si>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</si>
  <si>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</si>
  <si>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</si>
  <si>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</si>
  <si>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</si>
  <si>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</si>
  <si>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</si>
  <si>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</si>
  <si>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</si>
  <si>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</si>
  <si>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</si>
  <si>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</si>
  <si>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</si>
  <si>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</si>
  <si>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</si>
  <si>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</si>
  <si>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</si>
  <si>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</si>
  <si>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</si>
  <si>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</si>
  <si>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</si>
  <si>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</si>
  <si>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</si>
  <si>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</si>
  <si>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</si>
  <si>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</si>
  <si>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</si>
  <si>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</si>
  <si>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</si>
  <si>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</si>
  <si>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</si>
  <si>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</si>
  <si>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</si>
  <si>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</si>
  <si>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</si>
  <si>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</si>
  <si>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</si>
  <si>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</si>
  <si>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</si>
  <si>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</si>
  <si>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</si>
  <si>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</si>
  <si>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</si>
  <si>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</si>
  <si>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</si>
  <si>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</si>
  <si>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</si>
  <si>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</si>
  <si>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</si>
  <si>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</si>
  <si>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</si>
  <si>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</si>
  <si>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</si>
  <si>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</si>
  <si>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</si>
  <si>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</si>
  <si>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</si>
  <si>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</si>
  <si>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</si>
  <si>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</si>
  <si>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</si>
  <si>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</si>
  <si>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</si>
  <si>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</si>
  <si>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</si>
  <si>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</si>
  <si>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</si>
  <si>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</si>
  <si>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</si>
  <si>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</si>
  <si>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</si>
  <si>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</si>
  <si>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</si>
  <si>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</si>
  <si>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</si>
  <si>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</si>
  <si>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</si>
  <si>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</si>
  <si>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</si>
  <si>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</si>
  <si>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</si>
  <si>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</si>
  <si>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</si>
  <si>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</si>
  <si>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</si>
  <si>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</si>
  <si>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</si>
  <si>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</si>
  <si>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</si>
  <si>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</si>
  <si>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</si>
  <si>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</si>
  <si>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</si>
  <si>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</si>
  <si>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</si>
  <si>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</si>
  <si>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</si>
  <si>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</si>
  <si>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</si>
  <si>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</si>
  <si>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</si>
  <si>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</si>
  <si>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</si>
  <si>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</si>
  <si>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</si>
  <si>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</si>
  <si>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</si>
  <si>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</si>
  <si>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</si>
  <si>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</si>
  <si>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</si>
  <si>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</si>
  <si>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</si>
  <si>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</si>
  <si>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</si>
  <si>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</si>
  <si>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</si>
  <si>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</si>
  <si>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</si>
  <si>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</si>
  <si>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</si>
  <si>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</si>
  <si>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</si>
  <si>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</si>
  <si>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</si>
  <si>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</si>
  <si>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</si>
  <si>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</si>
  <si>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</si>
  <si>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</si>
  <si>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</si>
  <si>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</si>
  <si>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</si>
  <si>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</si>
  <si>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</si>
  <si>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</si>
  <si>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</si>
  <si>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</si>
  <si>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</si>
  <si>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</si>
  <si>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</si>
  <si>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</si>
  <si>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</si>
  <si>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</si>
  <si>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</si>
  <si>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</si>
  <si>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</si>
  <si>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</si>
  <si>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</si>
  <si>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</si>
  <si>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</si>
  <si>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</si>
  <si>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</si>
  <si>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</si>
  <si>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</si>
  <si>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</si>
  <si>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</si>
  <si>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</si>
  <si>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</si>
  <si>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</si>
  <si>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</si>
  <si>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</si>
  <si>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</si>
  <si>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</si>
  <si>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</si>
  <si>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</si>
  <si>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</si>
  <si>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</si>
  <si>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</si>
  <si>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</si>
  <si>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</si>
  <si>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</si>
  <si>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</si>
  <si>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</si>
  <si>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</si>
  <si>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</si>
  <si>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</si>
  <si>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</si>
  <si>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</si>
  <si>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</si>
  <si>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</si>
  <si>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</si>
  <si>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</si>
  <si>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</si>
  <si>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</si>
  <si>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</si>
  <si>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</si>
  <si>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</si>
  <si>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</si>
  <si>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</si>
  <si>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</si>
  <si>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</si>
  <si>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</si>
  <si>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</si>
  <si>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</si>
  <si>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</si>
  <si>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</si>
  <si>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</si>
  <si>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</si>
  <si>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</si>
  <si>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</si>
  <si>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</si>
  <si>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</si>
  <si>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</si>
  <si>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</si>
  <si>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</si>
  <si>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</si>
  <si>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</si>
  <si>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</si>
  <si>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</si>
  <si>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</si>
  <si>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</si>
  <si>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</si>
  <si>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</si>
  <si>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</si>
  <si>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</si>
  <si>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</si>
  <si>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</si>
  <si>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</si>
  <si>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</si>
  <si>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</si>
  <si>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</si>
  <si>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</si>
  <si>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</si>
  <si>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</si>
  <si>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</si>
  <si>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</si>
  <si>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</si>
  <si>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</si>
  <si>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</si>
  <si>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</si>
  <si>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</si>
  <si>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</si>
  <si>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</si>
  <si>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</si>
  <si>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</si>
  <si>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</si>
  <si>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</si>
  <si>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</si>
  <si>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</si>
  <si>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</si>
  <si>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</si>
  <si>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</si>
  <si>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</si>
  <si>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</si>
  <si>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</si>
  <si>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</si>
  <si>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</si>
  <si>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</si>
  <si>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</si>
  <si>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</si>
  <si>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</si>
  <si>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</si>
  <si>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</si>
  <si>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</si>
  <si>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</si>
  <si>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</si>
  <si>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</si>
  <si>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</si>
  <si>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</si>
  <si>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</si>
  <si>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</si>
  <si>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</si>
  <si>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</si>
  <si>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</si>
  <si>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</si>
  <si>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</si>
  <si>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</si>
  <si>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</si>
  <si>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</si>
  <si>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</si>
  <si>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</si>
  <si>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</si>
  <si>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</si>
  <si>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</si>
  <si>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</si>
  <si>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</si>
  <si>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</si>
  <si>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</si>
  <si>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</si>
  <si>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</si>
  <si>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</si>
  <si>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</si>
  <si>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</si>
  <si>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</si>
  <si>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</si>
  <si>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</si>
  <si>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</si>
  <si>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</si>
  <si>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</si>
  <si>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</si>
  <si>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</si>
  <si>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</si>
  <si>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</si>
  <si>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</si>
  <si>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</si>
  <si>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</si>
  <si>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</si>
  <si>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</si>
  <si>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</si>
  <si>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</si>
  <si>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</si>
  <si>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</si>
  <si>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</si>
  <si>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</si>
  <si>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</si>
  <si>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</si>
  <si>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</si>
  <si>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</si>
  <si>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</si>
  <si>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</si>
  <si>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</si>
  <si>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</si>
  <si>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</si>
  <si>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</si>
  <si>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</si>
  <si>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</si>
  <si>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</si>
  <si>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</si>
  <si>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</si>
  <si>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</si>
  <si>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</si>
  <si>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</si>
  <si>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</si>
  <si>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</si>
  <si>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</si>
  <si>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</si>
  <si>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</si>
  <si>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</si>
  <si>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</si>
  <si>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</si>
  <si>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</si>
  <si>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</si>
  <si>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</si>
  <si>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</si>
  <si>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</si>
  <si>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</si>
  <si>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</si>
  <si>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</si>
  <si>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</si>
  <si>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</si>
  <si>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</si>
  <si>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</si>
  <si>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</si>
  <si>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</si>
  <si>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</si>
  <si>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</si>
  <si>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</si>
  <si>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</si>
  <si>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</si>
  <si>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</si>
  <si>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</si>
  <si>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</si>
  <si>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</si>
  <si>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</si>
  <si>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</si>
  <si>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</si>
  <si>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</si>
  <si>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</si>
  <si>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</si>
  <si>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</si>
  <si>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</si>
  <si>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</si>
  <si>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</si>
  <si>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</si>
  <si>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</si>
  <si>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</si>
  <si>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</si>
  <si>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</si>
  <si>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</si>
  <si>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</si>
  <si>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</si>
  <si>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</si>
  <si>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</si>
  <si>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</si>
  <si>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</si>
  <si>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</si>
  <si>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</si>
  <si>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</si>
  <si>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</si>
  <si>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</si>
  <si>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</si>
  <si>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</si>
  <si>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</si>
  <si>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</si>
  <si>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</si>
  <si>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</si>
  <si>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</si>
  <si>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</si>
  <si>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</si>
  <si>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</si>
  <si>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</si>
  <si>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</si>
  <si>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</si>
  <si>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</si>
  <si>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</si>
  <si>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</si>
  <si>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</si>
  <si>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</si>
  <si>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</si>
  <si>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</si>
  <si>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</si>
  <si>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</si>
  <si>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</si>
  <si>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</si>
  <si>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</si>
  <si>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</si>
  <si>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</si>
  <si>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</si>
  <si>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</si>
  <si>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</si>
  <si>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</si>
  <si>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</si>
  <si>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</si>
  <si>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</si>
  <si>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</si>
  <si>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</si>
  <si>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</si>
  <si>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</si>
  <si>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</si>
  <si>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</si>
  <si>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</si>
  <si>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</si>
  <si>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</si>
  <si>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</si>
  <si>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</si>
  <si>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</si>
  <si>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</si>
  <si>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</si>
  <si>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</si>
  <si>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</si>
  <si>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</si>
  <si>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</si>
  <si>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</si>
  <si>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</si>
  <si>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</si>
  <si>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</si>
  <si>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</si>
  <si>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</si>
  <si>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</si>
  <si>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</si>
  <si>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</si>
  <si>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</si>
  <si>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</si>
  <si>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</si>
  <si>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</si>
  <si>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</si>
  <si>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</si>
  <si>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</si>
  <si>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</si>
  <si>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</si>
  <si>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</si>
  <si>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</si>
  <si>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</si>
  <si>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</si>
  <si>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</si>
  <si>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</si>
  <si>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</si>
  <si>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</si>
  <si>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</si>
  <si>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</si>
  <si>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</si>
  <si>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</si>
  <si>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</si>
  <si>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</si>
  <si>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</si>
  <si>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</si>
  <si>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</si>
  <si>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</si>
  <si>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</si>
  <si>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</si>
  <si>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</si>
  <si>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</si>
  <si>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</si>
  <si>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</si>
  <si>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</si>
  <si>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</si>
  <si>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</si>
  <si>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</si>
  <si>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</si>
  <si>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</si>
  <si>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</si>
  <si>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</si>
  <si>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</si>
  <si>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</si>
  <si>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</si>
  <si>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</si>
  <si>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</si>
  <si>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</si>
  <si>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</si>
  <si>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</si>
  <si>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</si>
  <si>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</si>
  <si>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</si>
  <si>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</si>
  <si>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</si>
  <si>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</si>
  <si>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</si>
  <si>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</si>
  <si>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</si>
  <si>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</si>
  <si>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</si>
  <si>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</si>
  <si>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</si>
  <si>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</si>
  <si>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</si>
  <si>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</si>
  <si>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</si>
  <si>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</si>
  <si>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</si>
  <si>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</si>
  <si>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</si>
  <si>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</si>
  <si>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</si>
  <si>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</si>
  <si>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</si>
  <si>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</si>
  <si>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</si>
  <si>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</si>
  <si>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</si>
  <si>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</si>
  <si>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</si>
  <si>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</si>
  <si>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</si>
  <si>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</si>
  <si>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</si>
  <si>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</si>
  <si>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</si>
  <si>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</si>
  <si>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</si>
  <si>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</si>
  <si>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</si>
  <si>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</si>
  <si>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</si>
  <si>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</si>
  <si>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</si>
  <si>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</si>
  <si>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</si>
  <si>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</si>
  <si>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</si>
  <si>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</si>
  <si>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</si>
  <si>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</si>
  <si>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</si>
  <si>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</si>
  <si>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</si>
  <si>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</si>
  <si>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</si>
  <si>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</si>
  <si>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</si>
  <si>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</si>
  <si>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</si>
  <si>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</si>
  <si>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</si>
  <si>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</si>
  <si>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</si>
  <si>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</si>
  <si>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</si>
  <si>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</si>
  <si>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</si>
  <si>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</si>
  <si>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</si>
  <si>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</si>
  <si>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</si>
  <si>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</si>
  <si>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</si>
  <si>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</si>
  <si>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</si>
  <si>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</si>
  <si>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</si>
  <si>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</si>
  <si>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</si>
  <si>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</si>
  <si>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</si>
  <si>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</si>
  <si>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</si>
  <si>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</si>
  <si>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</si>
  <si>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</si>
  <si>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</si>
  <si>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</si>
  <si>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</si>
  <si>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</si>
  <si>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</si>
  <si>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</si>
  <si>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</si>
  <si>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</si>
  <si>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</si>
  <si>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</si>
  <si>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</si>
  <si>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</si>
  <si>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</si>
  <si>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</si>
  <si>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</si>
  <si>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</si>
  <si>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</si>
  <si>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</si>
  <si>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</si>
  <si>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</si>
  <si>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</si>
  <si>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</si>
  <si>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</si>
  <si>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</si>
  <si>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</si>
  <si>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</si>
  <si>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</si>
  <si>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</si>
  <si>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</si>
  <si>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</si>
  <si>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</si>
  <si>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</si>
  <si>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</si>
  <si>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</si>
  <si>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</si>
  <si>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</si>
  <si>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</si>
  <si>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</si>
  <si>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</si>
  <si>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</si>
  <si>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</si>
  <si>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</si>
  <si>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</si>
  <si>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</si>
  <si>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</si>
  <si>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</si>
  <si>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</si>
  <si>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</si>
  <si>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</si>
  <si>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</si>
  <si>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</si>
  <si>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</si>
  <si>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</si>
  <si>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</si>
  <si>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</si>
  <si>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</si>
  <si>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</si>
  <si>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</si>
  <si>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</si>
  <si>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</si>
  <si>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</si>
  <si>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</si>
  <si>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</si>
  <si>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</si>
  <si>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</si>
  <si>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</si>
  <si>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</si>
  <si>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</si>
  <si>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</si>
  <si>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</si>
  <si>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</si>
  <si>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</si>
  <si>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</si>
  <si>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</si>
  <si>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</si>
  <si>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</si>
  <si>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</si>
  <si>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</si>
  <si>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</si>
  <si>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</si>
  <si>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</si>
  <si>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</si>
  <si>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</si>
  <si>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</si>
  <si>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</si>
  <si>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</si>
  <si>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</si>
  <si>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</si>
  <si>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</si>
  <si>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</si>
  <si>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</si>
  <si>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</si>
  <si>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</si>
  <si>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</si>
  <si>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</si>
  <si>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</si>
  <si>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</si>
  <si>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</si>
  <si>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</si>
  <si>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</si>
  <si>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</si>
  <si>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</si>
  <si>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</si>
  <si>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</si>
  <si>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</si>
  <si>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</si>
  <si>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</si>
  <si>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</si>
  <si>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</si>
  <si>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</si>
  <si>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</si>
  <si>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</si>
  <si>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</si>
  <si>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</si>
  <si>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</si>
  <si>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</si>
  <si>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</si>
  <si>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</si>
  <si>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</si>
  <si>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</si>
  <si>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</si>
  <si>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</si>
  <si>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</si>
  <si>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</si>
  <si>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</si>
  <si>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</si>
  <si>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</si>
  <si>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</si>
  <si>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</si>
  <si>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</si>
  <si>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</si>
  <si>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</si>
  <si>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</si>
  <si>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</si>
  <si>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</si>
  <si>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</si>
  <si>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</si>
  <si>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</si>
  <si>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</si>
  <si>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</si>
  <si>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</si>
  <si>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</si>
  <si>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</si>
  <si>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</si>
  <si>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</si>
  <si>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</si>
  <si>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</si>
  <si>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</si>
  <si>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</si>
  <si>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</si>
  <si>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</si>
  <si>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</si>
  <si>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</si>
  <si>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</si>
  <si>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</si>
  <si>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</si>
  <si>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</si>
  <si>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</si>
  <si>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</si>
  <si>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</si>
  <si>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</si>
  <si>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</si>
  <si>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</si>
  <si>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</si>
  <si>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</si>
  <si>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</si>
  <si>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</si>
  <si>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</si>
  <si>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</si>
  <si>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</si>
  <si>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</si>
  <si>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</si>
  <si>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</si>
  <si>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</si>
  <si>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</si>
  <si>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</si>
  <si>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</si>
  <si>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</si>
  <si>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</si>
  <si>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</si>
  <si>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</si>
  <si>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</si>
  <si>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</si>
  <si>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</si>
  <si>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</si>
  <si>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</si>
  <si>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</si>
  <si>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</si>
  <si>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</si>
  <si>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</si>
  <si>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</si>
  <si>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</si>
  <si>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</si>
  <si>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</si>
  <si>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</si>
  <si>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</si>
  <si>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</si>
  <si>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</si>
  <si>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</si>
  <si>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</si>
  <si>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</si>
  <si>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</si>
  <si>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</si>
  <si>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</si>
  <si>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</si>
  <si>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</si>
  <si>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</si>
  <si>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</si>
  <si>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</si>
  <si>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</si>
  <si>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</si>
  <si>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</si>
  <si>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</si>
  <si>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</si>
  <si>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</si>
  <si>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</si>
  <si>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</si>
  <si>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</si>
  <si>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</si>
  <si>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</si>
  <si>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</si>
  <si>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</si>
  <si>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</si>
  <si>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</si>
  <si>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</si>
  <si>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</si>
  <si>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</si>
  <si>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</si>
  <si>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</si>
  <si>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</si>
  <si>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</si>
  <si>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</si>
  <si>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</si>
  <si>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</si>
  <si>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</si>
  <si>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</si>
  <si>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</si>
  <si>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</si>
  <si>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</si>
  <si>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</si>
  <si>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</si>
  <si>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</si>
  <si>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</si>
  <si>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</si>
  <si>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</si>
  <si>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</si>
  <si>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</si>
  <si>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</si>
  <si>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</si>
  <si>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</si>
  <si>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</si>
  <si>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</si>
  <si>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</si>
  <si>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</si>
  <si>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</si>
  <si>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</si>
  <si>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</si>
  <si>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</si>
  <si>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</si>
  <si>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</si>
  <si>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</si>
  <si>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</si>
  <si>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</si>
  <si>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</si>
  <si>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</si>
  <si>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</si>
  <si>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</si>
  <si>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</si>
  <si>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</si>
  <si>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</si>
  <si>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</si>
  <si>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</si>
  <si>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</si>
  <si>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</si>
  <si>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</si>
  <si>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</si>
  <si>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</si>
  <si>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</si>
  <si>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</si>
  <si>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</si>
  <si>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</si>
  <si>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</si>
  <si>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</si>
  <si>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</si>
  <si>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</si>
  <si>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</si>
  <si>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</si>
  <si>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</si>
  <si>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</si>
  <si>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</si>
  <si>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</si>
  <si>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</si>
  <si>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</si>
  <si>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</si>
  <si>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</si>
  <si>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</si>
  <si>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</si>
  <si>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</si>
  <si>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</si>
  <si>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</si>
  <si>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</si>
  <si>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</si>
  <si>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</si>
  <si>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</si>
  <si>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</si>
  <si>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</si>
  <si>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</si>
  <si>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</si>
  <si>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</si>
  <si>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</si>
  <si>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</si>
  <si>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</si>
  <si>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</si>
  <si>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</si>
  <si>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</si>
  <si>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</si>
  <si>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</si>
  <si>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</si>
  <si>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</si>
  <si>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</si>
  <si>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</si>
  <si>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</si>
  <si>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</si>
  <si>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</si>
  <si>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</si>
  <si>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</si>
  <si>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</si>
  <si>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</si>
  <si>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</si>
  <si>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</si>
  <si>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</si>
  <si>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</si>
  <si>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</si>
  <si>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</si>
  <si>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</si>
  <si>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</si>
  <si>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</si>
  <si>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</si>
  <si>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</si>
  <si>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</si>
  <si>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</si>
  <si>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</si>
  <si>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</si>
  <si>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</si>
  <si>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</si>
  <si>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</si>
  <si>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</si>
  <si>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</si>
  <si>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</si>
  <si>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</si>
  <si>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</si>
  <si>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</si>
  <si>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</si>
  <si>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</si>
  <si>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</si>
  <si>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</si>
  <si>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</si>
  <si>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</si>
  <si>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</si>
  <si>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</si>
  <si>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</si>
  <si>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</si>
  <si>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</si>
  <si>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</si>
  <si>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</si>
  <si>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</si>
  <si>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</si>
  <si>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</si>
  <si>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</si>
  <si>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</si>
  <si>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</si>
  <si>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</si>
  <si>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</si>
  <si>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</si>
  <si>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</si>
  <si>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</si>
  <si>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</si>
  <si>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</si>
  <si>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</si>
  <si>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</si>
  <si>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</si>
  <si>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</si>
  <si>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</si>
  <si>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</si>
  <si>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</si>
  <si>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</si>
  <si>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</si>
  <si>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</si>
  <si>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</si>
  <si>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</si>
  <si>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</si>
  <si>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</si>
  <si>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</si>
  <si>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</si>
  <si>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</si>
  <si>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</si>
  <si>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</si>
  <si>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</si>
  <si>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</si>
  <si>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</si>
  <si>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</si>
  <si>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</si>
  <si>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</si>
  <si>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</si>
  <si>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</si>
  <si>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</si>
  <si>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</si>
  <si>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</si>
  <si>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</si>
  <si>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</si>
  <si>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</si>
  <si>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</si>
  <si>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</si>
  <si>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</si>
  <si>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</si>
  <si>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</si>
  <si>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</si>
  <si>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</si>
  <si>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</si>
  <si>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</si>
  <si>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</si>
  <si>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</si>
  <si>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</si>
  <si>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</si>
  <si>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</si>
  <si>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</si>
  <si>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</si>
  <si>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</si>
  <si>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</si>
  <si>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</si>
  <si>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</si>
  <si>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</si>
  <si>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</si>
  <si>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</si>
  <si>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</si>
  <si>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</si>
  <si>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</si>
  <si>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</si>
  <si>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</si>
  <si>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</si>
  <si>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</si>
  <si>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</si>
  <si>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</si>
  <si>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</si>
  <si>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</si>
  <si>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</si>
  <si>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</si>
  <si>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</si>
  <si>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</si>
  <si>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</si>
  <si>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</si>
  <si>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</si>
  <si>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</si>
  <si>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</si>
  <si>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</si>
  <si>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</si>
  <si>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</si>
  <si>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</si>
  <si>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</si>
  <si>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</si>
  <si>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</si>
  <si>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</si>
  <si>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</si>
  <si>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</si>
  <si>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</si>
  <si>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</si>
  <si>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</si>
  <si>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</si>
  <si>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</si>
  <si>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</si>
  <si>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</si>
  <si>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</si>
  <si>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</si>
  <si>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</si>
  <si>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</si>
  <si>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</si>
  <si>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</si>
  <si>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</si>
  <si>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</si>
  <si>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</si>
  <si>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</si>
  <si>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</si>
  <si>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</si>
  <si>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</si>
  <si>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</si>
  <si>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</si>
  <si>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</si>
  <si>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</si>
  <si>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</si>
  <si>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</si>
  <si>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</si>
  <si>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</si>
  <si>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</si>
  <si>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</si>
  <si>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</si>
  <si>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</si>
  <si>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</si>
  <si>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</si>
  <si>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</si>
  <si>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</si>
  <si>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</si>
  <si>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</si>
  <si>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</si>
  <si>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</si>
  <si>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</si>
  <si>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</si>
  <si>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</si>
  <si>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</si>
  <si>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</si>
  <si>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</si>
  <si>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</si>
  <si>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</si>
  <si>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</si>
  <si>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</si>
  <si>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</si>
  <si>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</si>
  <si>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</si>
  <si>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</si>
  <si>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</si>
  <si>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</si>
  <si>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</si>
  <si>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</si>
  <si>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</si>
  <si>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</si>
  <si>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</si>
  <si>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</si>
  <si>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</si>
  <si>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</si>
  <si>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</si>
  <si>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</si>
  <si>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</si>
  <si>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</si>
  <si>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</si>
  <si>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</si>
  <si>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</si>
  <si>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</si>
  <si>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</si>
  <si>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</si>
  <si>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</si>
  <si>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</si>
  <si>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</si>
  <si>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</si>
  <si>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</si>
  <si>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</si>
  <si>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</si>
  <si>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</si>
  <si>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</si>
  <si>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</si>
  <si>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</si>
  <si>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</si>
  <si>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</si>
  <si>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</si>
  <si>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</si>
  <si>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</si>
  <si>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</si>
  <si>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</si>
  <si>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</si>
  <si>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</si>
  <si>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</si>
  <si>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</si>
  <si>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</si>
  <si>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</si>
  <si>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</si>
  <si>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</si>
  <si>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</si>
  <si>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</si>
  <si>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</si>
  <si>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</si>
  <si>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</si>
  <si>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</si>
  <si>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</si>
  <si>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</si>
  <si>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</si>
  <si>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</si>
  <si>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</si>
  <si>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</si>
  <si>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</si>
  <si>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</si>
  <si>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</si>
  <si>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</si>
  <si>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</si>
  <si>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</si>
  <si>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</si>
  <si>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</si>
  <si>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</si>
  <si>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</si>
  <si>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</si>
  <si>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</si>
  <si>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</si>
  <si>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</si>
  <si>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</si>
  <si>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</si>
  <si>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</si>
  <si>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</si>
  <si>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</si>
  <si>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</si>
  <si>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</si>
  <si>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</si>
  <si>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</si>
  <si>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</si>
  <si>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</si>
  <si>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</si>
  <si>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</si>
  <si>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</si>
  <si>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</si>
  <si>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</si>
  <si>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</si>
  <si>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</si>
  <si>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</si>
  <si>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</si>
  <si>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</si>
  <si>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</si>
  <si>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</si>
  <si>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</si>
  <si>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</si>
  <si>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</si>
  <si>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</si>
  <si>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</si>
  <si>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</si>
  <si>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</si>
  <si>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</si>
  <si>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</si>
  <si>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</si>
  <si>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</si>
  <si>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</si>
  <si>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</si>
  <si>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</si>
  <si>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</si>
  <si>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</si>
  <si>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</si>
  <si>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</si>
  <si>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</si>
  <si>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</si>
  <si>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</si>
  <si>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</si>
  <si>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</si>
  <si>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</si>
  <si>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</si>
  <si>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</si>
  <si>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</si>
  <si>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</si>
  <si>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</si>
  <si>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</si>
  <si>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</si>
  <si>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</si>
  <si>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</si>
  <si>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</si>
  <si>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</si>
  <si>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</si>
  <si>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</si>
  <si>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</si>
  <si>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</si>
  <si>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</si>
  <si>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</si>
  <si>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</si>
  <si>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</si>
  <si>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</si>
  <si>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</si>
  <si>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</si>
  <si>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</si>
  <si>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</si>
  <si>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</si>
  <si>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</si>
  <si>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</si>
  <si>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</si>
  <si>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</si>
  <si>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</si>
  <si>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</si>
  <si>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</si>
  <si>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</si>
  <si>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</si>
  <si>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</si>
  <si>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</si>
  <si>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</si>
  <si>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</si>
  <si>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</si>
  <si>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</si>
  <si>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</si>
  <si>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</si>
  <si>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</si>
  <si>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</si>
  <si>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</si>
  <si>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</si>
  <si>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</si>
  <si>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</si>
  <si>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</si>
  <si>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</si>
  <si>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</si>
  <si>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</si>
  <si>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</si>
  <si>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</si>
  <si>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</si>
  <si>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</si>
  <si>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</si>
  <si>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</si>
  <si>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</si>
  <si>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</si>
  <si>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</si>
  <si>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</si>
  <si>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</si>
  <si>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</si>
  <si>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</si>
  <si>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</si>
  <si>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</si>
  <si>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</si>
  <si>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</si>
  <si>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</si>
  <si>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</si>
  <si>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</si>
  <si>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</si>
  <si>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</si>
  <si>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</si>
  <si>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</si>
  <si>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</si>
  <si>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</si>
  <si>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</si>
  <si>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</si>
  <si>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</si>
  <si>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</si>
  <si>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</si>
  <si>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</si>
  <si>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</si>
  <si>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</si>
  <si>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</si>
  <si>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</si>
  <si>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</si>
  <si>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</si>
  <si>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</si>
  <si>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</si>
  <si>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</si>
  <si>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</si>
  <si>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</si>
  <si>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</si>
  <si>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</si>
  <si>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</si>
  <si>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</si>
  <si>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</si>
  <si>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</si>
  <si>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</si>
  <si>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</si>
  <si>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</si>
  <si>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</si>
  <si>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</si>
  <si>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</si>
  <si>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</si>
  <si>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</si>
  <si>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</si>
  <si>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</si>
  <si>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</si>
  <si>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</si>
  <si>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</si>
  <si>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</si>
  <si>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</si>
  <si>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</si>
  <si>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</si>
  <si>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</si>
  <si>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</si>
  <si>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</si>
  <si>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</si>
  <si>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</si>
  <si>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</si>
  <si>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</si>
  <si>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</si>
  <si>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</si>
  <si>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</si>
  <si>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</si>
  <si>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</si>
  <si>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</si>
  <si>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</si>
  <si>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</si>
  <si>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</si>
  <si>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</si>
  <si>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</si>
  <si>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</si>
  <si>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</si>
  <si>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</si>
  <si>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</si>
  <si>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</si>
  <si>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</si>
  <si>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</si>
  <si>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</si>
  <si>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</si>
  <si>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</si>
  <si>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</si>
  <si>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</si>
  <si>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</si>
  <si>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</si>
  <si>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</si>
  <si>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</si>
  <si>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</si>
  <si>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</si>
  <si>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</si>
  <si>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</si>
  <si>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</si>
  <si>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</si>
  <si>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</si>
  <si>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</si>
  <si>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</si>
  <si>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</si>
  <si>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</si>
  <si>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</si>
  <si>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</si>
  <si>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</si>
  <si>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</si>
  <si>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</si>
  <si>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</si>
  <si>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</si>
  <si>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</si>
  <si>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</si>
  <si>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</si>
  <si>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</si>
  <si>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</si>
  <si>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</si>
  <si>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</si>
  <si>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</si>
  <si>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</si>
  <si>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</si>
  <si>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</si>
  <si>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</si>
  <si>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</si>
  <si>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</si>
  <si>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</si>
  <si>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</si>
  <si>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</si>
  <si>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</si>
  <si>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</si>
  <si>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</si>
  <si>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</si>
  <si>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</si>
  <si>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</si>
  <si>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</si>
  <si>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</si>
  <si>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</si>
  <si>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</si>
  <si>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</si>
  <si>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</si>
  <si>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</si>
  <si>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</si>
  <si>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</si>
  <si>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</si>
  <si>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</si>
  <si>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</si>
  <si>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</si>
  <si>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</si>
  <si>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</si>
  <si>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</si>
  <si>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</si>
  <si>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</si>
  <si>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</si>
  <si>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</si>
  <si>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</si>
  <si>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</si>
  <si>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</si>
  <si>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</si>
  <si>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</si>
  <si>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</si>
  <si>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</si>
  <si>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</si>
  <si>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</si>
  <si>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</si>
  <si>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</si>
  <si>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</si>
  <si>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</si>
  <si>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</si>
  <si>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</si>
  <si>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</si>
  <si>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</si>
  <si>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</si>
  <si>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</si>
  <si>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</si>
  <si>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</si>
  <si>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</si>
  <si>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</si>
  <si>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</si>
  <si>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</si>
  <si>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</si>
  <si>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</si>
  <si>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</si>
  <si>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</si>
  <si>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</si>
  <si>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</si>
  <si>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</si>
  <si>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</si>
  <si>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</si>
  <si>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</si>
  <si>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</si>
  <si>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</si>
  <si>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</si>
  <si>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</si>
  <si>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</si>
  <si>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</si>
  <si>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</si>
  <si>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</si>
  <si>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</si>
  <si>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</si>
  <si>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</si>
  <si>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</si>
  <si>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</si>
  <si>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</si>
  <si>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</si>
  <si>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</si>
  <si>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</si>
  <si>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</si>
  <si>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</si>
  <si>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</si>
  <si>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</si>
  <si>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</si>
  <si>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</si>
  <si>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</si>
  <si>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</si>
  <si>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</si>
  <si>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</si>
  <si>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</si>
  <si>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</si>
  <si>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</si>
  <si>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</si>
  <si>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</si>
  <si>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</si>
  <si>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</si>
  <si>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</si>
  <si>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</si>
  <si>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</si>
  <si>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</si>
  <si>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</si>
  <si>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</si>
  <si>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</si>
  <si>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</si>
  <si>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</si>
  <si>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</si>
  <si>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</si>
  <si>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</si>
  <si>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</si>
  <si>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</si>
  <si>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</si>
  <si>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</si>
  <si>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</si>
  <si>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</si>
  <si>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</si>
  <si>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</si>
  <si>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</si>
  <si>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</si>
  <si>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</si>
  <si>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</si>
  <si>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</si>
  <si>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</si>
  <si>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</si>
  <si>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</si>
  <si>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</si>
  <si>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</si>
  <si>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</si>
  <si>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</si>
  <si>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</si>
  <si>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</si>
  <si>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</si>
  <si>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</si>
  <si>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</si>
  <si>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</si>
  <si>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</si>
  <si>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</si>
  <si>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</si>
  <si>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</si>
  <si>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</si>
  <si>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</si>
  <si>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</si>
  <si>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</si>
  <si>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</si>
  <si>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</si>
  <si>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</si>
  <si>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</si>
  <si>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</si>
  <si>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</si>
  <si>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</si>
  <si>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</si>
  <si>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</si>
  <si>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</si>
  <si>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</si>
  <si>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</si>
  <si>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</si>
  <si>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</si>
  <si>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</si>
  <si>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</si>
  <si>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</si>
  <si>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</si>
  <si>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</si>
  <si>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</si>
  <si>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</si>
  <si>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</si>
  <si>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</si>
  <si>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</si>
  <si>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</si>
  <si>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</si>
  <si>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</si>
  <si>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</si>
  <si>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</si>
  <si>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</si>
  <si>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</si>
  <si>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</si>
  <si>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</si>
  <si>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</si>
  <si>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</si>
  <si>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</si>
  <si>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</si>
  <si>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</si>
  <si>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</si>
  <si>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</si>
  <si>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</si>
  <si>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</si>
  <si>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</si>
  <si>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</si>
  <si>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</si>
  <si>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</si>
  <si>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</si>
  <si>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</si>
  <si>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</si>
  <si>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</si>
  <si>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</si>
  <si>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</si>
  <si>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</si>
  <si>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</si>
  <si>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</si>
  <si>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</si>
  <si>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</si>
  <si>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</si>
  <si>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</si>
  <si>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</si>
  <si>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</si>
  <si>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</si>
  <si>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</si>
  <si>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</si>
  <si>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</si>
  <si>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</si>
  <si>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</si>
  <si>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</si>
  <si>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</si>
  <si>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</si>
  <si>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</si>
  <si>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</si>
  <si>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</si>
  <si>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</si>
  <si>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</si>
  <si>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</si>
  <si>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</si>
  <si>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</si>
  <si>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</si>
  <si>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</si>
  <si>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</si>
  <si>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</si>
  <si>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</si>
  <si>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</si>
  <si>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</si>
  <si>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</si>
  <si>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</si>
  <si>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</si>
  <si>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</si>
  <si>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</si>
  <si>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</si>
  <si>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</si>
  <si>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</si>
  <si>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</si>
  <si>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</si>
  <si>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</si>
  <si>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</si>
  <si>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</si>
  <si>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</si>
  <si>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</si>
  <si>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</si>
  <si>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</si>
  <si>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</si>
  <si>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</si>
  <si>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</si>
  <si>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</si>
  <si>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</si>
  <si>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</si>
  <si>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</si>
  <si>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</si>
  <si>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</si>
  <si>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</si>
  <si>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</si>
  <si>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</si>
  <si>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</si>
  <si>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</si>
  <si>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</si>
  <si>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</si>
  <si>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</si>
  <si>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</si>
  <si>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</si>
  <si>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</si>
  <si>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</si>
  <si>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</si>
  <si>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</si>
  <si>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</si>
  <si>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</si>
  <si>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</si>
  <si>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</si>
  <si>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</si>
  <si>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</si>
  <si>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</si>
  <si>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</si>
  <si>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</si>
  <si>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</si>
  <si>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</si>
  <si>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</si>
  <si>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</si>
  <si>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</si>
  <si>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</si>
  <si>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</si>
  <si>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</si>
  <si>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</si>
  <si>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</si>
  <si>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</si>
  <si>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</si>
  <si>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</si>
  <si>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</si>
  <si>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</si>
  <si>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</si>
  <si>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</si>
  <si>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</si>
  <si>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</si>
  <si>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</si>
  <si>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</si>
  <si>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</si>
  <si>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</si>
  <si>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</si>
  <si>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</si>
  <si>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</si>
  <si>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</si>
  <si>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</si>
  <si>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</si>
  <si>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</si>
  <si>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</si>
  <si>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</si>
  <si>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</si>
  <si>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</si>
  <si>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</si>
  <si>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</si>
  <si>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</si>
  <si>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</si>
  <si>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</si>
  <si>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</si>
  <si>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</si>
  <si>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</si>
  <si>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</si>
  <si>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</si>
  <si>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</si>
  <si>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</si>
  <si>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</si>
  <si>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</si>
  <si>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</si>
  <si>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</si>
  <si>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</si>
  <si>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</si>
  <si>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</si>
  <si>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</si>
  <si>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</si>
  <si>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</si>
  <si>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</si>
  <si>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</si>
  <si>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</si>
  <si>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</si>
  <si>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</si>
  <si>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</si>
  <si>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</si>
  <si>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</si>
  <si>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</si>
  <si>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</si>
  <si>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</si>
  <si>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</si>
  <si>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</si>
  <si>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</si>
  <si>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</si>
  <si>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</si>
  <si>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</si>
  <si>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</si>
  <si>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</si>
  <si>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</si>
  <si>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</si>
  <si>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</si>
  <si>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</si>
  <si>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</si>
  <si>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</si>
  <si>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</si>
  <si>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</si>
  <si>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</si>
  <si>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</si>
  <si>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</si>
  <si>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</si>
  <si>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</si>
  <si>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</si>
  <si>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</si>
  <si>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</si>
  <si>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</si>
  <si>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</si>
  <si>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</si>
  <si>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</si>
  <si>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</si>
  <si>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</si>
  <si>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</si>
  <si>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</si>
  <si>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</si>
  <si>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</si>
  <si>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</si>
  <si>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</si>
  <si>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</si>
  <si>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</si>
  <si>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</si>
  <si>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</si>
  <si>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</si>
  <si>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</si>
  <si>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</si>
  <si>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</si>
  <si>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</si>
  <si>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</si>
  <si>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</si>
  <si>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</si>
  <si>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</si>
  <si>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</si>
  <si>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</si>
  <si>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</si>
  <si>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</si>
  <si>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</si>
  <si>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</si>
  <si>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</si>
  <si>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</si>
  <si>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</si>
  <si>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</si>
  <si>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</si>
  <si>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</si>
  <si>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</si>
  <si>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</si>
  <si>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</si>
  <si>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</si>
  <si>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</si>
  <si>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</si>
  <si>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</si>
  <si>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</si>
  <si>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</si>
  <si>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</si>
  <si>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</si>
  <si>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</si>
  <si>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</si>
  <si>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</si>
  <si>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</si>
  <si>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</si>
  <si>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</si>
  <si>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</si>
  <si>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</si>
  <si>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</si>
  <si>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</si>
  <si>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</si>
  <si>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</si>
  <si>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</si>
  <si>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</si>
  <si>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</si>
  <si>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</si>
  <si>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</si>
  <si>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</si>
  <si>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</si>
  <si>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</si>
  <si>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</si>
  <si>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</si>
  <si>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</si>
  <si>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</si>
  <si>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</si>
  <si>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</si>
  <si>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</si>
  <si>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</si>
  <si>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</si>
  <si>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</si>
  <si>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</si>
  <si>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</si>
  <si>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</si>
  <si>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</si>
  <si>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</si>
  <si>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</si>
  <si>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</si>
  <si>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</si>
  <si>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</si>
  <si>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</si>
  <si>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</si>
  <si>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</si>
  <si>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</si>
  <si>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</si>
  <si>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</si>
  <si>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</si>
  <si>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</si>
  <si>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</si>
  <si>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</si>
  <si>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</si>
  <si>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</si>
  <si>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</si>
  <si>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</si>
  <si>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</si>
  <si>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</si>
  <si>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</si>
  <si>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</si>
  <si>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</si>
  <si>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</si>
  <si>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</si>
  <si>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</si>
  <si>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</si>
  <si>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</si>
  <si>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</si>
  <si>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</si>
  <si>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</si>
  <si>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</si>
  <si>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</si>
  <si>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</si>
  <si>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</si>
  <si>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</si>
  <si>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</si>
  <si>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</si>
  <si>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</si>
  <si>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</si>
  <si>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</si>
  <si>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</si>
  <si>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</si>
  <si>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</si>
  <si>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</si>
  <si>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</si>
  <si>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</si>
  <si>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</si>
  <si>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</si>
  <si>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</si>
  <si>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</si>
  <si>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</si>
  <si>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</si>
  <si>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</si>
  <si>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</si>
  <si>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</si>
  <si>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</si>
  <si>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</si>
  <si>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</si>
  <si>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</si>
  <si>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</si>
  <si>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</si>
  <si>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</si>
  <si>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</si>
  <si>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</si>
  <si>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</si>
  <si>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</si>
  <si>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</si>
  <si>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</si>
  <si>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</si>
  <si>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</si>
  <si>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</si>
  <si>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</si>
  <si>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</si>
  <si>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</si>
  <si>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</si>
  <si>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</si>
  <si>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</si>
  <si>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</si>
  <si>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</si>
  <si>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</si>
  <si>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</si>
  <si>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</si>
  <si>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</si>
  <si>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</si>
  <si>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</si>
  <si>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</si>
  <si>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</si>
  <si>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</si>
  <si>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</si>
  <si>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</si>
  <si>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</si>
  <si>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</si>
  <si>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</si>
  <si>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</si>
  <si>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</si>
  <si>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</si>
  <si>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</si>
  <si>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</si>
  <si>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</si>
  <si>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</si>
  <si>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</si>
  <si>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</si>
  <si>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</si>
  <si>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</si>
  <si>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</si>
  <si>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</si>
  <si>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</si>
  <si>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</si>
  <si>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</si>
  <si>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</si>
  <si>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</si>
  <si>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</si>
  <si>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</si>
  <si>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</si>
  <si>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</si>
  <si>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</si>
  <si>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</si>
  <si>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</si>
  <si>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</si>
  <si>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</si>
  <si>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</si>
  <si>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</si>
  <si>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</si>
  <si>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</si>
  <si>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</si>
  <si>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</si>
  <si>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</si>
  <si>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</si>
  <si>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</si>
  <si>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</si>
  <si>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</si>
  <si>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</si>
  <si>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</si>
  <si>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</si>
  <si>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</si>
  <si>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</si>
  <si>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</si>
  <si>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</si>
  <si>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</si>
  <si>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208 Valley Road</t>
  </si>
  <si>
    <t>Pulaski</t>
  </si>
  <si>
    <t>Mounds</t>
  </si>
  <si>
    <t>Mr. Jonathan Green</t>
  </si>
  <si>
    <t>618-342-6776</t>
  </si>
  <si>
    <t>618-342-6401</t>
  </si>
  <si>
    <t>Beussink, Hey, Roe &amp; Stroder, LLC</t>
  </si>
  <si>
    <t>Jeffrey C. Stroder, CPA</t>
  </si>
  <si>
    <t>16 South Silver Springs Road</t>
  </si>
  <si>
    <t>Cape Girardeau</t>
  </si>
  <si>
    <t>MO</t>
  </si>
  <si>
    <t>573-334-7971</t>
  </si>
  <si>
    <t>573-334-8875</t>
  </si>
  <si>
    <t>066-003889</t>
  </si>
  <si>
    <t>jstroder@bhrcpas.com</t>
  </si>
  <si>
    <t>Series 2005 Qualified Zone Academy Bonds</t>
  </si>
  <si>
    <t>Series 2014 General Obligation School Bonds</t>
  </si>
  <si>
    <t>ISBE Temporary Relocation Loan</t>
  </si>
  <si>
    <t>Clearwave Communications</t>
  </si>
  <si>
    <t>Prairie Farms Dairy, Inc.</t>
  </si>
  <si>
    <t>Quality Network Solutions</t>
  </si>
  <si>
    <t>Robinson Transport, Inc.</t>
  </si>
  <si>
    <t>Qualified Zone Academy Bonds</t>
  </si>
  <si>
    <t>General Obligation School Bonds</t>
  </si>
  <si>
    <t>10-2560-400</t>
  </si>
  <si>
    <t>ED-Food Service-Supplies</t>
  </si>
  <si>
    <t>10-1000-300</t>
  </si>
  <si>
    <t>40-2550-300</t>
  </si>
  <si>
    <t>shared service - JAMP Special Education Services</t>
  </si>
  <si>
    <t>shared service - Five County Regional Vocational System</t>
  </si>
  <si>
    <t>Account Number</t>
  </si>
  <si>
    <t>Object Code</t>
  </si>
  <si>
    <t>Prepaid Services</t>
  </si>
  <si>
    <t>Other Food Service</t>
  </si>
  <si>
    <t>School Improvement Grant (Section 1003g)</t>
  </si>
  <si>
    <t>Healthy Kids Grant</t>
  </si>
  <si>
    <t>Healthy Community Grant</t>
  </si>
  <si>
    <t>Construction Grant</t>
  </si>
  <si>
    <t>Site Coordinator</t>
  </si>
  <si>
    <t>Site Coordinator Benefits</t>
  </si>
  <si>
    <t>Homeless Materials/Supplies</t>
  </si>
  <si>
    <t>Debt Service Fees</t>
  </si>
  <si>
    <t>U.S. DEPARTMENT OF AGRICULTURE</t>
  </si>
  <si>
    <t>Passed Through Illinois State Board of Education</t>
  </si>
  <si>
    <t xml:space="preserve">    Total for CFDA Number 10.553</t>
  </si>
  <si>
    <t xml:space="preserve">   Total for CFDA Number 10.555</t>
  </si>
  <si>
    <t>Total Child Nutrition Cluster (CFDA Numbers 10.553 and 10.555)</t>
  </si>
  <si>
    <t>17-4220</t>
  </si>
  <si>
    <t>18-4220</t>
  </si>
  <si>
    <t>N/A - 17</t>
  </si>
  <si>
    <t>N/A - 18</t>
  </si>
  <si>
    <t>17-4210</t>
  </si>
  <si>
    <t>18-4210</t>
  </si>
  <si>
    <t xml:space="preserve">  Fresh Fruits &amp; Vegetables (Cash)</t>
  </si>
  <si>
    <t>18-4240</t>
  </si>
  <si>
    <t xml:space="preserve">     Total for CFDA Number 10.582</t>
  </si>
  <si>
    <t>TOTAL U.S. DEPARTMENT OF AGRICULTURE</t>
  </si>
  <si>
    <t>U.S. DEPARTMENT OF EDUCATION</t>
  </si>
  <si>
    <t xml:space="preserve">  Title I: Grants to Local Education Agencies</t>
  </si>
  <si>
    <t>17-4300</t>
  </si>
  <si>
    <t xml:space="preserve">   Total for CFDA Number 84.010</t>
  </si>
  <si>
    <t xml:space="preserve"> Title IV: 21st Century Learning</t>
  </si>
  <si>
    <t>17-4421</t>
  </si>
  <si>
    <t>18-4421</t>
  </si>
  <si>
    <t xml:space="preserve">  Total for CFDA Number 84.287</t>
  </si>
  <si>
    <t xml:space="preserve">  Title IV - Rural Education Initiative</t>
  </si>
  <si>
    <t>18-4107</t>
  </si>
  <si>
    <t xml:space="preserve">  Total for CFDA Number 84.358</t>
  </si>
  <si>
    <t xml:space="preserve">  Improving Teacher Quality State Grants</t>
  </si>
  <si>
    <t>17-4932</t>
  </si>
  <si>
    <t>18-4932</t>
  </si>
  <si>
    <t xml:space="preserve">    Total for CFDA Number 84.367</t>
  </si>
  <si>
    <t xml:space="preserve">  School Improvement Grant (Section 1003g)(M)</t>
  </si>
  <si>
    <t>17-4339</t>
  </si>
  <si>
    <t>18-4339</t>
  </si>
  <si>
    <t xml:space="preserve">  Total for CFDA Number 84.377</t>
  </si>
  <si>
    <t xml:space="preserve">  Title IVA Student Support &amp; Academic Enrich</t>
  </si>
  <si>
    <t>18-4400</t>
  </si>
  <si>
    <t xml:space="preserve">  Total for CFDA Number 84.424</t>
  </si>
  <si>
    <t>TOTAL U.S. DEPARTMENT OF EDUCATION</t>
  </si>
  <si>
    <t>U.S. DEPARTMENT OF HEALTH &amp; HUMAN SERVICES</t>
  </si>
  <si>
    <t>Passed Through the Illinois Department of Healthcare and Family Services</t>
  </si>
  <si>
    <t>Passed Through JAMP Special Education Services</t>
  </si>
  <si>
    <t xml:space="preserve">  Medical Assistance Program</t>
  </si>
  <si>
    <t>17-2200</t>
  </si>
  <si>
    <t>18-2200</t>
  </si>
  <si>
    <t xml:space="preserve">    Total for CFDA Number 93.778</t>
  </si>
  <si>
    <t>TOTAL FEDERAL AWARDS</t>
  </si>
  <si>
    <t xml:space="preserve">  School Breakfast Program (M)</t>
  </si>
  <si>
    <t xml:space="preserve">  Commodities (Non-Cash) (M)</t>
  </si>
  <si>
    <t xml:space="preserve">  Dept. of Defense Fresh Fruits &amp; Vegetables (Non-Cash) (M)</t>
  </si>
  <si>
    <t xml:space="preserve">  National School Lunch Program (M)</t>
  </si>
  <si>
    <r>
      <t xml:space="preserve">Of the federal expenditures presented in the schedule, </t>
    </r>
    <r>
      <rPr>
        <b/>
        <sz val="9"/>
        <rFont val="Calibri"/>
        <family val="2"/>
        <scheme val="minor"/>
      </rPr>
      <t>Meridian Community Unit School District No. 101</t>
    </r>
    <r>
      <rPr>
        <sz val="9"/>
        <rFont val="Calibri"/>
        <family val="2"/>
        <scheme val="minor"/>
      </rPr>
      <t xml:space="preserve"> provided federal awards to subrecipients as follows:</t>
    </r>
  </si>
  <si>
    <t>N/A</t>
  </si>
  <si>
    <r>
      <t xml:space="preserve">The following amounts were expended in the form of non-cash assistance by </t>
    </r>
    <r>
      <rPr>
        <b/>
        <sz val="9"/>
        <rFont val="Calibri"/>
        <family val="2"/>
        <scheme val="minor"/>
      </rPr>
      <t>Meridian Community Unit School District No. 101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</si>
  <si>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10.553 and 10.555</t>
  </si>
  <si>
    <t>Child Nutrition Cluster</t>
  </si>
  <si>
    <t>School Improvement Grants</t>
  </si>
  <si>
    <t>Unmodified - 84.377</t>
  </si>
  <si>
    <t>Qualified - 10.553 and 10.555</t>
  </si>
  <si>
    <t>For good intenal controls, all adjusting entries made should be reviewed and approved by an appropriate supervisor.</t>
  </si>
  <si>
    <t>The District wasn't aware that they needed to get journal entries approved by an appropriate supervisor.</t>
  </si>
  <si>
    <t>Unapproved adjustments increase the risk of loss or misuse of District funds.</t>
  </si>
  <si>
    <t>Section 105 ILCS 5/34-48 prohibits the Board from making expenditures above the amount provided in the budget.</t>
  </si>
  <si>
    <t>Actual expenditures of the Educational Fund and the Transportation Fund exceeded budgetary limits by $785,545 and $15,352, respectively.</t>
  </si>
  <si>
    <t>Total budgeted expenditures for the Educational Fund and the Transportation Fund were $5,350,309 and $547,000, respectively.</t>
  </si>
  <si>
    <t xml:space="preserve">The District incurred expenses in total greater than what was provided for in the budget.  </t>
  </si>
  <si>
    <t>The District didn't include all of their grant budgets in the original budget because they were not approved yet.  The District forgot to amend the budget once those grant budgets were approved.  In addition, the District didn't budget for all anticipated expenditures.</t>
  </si>
  <si>
    <t>We recommend the District amend its budget once all grant budgets have been approved if those budgets are not included in the original budget.  In addition, the Administration and Board should refrain from authorizing expenditures that exceed what is permitted in the budget.  If additional expenditures become necessary, the Board should amend the budget sufficiently to provide the previously unanticipated expenditures.</t>
  </si>
  <si>
    <t>Child Nutrition Cluster 2018</t>
  </si>
  <si>
    <t>18-4210 and 18-4220</t>
  </si>
  <si>
    <t>Illinois State Board of Education</t>
  </si>
  <si>
    <t>U.S. Department of Agriculture</t>
  </si>
  <si>
    <t>The District has food service net cash resources in excess of the three month average expenditure carryover allowed.</t>
  </si>
  <si>
    <t>None</t>
  </si>
  <si>
    <t>The District has earned $77,720 in its food service program in excess of what is allowed.</t>
  </si>
  <si>
    <t>Child Niutrition Cluster 2018</t>
  </si>
  <si>
    <t>For internal controls over reporting, the daily meal counts submitted to the Illinois State Board of Education should be reviewed by a responsible official for accuracy prior to submission.</t>
  </si>
  <si>
    <t>Meal counts are submitted to the Illinois State Board of Education without review for accuracy by a responsible official.</t>
  </si>
  <si>
    <t>Expenditures from the child nutrition cluster grant totaled $359,374 during the fiscal year ended June 30, 2018.</t>
  </si>
  <si>
    <t>Increases the risk that inaccurate counts could be submitted to the Illinois State Board of Education, leading to inaccurate benefits received.</t>
  </si>
  <si>
    <t>The District doesn't have internal controls in place requiring a responsbile official to review meal count reports for accuracy.</t>
  </si>
  <si>
    <t>We recommend the District expand their internal controls to require a responsible official to review the daily meal count reports for accuracy prior to submission of the reports to the Illinois State Board of Education.</t>
  </si>
  <si>
    <t>2017-001</t>
  </si>
  <si>
    <t>Actual expenditures of the Educational Fund and</t>
  </si>
  <si>
    <t>the Transportation Fund exceeded budgetary</t>
  </si>
  <si>
    <t>limits by $32,871 and $71,542, respectively.</t>
  </si>
  <si>
    <t>Not implmented.  See current year finding 2018-002.</t>
  </si>
  <si>
    <t>Reimbursement from Programs</t>
  </si>
  <si>
    <t>Misc. Refunds</t>
  </si>
  <si>
    <t>Misc. Other Revenues</t>
  </si>
  <si>
    <t>Local Grants</t>
  </si>
  <si>
    <t>18-4300</t>
  </si>
  <si>
    <t>ED-Instructional Staff-Purchased Services</t>
  </si>
  <si>
    <t>10-2200-300</t>
  </si>
  <si>
    <t>ED-Instruction-Purchased Services</t>
  </si>
  <si>
    <t>TR-Pupil Transportation -Purchased Services</t>
  </si>
  <si>
    <r>
      <t xml:space="preserve">The accompanying Schedule of Expenditures of Federal Awards includes the federal grant activity of   </t>
    </r>
    <r>
      <rPr>
        <b/>
        <sz val="9"/>
        <rFont val="Calibri"/>
        <family val="2"/>
        <scheme val="minor"/>
      </rPr>
      <t>Meridian Community Unit School District No. 101</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</si>
  <si>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Adjusting entries made by the bookkeeper were not reviewed or approved by an appropriate supervior.</t>
  </si>
  <si>
    <t>According to 7 CFR Section 210.14(a), a school food authority shall maintain a nonprofit school food service.  In addition, 7 CFR Section 210.14(b) states that the school food service authority shall limit its net cash resources to an amount that does not exceed three months' average expednitures for its nonprofit school food service.</t>
  </si>
  <si>
    <t>The District has net cash resources of $181,567, and the three month average expenditures is $103,847, resulting in excess net cash resources of $77,720.</t>
  </si>
  <si>
    <t>The District didn't know about the requirements, and they also are not charging all of the expenditures used to operate the food service program to the program.</t>
  </si>
  <si>
    <t>Adjusting journal entries totaling $814,193 were posted during June 2018.</t>
  </si>
  <si>
    <t>We recommend the District print journal entries at least monthly and have an appropriate supervisor review and document their approval for those entries.  The District should retain a copy of the documented approved entries for their records.</t>
  </si>
  <si>
    <t>We recommend that the District monitor the profit made by the food service program.  All expenditures used to operate the program should be charged to the program.  In addition, the District needs to adopt a plan to spend the accumulated cash reserves.</t>
  </si>
  <si>
    <t>The financial statements are presented in a format that complies with regulatory provisions prescribed by the Illinois State Board of Education, whose practices differ from accounting principles generally accepted in the United States of America.  In addition, the notes to the financial statements do not include the note disclosure required by GASB Statement No. 75 for one of the School's two defined contribution OPEB plans.</t>
  </si>
  <si>
    <t>Management will review journal entries and sign off on each entry's approval.</t>
  </si>
  <si>
    <t>The District will amend the budget in June of each fiscal year.</t>
  </si>
  <si>
    <t>The District has already addressed this issue by expanding its offerings which will increase costs, therefore negating the profit.</t>
  </si>
  <si>
    <t>Daily meal counts will be rectified by administration on a monthly basis.</t>
  </si>
  <si>
    <t>Meridian CUSD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</si>
</sst>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Calibri"/>
      <family val="2"/>
      <scheme val="minor"/>
    </font>
    <font>
      <u val="doubleAccounting"/>
      <sz val="10"/>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3" fillId="0" borderId="158" xfId="17" applyFont="1" applyBorder="1" applyAlignment="1" applyProtection="1">
      <alignment vertical="top"/>
      <protection locked="0"/>
    </xf>
    <xf numFmtId="0" fontId="54"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57" fillId="0" borderId="0" xfId="0" applyFont="1" applyAlignment="1">
      <alignment horizontal="center"/>
    </xf>
    <xf numFmtId="0" fontId="57" fillId="0" borderId="78" xfId="0" applyFont="1" applyBorder="1" applyAlignment="1">
      <alignment horizontal="center"/>
    </xf>
    <xf numFmtId="42" fontId="57" fillId="0" borderId="0" xfId="0" applyNumberFormat="1" applyFont="1"/>
    <xf numFmtId="41" fontId="57" fillId="0" borderId="0" xfId="0" applyNumberFormat="1" applyFont="1"/>
    <xf numFmtId="41" fontId="138" fillId="0" borderId="0" xfId="0" applyNumberFormat="1" applyFont="1"/>
    <xf numFmtId="42" fontId="139" fillId="0" borderId="0" xfId="0" applyNumberFormat="1"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18" borderId="21" xfId="0" applyFont="1" applyFill="1" applyBorder="1" applyAlignment="1" applyProtection="1">
      <alignment horizontal="left" vertical="center"/>
    </xf>
    <xf numFmtId="0" fontId="64" fillId="18" borderId="14" xfId="0"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Alignment="1" applyProtection="1">
      <alignment horizont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2857500</xdr:colOff>
          <xdr:row>2</xdr:row>
          <xdr:rowOff>121228</xdr:rowOff>
        </xdr:from>
        <xdr:to>
          <xdr:col>1</xdr:col>
          <xdr:colOff>3769302</xdr:colOff>
          <xdr:row>6</xdr:row>
          <xdr:rowOff>159328</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75420404-677B-4BF4-A512-DB0230127B1C}"/>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38100</xdr:rowOff>
    </xdr:to>
    <xdr:sp macro="" textlink="">
      <xdr:nvSpPr>
        <xdr:cNvPr id="2" name="Text 1">
          <a:extLst>
            <a:ext uri="{FF2B5EF4-FFF2-40B4-BE49-F238E27FC236}">
              <a16:creationId xmlns:a16="http://schemas.microsoft.com/office/drawing/2014/main" id="{B0583E32-70C5-47D5-8820-335725308FC4}"/>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38B0507E-6DF9-497B-AFBE-104EA4F55C3A}"/>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2" name="Text 1">
          <a:extLst>
            <a:ext uri="{FF2B5EF4-FFF2-40B4-BE49-F238E27FC236}">
              <a16:creationId xmlns:a16="http://schemas.microsoft.com/office/drawing/2014/main" id="{7BA61CB9-A3FB-457B-9B1E-847DAF8DCCAE}"/>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3913E288-BB28-4A4E-B142-F45F8C3B5293}"/>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8" t="s">
        <v>425</v>
      </c>
      <c r="J1" s="2009"/>
      <c r="K1" s="2009"/>
      <c r="L1" s="2009"/>
      <c r="M1" s="2009"/>
      <c r="N1" s="2009"/>
      <c r="O1" s="2009"/>
      <c r="P1" s="2009"/>
      <c r="Q1" s="2009"/>
      <c r="R1" s="2009"/>
      <c r="S1" s="2009"/>
    </row>
    <row r="2" spans="1:28" ht="12" customHeight="1" x14ac:dyDescent="0.2">
      <c r="A2" s="47" t="s">
        <v>1684</v>
      </c>
      <c r="D2" s="48"/>
      <c r="I2" s="2010" t="s">
        <v>1036</v>
      </c>
      <c r="J2" s="2009"/>
      <c r="K2" s="2009"/>
      <c r="L2" s="2009"/>
      <c r="M2" s="2009"/>
      <c r="N2" s="2009"/>
      <c r="O2" s="2009"/>
      <c r="P2" s="2009"/>
      <c r="Q2" s="2009"/>
      <c r="R2" s="2009"/>
      <c r="S2" s="2009"/>
    </row>
    <row r="3" spans="1:28" ht="12" customHeight="1" x14ac:dyDescent="0.2">
      <c r="A3" s="155" t="s">
        <v>1685</v>
      </c>
      <c r="B3" s="156"/>
      <c r="C3" s="156"/>
      <c r="D3" s="157"/>
      <c r="I3" s="2010" t="s">
        <v>54</v>
      </c>
      <c r="J3" s="2009"/>
      <c r="K3" s="2009"/>
      <c r="L3" s="2009"/>
      <c r="M3" s="2009"/>
      <c r="N3" s="2009"/>
      <c r="O3" s="2009"/>
      <c r="P3" s="2009"/>
      <c r="Q3" s="2009"/>
      <c r="R3" s="2009"/>
      <c r="S3" s="2009"/>
    </row>
    <row r="4" spans="1:28" ht="12" customHeight="1" x14ac:dyDescent="0.2">
      <c r="A4" s="37"/>
      <c r="I4" s="2010" t="s">
        <v>545</v>
      </c>
      <c r="J4" s="2009"/>
      <c r="K4" s="2009"/>
      <c r="L4" s="2009"/>
      <c r="M4" s="2009"/>
      <c r="N4" s="2009"/>
      <c r="O4" s="2009"/>
      <c r="P4" s="2009"/>
      <c r="Q4" s="2009"/>
      <c r="R4" s="2009"/>
      <c r="S4" s="2009"/>
    </row>
    <row r="5" spans="1:28" ht="14.1" customHeight="1" x14ac:dyDescent="0.2">
      <c r="B5" s="104" t="s">
        <v>2074</v>
      </c>
      <c r="C5" s="26" t="s">
        <v>966</v>
      </c>
      <c r="D5" s="84"/>
      <c r="E5" s="84"/>
      <c r="H5" s="38"/>
      <c r="I5" s="2018" t="s">
        <v>701</v>
      </c>
      <c r="J5" s="2017"/>
      <c r="K5" s="2017"/>
      <c r="L5" s="2017"/>
      <c r="M5" s="2017"/>
      <c r="N5" s="2017"/>
      <c r="O5" s="2017"/>
      <c r="P5" s="2017"/>
      <c r="Q5" s="2017"/>
      <c r="R5" s="2017"/>
      <c r="S5" s="2017"/>
    </row>
    <row r="6" spans="1:28" ht="14.1" customHeight="1" x14ac:dyDescent="0.2">
      <c r="B6" s="104"/>
      <c r="C6" s="26" t="s">
        <v>967</v>
      </c>
      <c r="D6" s="84"/>
      <c r="E6" s="84"/>
      <c r="I6" s="2016" t="s">
        <v>938</v>
      </c>
      <c r="J6" s="2017"/>
      <c r="K6" s="2017"/>
      <c r="L6" s="2017"/>
      <c r="M6" s="2017"/>
      <c r="N6" s="2017"/>
      <c r="O6" s="2017"/>
      <c r="P6" s="2017"/>
      <c r="Q6" s="2017"/>
      <c r="R6" s="2017"/>
      <c r="S6" s="2017"/>
    </row>
    <row r="7" spans="1:28" ht="12.2" customHeight="1" x14ac:dyDescent="0.2">
      <c r="I7" s="2011">
        <v>43281</v>
      </c>
      <c r="J7" s="2012"/>
      <c r="K7" s="2012"/>
      <c r="L7" s="2012"/>
      <c r="M7" s="2012"/>
      <c r="N7" s="2012"/>
      <c r="O7" s="2012"/>
      <c r="P7" s="2012"/>
      <c r="Q7" s="2012"/>
      <c r="R7" s="2012"/>
      <c r="S7" s="201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3" t="s">
        <v>695</v>
      </c>
      <c r="J9" s="2014"/>
      <c r="K9" s="2014"/>
      <c r="L9" s="2014"/>
      <c r="M9" s="2014"/>
      <c r="N9" s="2014"/>
      <c r="O9" s="2014"/>
      <c r="P9" s="2014"/>
      <c r="Q9" s="2014"/>
      <c r="R9" s="2014"/>
      <c r="S9" s="2015"/>
      <c r="T9" s="2031" t="s">
        <v>554</v>
      </c>
      <c r="U9" s="2032"/>
      <c r="V9" s="2032"/>
      <c r="W9" s="2032"/>
      <c r="X9" s="2032"/>
      <c r="Y9" s="2032"/>
      <c r="Z9" s="2032"/>
      <c r="AA9" s="2033"/>
    </row>
    <row r="10" spans="1:28" ht="13.5" customHeight="1" x14ac:dyDescent="0.2">
      <c r="A10" s="2038" t="s">
        <v>696</v>
      </c>
      <c r="B10" s="2039"/>
      <c r="C10" s="2039"/>
      <c r="D10" s="2039"/>
      <c r="E10" s="2039"/>
      <c r="F10" s="2039"/>
      <c r="G10" s="2039"/>
      <c r="H10" s="2040"/>
      <c r="I10" s="29"/>
      <c r="J10" s="30"/>
      <c r="K10" s="28"/>
      <c r="R10" s="30"/>
      <c r="S10" s="30"/>
      <c r="T10" s="2034"/>
      <c r="U10" s="2017"/>
      <c r="V10" s="2017"/>
      <c r="W10" s="2017"/>
      <c r="X10" s="2017"/>
      <c r="Y10" s="2017"/>
      <c r="Z10" s="2017"/>
      <c r="AA10" s="2023"/>
    </row>
    <row r="11" spans="1:28" ht="14.25" customHeight="1" x14ac:dyDescent="0.2">
      <c r="A11" s="2041" t="s">
        <v>1012</v>
      </c>
      <c r="B11" s="2042"/>
      <c r="C11" s="2042"/>
      <c r="D11" s="2042"/>
      <c r="E11" s="2042"/>
      <c r="F11" s="2042"/>
      <c r="G11" s="2042"/>
      <c r="H11" s="2043"/>
      <c r="I11" s="27"/>
      <c r="J11" s="74"/>
      <c r="K11" s="27"/>
      <c r="O11" s="148" t="s">
        <v>2074</v>
      </c>
      <c r="P11" s="100" t="s">
        <v>210</v>
      </c>
      <c r="Q11" s="30"/>
      <c r="R11" s="28"/>
      <c r="S11" s="27"/>
      <c r="T11" s="2035"/>
      <c r="U11" s="2036"/>
      <c r="V11" s="2036"/>
      <c r="W11" s="2036"/>
      <c r="X11" s="2036"/>
      <c r="Y11" s="2036"/>
      <c r="Z11" s="2036"/>
      <c r="AA11" s="203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5">
        <v>30077101026</v>
      </c>
      <c r="B13" s="2046"/>
      <c r="C13" s="2046"/>
      <c r="D13" s="2046"/>
      <c r="E13" s="2046"/>
      <c r="F13" s="2046"/>
      <c r="G13" s="2046"/>
      <c r="H13" s="2047"/>
      <c r="I13" s="31"/>
      <c r="J13" s="30"/>
      <c r="K13" s="28"/>
      <c r="L13" s="30"/>
      <c r="M13" s="30"/>
      <c r="N13" s="30"/>
      <c r="O13" s="30"/>
      <c r="P13" s="30"/>
      <c r="Q13" s="30"/>
      <c r="R13" s="30"/>
      <c r="S13" s="30"/>
      <c r="T13" s="2048" t="s">
        <v>2081</v>
      </c>
      <c r="U13" s="2049"/>
      <c r="V13" s="2049"/>
      <c r="W13" s="2049"/>
      <c r="X13" s="2049"/>
      <c r="Y13" s="2050"/>
      <c r="Z13" s="2050"/>
      <c r="AA13" s="205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8" t="s">
        <v>2076</v>
      </c>
      <c r="B15" s="2029"/>
      <c r="C15" s="2029"/>
      <c r="D15" s="2029"/>
      <c r="E15" s="2029"/>
      <c r="F15" s="2029"/>
      <c r="G15" s="2029"/>
      <c r="H15" s="2030"/>
      <c r="T15" s="2052" t="s">
        <v>2082</v>
      </c>
      <c r="U15" s="1996"/>
      <c r="V15" s="1996"/>
      <c r="W15" s="1996"/>
      <c r="X15" s="1996"/>
      <c r="Y15" s="2053"/>
      <c r="Z15" s="2053"/>
      <c r="AA15" s="205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8" t="s">
        <v>2225</v>
      </c>
      <c r="B17" s="2029"/>
      <c r="C17" s="2029"/>
      <c r="D17" s="2029"/>
      <c r="E17" s="2029"/>
      <c r="F17" s="2029"/>
      <c r="G17" s="2029"/>
      <c r="H17" s="2030"/>
      <c r="T17" s="2059" t="s">
        <v>2083</v>
      </c>
      <c r="U17" s="2060"/>
      <c r="V17" s="2060"/>
      <c r="W17" s="2060"/>
      <c r="X17" s="2060"/>
      <c r="Y17" s="2060"/>
      <c r="Z17" s="2060"/>
      <c r="AA17" s="2061"/>
    </row>
    <row r="18" spans="1:27" ht="13.5" customHeight="1" x14ac:dyDescent="0.2">
      <c r="A18" s="85" t="s">
        <v>551</v>
      </c>
      <c r="B18" s="76"/>
      <c r="C18" s="72"/>
      <c r="D18" s="76"/>
      <c r="E18" s="76"/>
      <c r="F18" s="76"/>
      <c r="G18" s="76"/>
      <c r="H18" s="56"/>
      <c r="I18" s="2027" t="s">
        <v>697</v>
      </c>
      <c r="J18" s="1978"/>
      <c r="K18" s="1978"/>
      <c r="L18" s="1978"/>
      <c r="M18" s="1978"/>
      <c r="N18" s="1978"/>
      <c r="O18" s="1978"/>
      <c r="P18" s="1978"/>
      <c r="Q18" s="1978"/>
      <c r="R18" s="1978"/>
      <c r="S18" s="1979"/>
      <c r="T18" s="85" t="s">
        <v>735</v>
      </c>
      <c r="U18" s="51"/>
      <c r="V18" s="72"/>
      <c r="W18" s="50"/>
      <c r="X18" s="85" t="s">
        <v>284</v>
      </c>
      <c r="Y18" s="81"/>
      <c r="Z18" s="159" t="s">
        <v>698</v>
      </c>
      <c r="AA18" s="46"/>
    </row>
    <row r="19" spans="1:27" ht="13.5" customHeight="1" x14ac:dyDescent="0.2">
      <c r="A19" s="2002" t="s">
        <v>2075</v>
      </c>
      <c r="B19" s="2003"/>
      <c r="C19" s="2003"/>
      <c r="D19" s="2003"/>
      <c r="E19" s="2003"/>
      <c r="F19" s="2003"/>
      <c r="G19" s="2003"/>
      <c r="H19" s="2044"/>
      <c r="I19" s="30"/>
      <c r="J19" s="99"/>
      <c r="K19" s="40"/>
      <c r="L19" s="38"/>
      <c r="M19" s="112" t="s">
        <v>333</v>
      </c>
      <c r="P19" s="27"/>
      <c r="Q19" s="27"/>
      <c r="R19" s="27"/>
      <c r="S19" s="31"/>
      <c r="T19" s="2028" t="s">
        <v>2084</v>
      </c>
      <c r="U19" s="1967"/>
      <c r="V19" s="1967"/>
      <c r="W19" s="1968"/>
      <c r="X19" s="2057" t="s">
        <v>2085</v>
      </c>
      <c r="Y19" s="2058"/>
      <c r="Z19" s="2055">
        <v>63703</v>
      </c>
      <c r="AA19" s="205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6" t="s">
        <v>2077</v>
      </c>
      <c r="B21" s="1967"/>
      <c r="C21" s="1967"/>
      <c r="D21" s="1967"/>
      <c r="E21" s="1967"/>
      <c r="F21" s="1967"/>
      <c r="G21" s="1967"/>
      <c r="H21" s="1968"/>
      <c r="I21" s="2022" t="s">
        <v>699</v>
      </c>
      <c r="J21" s="2017"/>
      <c r="K21" s="2017"/>
      <c r="L21" s="2017"/>
      <c r="M21" s="2017"/>
      <c r="N21" s="2017"/>
      <c r="O21" s="2017"/>
      <c r="P21" s="2017"/>
      <c r="Q21" s="2017"/>
      <c r="R21" s="2017"/>
      <c r="S21" s="2023"/>
      <c r="T21" s="2066" t="s">
        <v>2086</v>
      </c>
      <c r="U21" s="2067"/>
      <c r="V21" s="2067"/>
      <c r="W21" s="2067"/>
      <c r="X21" s="2072" t="s">
        <v>2087</v>
      </c>
      <c r="Y21" s="2073"/>
      <c r="Z21" s="2073"/>
      <c r="AA21" s="2074"/>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19"/>
      <c r="B23" s="2020"/>
      <c r="C23" s="2020"/>
      <c r="D23" s="2020"/>
      <c r="E23" s="2020"/>
      <c r="F23" s="2020"/>
      <c r="G23" s="2020"/>
      <c r="H23" s="2021"/>
      <c r="T23" s="2002" t="s">
        <v>2088</v>
      </c>
      <c r="U23" s="2065"/>
      <c r="V23" s="2065"/>
      <c r="W23" s="2065"/>
      <c r="X23" s="2069">
        <v>44530</v>
      </c>
      <c r="Y23" s="2070"/>
      <c r="Z23" s="2070"/>
      <c r="AA23" s="2071"/>
    </row>
    <row r="24" spans="1:27" ht="14.1" customHeight="1" x14ac:dyDescent="0.2">
      <c r="A24" s="88" t="s">
        <v>698</v>
      </c>
      <c r="B24" s="49"/>
      <c r="C24" s="49"/>
      <c r="D24" s="49"/>
      <c r="E24" s="49"/>
      <c r="F24" s="49"/>
      <c r="G24" s="49"/>
      <c r="H24" s="61"/>
      <c r="J24" s="1989">
        <f>IF(B5="x",IF(AUDITCHECK!D29="AFR form Incomplete.","",IF(AUDITCHECK!D29="Deficit reduction plan is required.","School District must complete a deficit reduction plan in the 2018-2019 Budget",)),"")</f>
        <v>0</v>
      </c>
      <c r="K24" s="1989"/>
      <c r="L24" s="1989"/>
      <c r="M24" s="1989"/>
      <c r="N24" s="1989"/>
      <c r="O24" s="1989"/>
      <c r="P24" s="1989"/>
      <c r="Q24" s="1989"/>
      <c r="R24" s="1989"/>
      <c r="S24" s="1990"/>
      <c r="T24" s="105" t="s">
        <v>552</v>
      </c>
      <c r="U24" s="106"/>
      <c r="V24" s="106"/>
      <c r="W24" s="106"/>
      <c r="X24" s="107"/>
      <c r="Y24" s="107"/>
      <c r="Z24" s="107"/>
      <c r="AA24" s="108"/>
    </row>
    <row r="25" spans="1:27" ht="14.1" customHeight="1" x14ac:dyDescent="0.2">
      <c r="A25" s="1966">
        <v>62964</v>
      </c>
      <c r="B25" s="1967"/>
      <c r="C25" s="1967"/>
      <c r="D25" s="1967"/>
      <c r="E25" s="1967"/>
      <c r="F25" s="1967"/>
      <c r="G25" s="1967"/>
      <c r="H25" s="1968"/>
      <c r="I25" s="113"/>
      <c r="J25" s="1991"/>
      <c r="K25" s="1991"/>
      <c r="L25" s="1991"/>
      <c r="M25" s="1991"/>
      <c r="N25" s="1991"/>
      <c r="O25" s="1991"/>
      <c r="P25" s="1991"/>
      <c r="Q25" s="1991"/>
      <c r="R25" s="1991"/>
      <c r="S25" s="1992"/>
      <c r="T25" s="2062" t="s">
        <v>2089</v>
      </c>
      <c r="U25" s="2063"/>
      <c r="V25" s="2063"/>
      <c r="W25" s="2063"/>
      <c r="X25" s="2063"/>
      <c r="Y25" s="2063"/>
      <c r="Z25" s="2063"/>
      <c r="AA25" s="20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7" t="s">
        <v>1591</v>
      </c>
      <c r="J27" s="1978"/>
      <c r="K27" s="1978"/>
      <c r="L27" s="1978"/>
      <c r="M27" s="1978"/>
      <c r="N27" s="1978"/>
      <c r="O27" s="1978"/>
      <c r="P27" s="1978"/>
      <c r="Q27" s="1978"/>
      <c r="R27" s="1978"/>
      <c r="S27" s="197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8"/>
      <c r="Q35" s="1967"/>
      <c r="R35" s="196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2" t="s">
        <v>2078</v>
      </c>
      <c r="B38" s="2003"/>
      <c r="C38" s="2003"/>
      <c r="D38" s="2003"/>
      <c r="E38" s="2003"/>
      <c r="F38" s="1967"/>
      <c r="G38" s="1967"/>
      <c r="H38" s="1968"/>
      <c r="I38" s="1995"/>
      <c r="J38" s="1996"/>
      <c r="K38" s="1996"/>
      <c r="L38" s="1996"/>
      <c r="M38" s="1996"/>
      <c r="N38" s="1996"/>
      <c r="O38" s="1996"/>
      <c r="P38" s="1997"/>
      <c r="Q38" s="1997"/>
      <c r="R38" s="1997"/>
      <c r="S38" s="1998"/>
      <c r="T38" s="2052"/>
      <c r="U38" s="1996"/>
      <c r="V38" s="1996"/>
      <c r="W38" s="1996"/>
      <c r="X38" s="1997"/>
      <c r="Y38" s="1997"/>
      <c r="Z38" s="1997"/>
      <c r="AA38" s="1998"/>
    </row>
    <row r="39" spans="1:27" ht="12" customHeight="1" x14ac:dyDescent="0.2">
      <c r="A39" s="1972" t="s">
        <v>552</v>
      </c>
      <c r="B39" s="1973"/>
      <c r="C39" s="72"/>
      <c r="D39" s="69"/>
      <c r="E39" s="69"/>
      <c r="F39" s="79"/>
      <c r="G39" s="69"/>
      <c r="H39" s="56"/>
      <c r="I39" s="1972" t="s">
        <v>552</v>
      </c>
      <c r="J39" s="1973"/>
      <c r="K39" s="1973"/>
      <c r="L39" s="1973"/>
      <c r="M39" s="1973"/>
      <c r="N39" s="67"/>
      <c r="O39" s="72"/>
      <c r="P39" s="72"/>
      <c r="Q39" s="78"/>
      <c r="R39" s="72"/>
      <c r="S39" s="56"/>
      <c r="T39" s="72" t="s">
        <v>552</v>
      </c>
      <c r="U39" s="51"/>
      <c r="V39" s="72"/>
      <c r="W39" s="50"/>
      <c r="X39" s="78"/>
      <c r="Y39" s="45"/>
      <c r="Z39" s="45"/>
      <c r="AA39" s="46"/>
    </row>
    <row r="40" spans="1:27" ht="13.5" customHeight="1" x14ac:dyDescent="0.2">
      <c r="A40" s="1980"/>
      <c r="B40" s="1981"/>
      <c r="C40" s="1982"/>
      <c r="D40" s="1982"/>
      <c r="E40" s="1982"/>
      <c r="F40" s="1983"/>
      <c r="G40" s="1983"/>
      <c r="H40" s="1984"/>
      <c r="I40" s="2005"/>
      <c r="J40" s="2006"/>
      <c r="K40" s="2006"/>
      <c r="L40" s="2006"/>
      <c r="M40" s="2006"/>
      <c r="N40" s="2006"/>
      <c r="O40" s="2006"/>
      <c r="P40" s="2006"/>
      <c r="Q40" s="2006"/>
      <c r="R40" s="2006"/>
      <c r="S40" s="2007"/>
      <c r="T40" s="2005"/>
      <c r="U40" s="2068"/>
      <c r="V40" s="2006"/>
      <c r="W40" s="2006"/>
      <c r="X40" s="2006"/>
      <c r="Y40" s="2006"/>
      <c r="Z40" s="2006"/>
      <c r="AA40" s="200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4" t="s">
        <v>2079</v>
      </c>
      <c r="B42" s="1986"/>
      <c r="C42" s="1987"/>
      <c r="D42" s="1985" t="s">
        <v>2080</v>
      </c>
      <c r="E42" s="1986"/>
      <c r="F42" s="1986"/>
      <c r="G42" s="1986"/>
      <c r="H42" s="1987"/>
      <c r="I42" s="1969"/>
      <c r="J42" s="1970"/>
      <c r="K42" s="1970"/>
      <c r="L42" s="1970"/>
      <c r="M42" s="1970"/>
      <c r="N42" s="1970"/>
      <c r="O42" s="1971"/>
      <c r="P42" s="2004"/>
      <c r="Q42" s="1970"/>
      <c r="R42" s="1970"/>
      <c r="S42" s="1971"/>
      <c r="T42" s="1969"/>
      <c r="U42" s="1970"/>
      <c r="V42" s="1970"/>
      <c r="W42" s="1971"/>
      <c r="X42" s="2004"/>
      <c r="Y42" s="1970"/>
      <c r="Z42" s="1970"/>
      <c r="AA42" s="19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9"/>
      <c r="B44" s="2000"/>
      <c r="C44" s="2000"/>
      <c r="D44" s="2000"/>
      <c r="E44" s="2000"/>
      <c r="F44" s="2000"/>
      <c r="G44" s="2000"/>
      <c r="H44" s="2001"/>
      <c r="I44" s="1974"/>
      <c r="J44" s="1975"/>
      <c r="K44" s="1975"/>
      <c r="L44" s="1975"/>
      <c r="M44" s="1975"/>
      <c r="N44" s="1975"/>
      <c r="O44" s="1975"/>
      <c r="P44" s="1975"/>
      <c r="Q44" s="1975"/>
      <c r="R44" s="1975"/>
      <c r="S44" s="1976"/>
      <c r="T44" s="1974"/>
      <c r="U44" s="1993"/>
      <c r="V44" s="1993"/>
      <c r="W44" s="1993"/>
      <c r="X44" s="1993"/>
      <c r="Y44" s="1993"/>
      <c r="Z44" s="1975"/>
      <c r="AA44" s="197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sqref="A1:F1"/>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0" t="s">
        <v>1902</v>
      </c>
      <c r="B2" s="1550" t="s">
        <v>2034</v>
      </c>
      <c r="C2" s="715" t="s">
        <v>1907</v>
      </c>
      <c r="D2" s="715" t="s">
        <v>1908</v>
      </c>
      <c r="E2" s="715" t="s">
        <v>1909</v>
      </c>
      <c r="F2" s="715" t="s">
        <v>1910</v>
      </c>
    </row>
    <row r="3" spans="1:6" ht="12" customHeight="1" x14ac:dyDescent="0.2">
      <c r="A3" s="2211"/>
      <c r="B3" s="1547"/>
      <c r="C3" s="1548"/>
      <c r="D3" s="1549" t="s">
        <v>274</v>
      </c>
      <c r="E3" s="1548"/>
      <c r="F3" s="1549" t="s">
        <v>275</v>
      </c>
    </row>
    <row r="4" spans="1:6" ht="13.7" customHeight="1" x14ac:dyDescent="0.2">
      <c r="A4" s="716" t="s">
        <v>1217</v>
      </c>
      <c r="B4" s="1771">
        <f>'Revenues 9-14'!C5</f>
        <v>454065</v>
      </c>
      <c r="C4" s="1546"/>
      <c r="D4" s="1774">
        <f>B4-C4</f>
        <v>454065</v>
      </c>
      <c r="E4" s="1546">
        <v>480569</v>
      </c>
      <c r="F4" s="1774">
        <f>E4-C4</f>
        <v>480569</v>
      </c>
    </row>
    <row r="5" spans="1:6" ht="13.7" customHeight="1" x14ac:dyDescent="0.2">
      <c r="A5" s="716" t="s">
        <v>925</v>
      </c>
      <c r="B5" s="1772">
        <f>'Revenues 9-14'!D5</f>
        <v>113518</v>
      </c>
      <c r="C5" s="585"/>
      <c r="D5" s="1775">
        <f t="shared" ref="D5:D18" si="0">B5-C5</f>
        <v>113518</v>
      </c>
      <c r="E5" s="585">
        <v>120144</v>
      </c>
      <c r="F5" s="1775">
        <f>E5-C5</f>
        <v>120144</v>
      </c>
    </row>
    <row r="6" spans="1:6" ht="13.7" customHeight="1" x14ac:dyDescent="0.2">
      <c r="A6" s="716" t="s">
        <v>431</v>
      </c>
      <c r="B6" s="1772">
        <f>'Revenues 9-14'!E5</f>
        <v>175499</v>
      </c>
      <c r="C6" s="585"/>
      <c r="D6" s="1775">
        <f t="shared" si="0"/>
        <v>175499</v>
      </c>
      <c r="E6" s="585">
        <v>184352</v>
      </c>
      <c r="F6" s="1775">
        <f t="shared" ref="F6:F18" si="1">E6-C6</f>
        <v>184352</v>
      </c>
    </row>
    <row r="7" spans="1:6" ht="13.7" customHeight="1" x14ac:dyDescent="0.2">
      <c r="A7" s="716" t="s">
        <v>157</v>
      </c>
      <c r="B7" s="1772">
        <f>'Revenues 9-14'!F5</f>
        <v>45407</v>
      </c>
      <c r="C7" s="585"/>
      <c r="D7" s="1775">
        <f t="shared" si="0"/>
        <v>45407</v>
      </c>
      <c r="E7" s="585">
        <v>48059</v>
      </c>
      <c r="F7" s="1775">
        <f t="shared" si="1"/>
        <v>48059</v>
      </c>
    </row>
    <row r="8" spans="1:6" ht="13.7" customHeight="1" x14ac:dyDescent="0.2">
      <c r="A8" s="716" t="s">
        <v>1241</v>
      </c>
      <c r="B8" s="1772">
        <f>'Revenues 9-14'!G5</f>
        <v>64778</v>
      </c>
      <c r="C8" s="585"/>
      <c r="D8" s="1775">
        <f t="shared" si="0"/>
        <v>64778</v>
      </c>
      <c r="E8" s="585">
        <v>100206</v>
      </c>
      <c r="F8" s="1775">
        <f t="shared" si="1"/>
        <v>100206</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11402</v>
      </c>
      <c r="C10" s="585"/>
      <c r="D10" s="1775">
        <f t="shared" si="0"/>
        <v>11402</v>
      </c>
      <c r="E10" s="585">
        <v>12017</v>
      </c>
      <c r="F10" s="1775">
        <f t="shared" si="1"/>
        <v>12017</v>
      </c>
    </row>
    <row r="11" spans="1:6" x14ac:dyDescent="0.2">
      <c r="A11" s="716" t="s">
        <v>429</v>
      </c>
      <c r="B11" s="1772">
        <f>'Revenues 9-14'!J5</f>
        <v>59573</v>
      </c>
      <c r="C11" s="585"/>
      <c r="D11" s="1775">
        <f t="shared" si="0"/>
        <v>59573</v>
      </c>
      <c r="E11" s="585">
        <v>22045</v>
      </c>
      <c r="F11" s="1775">
        <f t="shared" si="1"/>
        <v>22045</v>
      </c>
    </row>
    <row r="12" spans="1:6" ht="13.7" customHeight="1" x14ac:dyDescent="0.2">
      <c r="A12" s="716" t="s">
        <v>159</v>
      </c>
      <c r="B12" s="1772">
        <f>'Revenues 9-14'!K5</f>
        <v>11352</v>
      </c>
      <c r="C12" s="585"/>
      <c r="D12" s="1775">
        <f t="shared" si="0"/>
        <v>11352</v>
      </c>
      <c r="E12" s="585">
        <v>3610</v>
      </c>
      <c r="F12" s="1775">
        <f t="shared" si="1"/>
        <v>3610</v>
      </c>
    </row>
    <row r="13" spans="1:6" ht="13.7" customHeight="1" x14ac:dyDescent="0.2">
      <c r="A13" s="716" t="s">
        <v>993</v>
      </c>
      <c r="B13" s="1772">
        <f>SUM('Revenues 9-14'!C6:D6)</f>
        <v>11341</v>
      </c>
      <c r="C13" s="585"/>
      <c r="D13" s="1775">
        <f t="shared" si="0"/>
        <v>11341</v>
      </c>
      <c r="E13" s="585">
        <v>12017</v>
      </c>
      <c r="F13" s="1775">
        <f t="shared" si="1"/>
        <v>12017</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41078</v>
      </c>
      <c r="C16" s="585"/>
      <c r="D16" s="1775">
        <f t="shared" si="0"/>
        <v>41078</v>
      </c>
      <c r="E16" s="585">
        <v>78163</v>
      </c>
      <c r="F16" s="1775">
        <f t="shared" si="1"/>
        <v>78163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988013</v>
      </c>
      <c r="C19" s="1773">
        <f>SUM(C4:C18)</f>
        <v>0</v>
      </c>
      <c r="D19" s="1773">
        <f>SUM(D4:D18)</f>
        <v>988013</v>
      </c>
      <c r="E19" s="1773">
        <f>SUM(E4:E18)</f>
        <v>1061182</v>
      </c>
      <c r="F19" s="1773">
        <f>SUM(F4:F18)</f>
        <v>1061182</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orizontalCentered="1" verticalCentered="1" gridLinesSet="0"/>
  <pageMargins left="1" right="1" top="1" bottom="1" header="0.44" footer="1"/>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9" colorId="8" zoomScale="110" zoomScaleNormal="110" workbookViewId="0">
      <selection sqref="A1:F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2" t="s">
        <v>650</v>
      </c>
      <c r="B1" s="2230"/>
      <c r="C1" s="722"/>
    </row>
    <row r="2" spans="1:7" ht="33.75" x14ac:dyDescent="0.2">
      <c r="A2" s="2237" t="s">
        <v>1902</v>
      </c>
      <c r="B2" s="2238"/>
      <c r="C2" s="1909" t="s">
        <v>2035</v>
      </c>
      <c r="D2" s="724" t="s">
        <v>2042</v>
      </c>
      <c r="E2" s="724" t="s">
        <v>2043</v>
      </c>
      <c r="F2" s="1909" t="s">
        <v>2036</v>
      </c>
    </row>
    <row r="3" spans="1:7" ht="15.75" customHeight="1" x14ac:dyDescent="0.2">
      <c r="A3" s="2239" t="s">
        <v>1176</v>
      </c>
      <c r="B3" s="2240"/>
      <c r="C3" s="2233"/>
      <c r="D3" s="2234"/>
      <c r="E3" s="2234"/>
      <c r="F3" s="2235"/>
    </row>
    <row r="4" spans="1:7" ht="12.75" customHeight="1" thickBot="1" x14ac:dyDescent="0.25">
      <c r="A4" s="2227" t="s">
        <v>651</v>
      </c>
      <c r="B4" s="2228"/>
      <c r="C4" s="581"/>
      <c r="D4" s="581"/>
      <c r="E4" s="581"/>
      <c r="F4" s="1777">
        <f>SUM(C4+D4)-E4</f>
        <v>0</v>
      </c>
    </row>
    <row r="5" spans="1:7" ht="15.75" customHeight="1" thickTop="1" x14ac:dyDescent="0.2">
      <c r="A5" s="2231" t="s">
        <v>1172</v>
      </c>
      <c r="B5" s="2226"/>
      <c r="C5" s="2220"/>
      <c r="D5" s="2221"/>
      <c r="E5" s="2221"/>
      <c r="F5" s="222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3" t="s">
        <v>652</v>
      </c>
      <c r="B15" s="2224"/>
      <c r="C15" s="1777">
        <f>SUM(C6:C14)</f>
        <v>0</v>
      </c>
      <c r="D15" s="1777">
        <f>SUM(D6:D14)</f>
        <v>0</v>
      </c>
      <c r="E15" s="1777">
        <f>SUM(E6:E14)</f>
        <v>0</v>
      </c>
      <c r="F15" s="1777">
        <f>SUM(F6:F14)</f>
        <v>0</v>
      </c>
      <c r="G15" s="552"/>
    </row>
    <row r="16" spans="1:7" s="202" customFormat="1" ht="15.75" customHeight="1" thickTop="1" x14ac:dyDescent="0.2">
      <c r="A16" s="2236" t="s">
        <v>1173</v>
      </c>
      <c r="B16" s="2226"/>
      <c r="C16" s="2220"/>
      <c r="D16" s="2221"/>
      <c r="E16" s="2221"/>
      <c r="F16" s="2222"/>
    </row>
    <row r="17" spans="1:11" ht="12.75" customHeight="1" thickBot="1" x14ac:dyDescent="0.25">
      <c r="A17" s="2218" t="s">
        <v>66</v>
      </c>
      <c r="B17" s="2219"/>
      <c r="C17" s="727"/>
      <c r="D17" s="585"/>
      <c r="E17" s="727"/>
      <c r="F17" s="1777">
        <f>SUM(C17+D17)-E17</f>
        <v>0</v>
      </c>
    </row>
    <row r="18" spans="1:11" ht="12.75" customHeight="1" thickTop="1" thickBot="1" x14ac:dyDescent="0.25">
      <c r="A18" s="2218" t="s">
        <v>6</v>
      </c>
      <c r="B18" s="2219"/>
      <c r="C18" s="727"/>
      <c r="D18" s="585"/>
      <c r="E18" s="727"/>
      <c r="F18" s="1777">
        <f>SUM(C18+D18)-E18</f>
        <v>0</v>
      </c>
    </row>
    <row r="19" spans="1:11" ht="12.75" customHeight="1" thickTop="1" thickBot="1" x14ac:dyDescent="0.25">
      <c r="A19" s="2218" t="s">
        <v>406</v>
      </c>
      <c r="B19" s="2219"/>
      <c r="C19" s="727"/>
      <c r="D19" s="585"/>
      <c r="E19" s="727"/>
      <c r="F19" s="1777">
        <f>SUM(C19+D19)-E19</f>
        <v>0</v>
      </c>
    </row>
    <row r="20" spans="1:11" ht="12.75" customHeight="1" thickTop="1" thickBot="1" x14ac:dyDescent="0.25">
      <c r="A20" s="2218" t="s">
        <v>468</v>
      </c>
      <c r="B20" s="2219"/>
      <c r="C20" s="727"/>
      <c r="D20" s="585"/>
      <c r="E20" s="727"/>
      <c r="F20" s="1777">
        <f>SUM(C20+D20)-E20</f>
        <v>0</v>
      </c>
    </row>
    <row r="21" spans="1:11" ht="14.25" thickTop="1" thickBot="1" x14ac:dyDescent="0.25">
      <c r="A21" s="2223" t="s">
        <v>653</v>
      </c>
      <c r="B21" s="2224"/>
      <c r="C21" s="1777">
        <f>SUM(C17:C20)</f>
        <v>0</v>
      </c>
      <c r="D21" s="1777">
        <f>SUM(D17:D20)</f>
        <v>0</v>
      </c>
      <c r="E21" s="1777">
        <f>SUM(E17:E20)</f>
        <v>0</v>
      </c>
      <c r="F21" s="1777">
        <f>SUM(F17:F20)</f>
        <v>0</v>
      </c>
      <c r="G21" s="552"/>
    </row>
    <row r="22" spans="1:11" ht="15.75" customHeight="1" thickTop="1" x14ac:dyDescent="0.2">
      <c r="A22" s="2225" t="s">
        <v>1174</v>
      </c>
      <c r="B22" s="2226"/>
      <c r="C22" s="2220"/>
      <c r="D22" s="2221"/>
      <c r="E22" s="2221"/>
      <c r="F22" s="2222"/>
    </row>
    <row r="23" spans="1:11" ht="13.5" thickBot="1" x14ac:dyDescent="0.25">
      <c r="A23" s="2227" t="s">
        <v>654</v>
      </c>
      <c r="B23" s="2228"/>
      <c r="C23" s="581"/>
      <c r="D23" s="581"/>
      <c r="E23" s="581"/>
      <c r="F23" s="1777">
        <f>SUM(C23+D23)-E23</f>
        <v>0</v>
      </c>
      <c r="G23" s="552"/>
    </row>
    <row r="24" spans="1:11" ht="15.75" customHeight="1" thickTop="1" x14ac:dyDescent="0.2">
      <c r="A24" s="2225" t="s">
        <v>1175</v>
      </c>
      <c r="B24" s="2226"/>
      <c r="C24" s="2220"/>
      <c r="D24" s="2221"/>
      <c r="E24" s="2221"/>
      <c r="F24" s="2222"/>
    </row>
    <row r="25" spans="1:11" ht="13.5" thickBot="1" x14ac:dyDescent="0.25">
      <c r="A25" s="2227" t="s">
        <v>655</v>
      </c>
      <c r="B25" s="2228"/>
      <c r="C25" s="581"/>
      <c r="D25" s="581"/>
      <c r="E25" s="581"/>
      <c r="F25" s="1777">
        <f>SUM(C25+D25)-E25</f>
        <v>0</v>
      </c>
      <c r="G25" s="552"/>
    </row>
    <row r="26" spans="1:11" ht="15.75" customHeight="1" thickTop="1" x14ac:dyDescent="0.2">
      <c r="A26" s="2231" t="s">
        <v>678</v>
      </c>
      <c r="B26" s="2226"/>
      <c r="C26" s="728"/>
      <c r="D26" s="728"/>
      <c r="E26" s="728"/>
      <c r="F26" s="729"/>
    </row>
    <row r="27" spans="1:11" ht="13.5" thickBot="1" x14ac:dyDescent="0.25">
      <c r="A27" s="2223" t="s">
        <v>1130</v>
      </c>
      <c r="B27" s="2224"/>
      <c r="C27" s="585"/>
      <c r="D27" s="585"/>
      <c r="E27" s="585"/>
      <c r="F27" s="1777">
        <f>SUM(C27+D27)-E27</f>
        <v>0</v>
      </c>
      <c r="G27" s="552"/>
    </row>
    <row r="28" spans="1:11" ht="7.5" customHeight="1" thickTop="1" x14ac:dyDescent="0.2">
      <c r="A28" s="594"/>
    </row>
    <row r="29" spans="1:11" ht="23.25" customHeight="1" x14ac:dyDescent="0.2">
      <c r="A29" s="2229" t="s">
        <v>603</v>
      </c>
      <c r="B29" s="2230"/>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2090</v>
      </c>
      <c r="B31" s="734">
        <v>38898</v>
      </c>
      <c r="C31" s="735">
        <v>1250000</v>
      </c>
      <c r="D31" s="736">
        <v>7</v>
      </c>
      <c r="E31" s="735">
        <v>428551</v>
      </c>
      <c r="F31" s="735"/>
      <c r="G31" s="735"/>
      <c r="H31" s="735">
        <v>82775</v>
      </c>
      <c r="I31" s="1778">
        <f>((E31+F31)-H31)+G31</f>
        <v>345776</v>
      </c>
      <c r="J31" s="735">
        <v>156053</v>
      </c>
      <c r="K31" s="737"/>
    </row>
    <row r="32" spans="1:11" ht="12" customHeight="1" x14ac:dyDescent="0.2">
      <c r="A32" s="733" t="s">
        <v>2091</v>
      </c>
      <c r="B32" s="734">
        <v>41791</v>
      </c>
      <c r="C32" s="735">
        <v>2155000</v>
      </c>
      <c r="D32" s="736">
        <v>8</v>
      </c>
      <c r="E32" s="735">
        <v>2085000</v>
      </c>
      <c r="F32" s="735"/>
      <c r="G32" s="735"/>
      <c r="H32" s="735">
        <v>75000</v>
      </c>
      <c r="I32" s="1778">
        <f>((E32+F32)-H32)+G32</f>
        <v>2010000</v>
      </c>
      <c r="J32" s="735">
        <v>2010000</v>
      </c>
      <c r="K32" s="737"/>
    </row>
    <row r="33" spans="1:11" ht="12" customHeight="1" x14ac:dyDescent="0.2">
      <c r="A33" s="733" t="s">
        <v>2092</v>
      </c>
      <c r="B33" s="734">
        <v>41654</v>
      </c>
      <c r="C33" s="735">
        <v>71680</v>
      </c>
      <c r="D33" s="736">
        <v>9</v>
      </c>
      <c r="E33" s="735">
        <v>40334</v>
      </c>
      <c r="F33" s="735"/>
      <c r="G33" s="735"/>
      <c r="H33" s="735">
        <v>11338</v>
      </c>
      <c r="I33" s="1778">
        <f t="shared" ref="I33:I48" si="1">((E33+F33)-H33)+G33</f>
        <v>28996</v>
      </c>
      <c r="J33" s="735">
        <v>28996</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3476680</v>
      </c>
      <c r="D49" s="746"/>
      <c r="E49" s="1778">
        <f t="shared" ref="E49:J49" si="2">SUM(E31:E48)</f>
        <v>2553885</v>
      </c>
      <c r="F49" s="1778">
        <f t="shared" si="2"/>
        <v>0</v>
      </c>
      <c r="G49" s="1778">
        <f t="shared" si="2"/>
        <v>0</v>
      </c>
      <c r="H49" s="1778">
        <f t="shared" si="2"/>
        <v>169113</v>
      </c>
      <c r="I49" s="1778">
        <f t="shared" si="2"/>
        <v>2384772</v>
      </c>
      <c r="J49" s="1778">
        <f t="shared" si="2"/>
        <v>2195049</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12" t="s">
        <v>605</v>
      </c>
      <c r="C52" s="2213"/>
      <c r="D52" s="2213"/>
      <c r="E52" s="750" t="s">
        <v>900</v>
      </c>
      <c r="F52" s="2214" t="s">
        <v>2097</v>
      </c>
      <c r="G52" s="2215"/>
      <c r="H52" s="737"/>
      <c r="I52" s="737"/>
      <c r="J52" s="747"/>
    </row>
    <row r="53" spans="1:11" ht="11.25" customHeight="1" x14ac:dyDescent="0.2">
      <c r="A53" s="751" t="s">
        <v>969</v>
      </c>
      <c r="B53" s="752" t="s">
        <v>1008</v>
      </c>
      <c r="C53" s="747"/>
      <c r="D53" s="738"/>
      <c r="E53" s="750" t="s">
        <v>518</v>
      </c>
      <c r="F53" s="2216" t="s">
        <v>2092</v>
      </c>
      <c r="G53" s="2217"/>
      <c r="H53" s="737"/>
      <c r="I53" s="737"/>
      <c r="J53" s="747"/>
    </row>
    <row r="54" spans="1:11" ht="11.25" customHeight="1" x14ac:dyDescent="0.2">
      <c r="A54" s="753" t="s">
        <v>970</v>
      </c>
      <c r="B54" s="748" t="s">
        <v>1009</v>
      </c>
      <c r="C54" s="747"/>
      <c r="D54" s="738"/>
      <c r="E54" s="750" t="s">
        <v>519</v>
      </c>
      <c r="F54" s="2216" t="s">
        <v>2098</v>
      </c>
      <c r="G54" s="221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verticalCentered="1" gridLinesSet="0"/>
  <pageMargins left="1" right="1" top="1" bottom="1" header="0.4" footer="0.5"/>
  <pageSetup scale="63"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F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911</v>
      </c>
      <c r="B1" s="2242"/>
      <c r="C1" s="2242"/>
      <c r="D1" s="2242"/>
      <c r="E1" s="2242"/>
      <c r="F1" s="2242"/>
      <c r="G1" s="2243"/>
      <c r="H1" s="1552"/>
      <c r="I1" s="761"/>
      <c r="J1" s="433"/>
    </row>
    <row r="2" spans="1:11" ht="26.25" x14ac:dyDescent="0.2">
      <c r="A2" s="2260" t="s">
        <v>1776</v>
      </c>
      <c r="B2" s="2261"/>
      <c r="C2" s="2261"/>
      <c r="D2" s="2261"/>
      <c r="E2" s="2262"/>
      <c r="F2" s="762" t="s">
        <v>960</v>
      </c>
      <c r="G2" s="763" t="s">
        <v>1773</v>
      </c>
      <c r="H2" s="763" t="s">
        <v>430</v>
      </c>
      <c r="I2" s="763" t="s">
        <v>1220</v>
      </c>
      <c r="J2" s="763" t="s">
        <v>1916</v>
      </c>
      <c r="K2" s="763" t="s">
        <v>140</v>
      </c>
    </row>
    <row r="3" spans="1:11" x14ac:dyDescent="0.2">
      <c r="A3" s="2263" t="s">
        <v>1698</v>
      </c>
      <c r="B3" s="2264"/>
      <c r="C3" s="2264"/>
      <c r="D3" s="2264"/>
      <c r="E3" s="2265"/>
      <c r="F3" s="764"/>
      <c r="G3" s="765"/>
      <c r="H3" s="765"/>
      <c r="I3" s="765"/>
      <c r="J3" s="766"/>
      <c r="K3" s="766"/>
    </row>
    <row r="4" spans="1:11" x14ac:dyDescent="0.2">
      <c r="A4" s="2266" t="s">
        <v>387</v>
      </c>
      <c r="B4" s="2267"/>
      <c r="C4" s="2267"/>
      <c r="D4" s="2267"/>
      <c r="E4" s="2213"/>
      <c r="F4" s="767"/>
      <c r="G4" s="768"/>
      <c r="H4" s="769"/>
      <c r="I4" s="768"/>
      <c r="J4" s="770"/>
      <c r="K4" s="770"/>
    </row>
    <row r="5" spans="1:11" x14ac:dyDescent="0.2">
      <c r="A5" s="2244" t="s">
        <v>1129</v>
      </c>
      <c r="B5" s="2245"/>
      <c r="C5" s="2245"/>
      <c r="D5" s="2245"/>
      <c r="E5" s="2246"/>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5390</v>
      </c>
    </row>
    <row r="10" spans="1:11" x14ac:dyDescent="0.2">
      <c r="A10" s="2244" t="s">
        <v>1917</v>
      </c>
      <c r="B10" s="2245"/>
      <c r="C10" s="2245"/>
      <c r="D10" s="2245"/>
      <c r="E10" s="2247"/>
      <c r="F10" s="784" t="s">
        <v>917</v>
      </c>
      <c r="G10" s="783"/>
      <c r="H10" s="785"/>
      <c r="I10" s="765"/>
      <c r="J10" s="766"/>
      <c r="K10" s="766"/>
    </row>
    <row r="11" spans="1:11" x14ac:dyDescent="0.2">
      <c r="A11" s="2244" t="s">
        <v>162</v>
      </c>
      <c r="B11" s="2245"/>
      <c r="C11" s="2245"/>
      <c r="D11" s="2245"/>
      <c r="E11" s="2246"/>
      <c r="F11" s="771" t="s">
        <v>907</v>
      </c>
      <c r="G11" s="772"/>
      <c r="H11" s="765"/>
      <c r="I11" s="765"/>
      <c r="J11" s="766"/>
      <c r="K11" s="774"/>
    </row>
    <row r="12" spans="1:11" ht="13.5" thickBot="1" x14ac:dyDescent="0.25">
      <c r="A12" s="2271" t="s">
        <v>961</v>
      </c>
      <c r="B12" s="2272"/>
      <c r="C12" s="2272"/>
      <c r="D12" s="2272"/>
      <c r="E12" s="2273"/>
      <c r="F12" s="1779"/>
      <c r="G12" s="1780">
        <f>SUM(G5:G11)</f>
        <v>0</v>
      </c>
      <c r="H12" s="1780">
        <f>SUM(H5:H11)</f>
        <v>0</v>
      </c>
      <c r="I12" s="1780">
        <f>SUM(I5:I11)</f>
        <v>0</v>
      </c>
      <c r="J12" s="1780">
        <f>SUM(J5:J11)</f>
        <v>0</v>
      </c>
      <c r="K12" s="1780">
        <f>SUM(K5:K11)</f>
        <v>5390</v>
      </c>
    </row>
    <row r="13" spans="1:11" ht="13.5" thickTop="1" x14ac:dyDescent="0.2">
      <c r="A13" s="2268" t="s">
        <v>388</v>
      </c>
      <c r="B13" s="2269"/>
      <c r="C13" s="2269"/>
      <c r="D13" s="2269"/>
      <c r="E13" s="2270"/>
      <c r="F13" s="786"/>
      <c r="G13" s="787"/>
      <c r="H13" s="788"/>
      <c r="I13" s="789"/>
      <c r="J13" s="789"/>
      <c r="K13" s="789"/>
    </row>
    <row r="14" spans="1:11" x14ac:dyDescent="0.2">
      <c r="A14" s="2251" t="s">
        <v>476</v>
      </c>
      <c r="B14" s="2251"/>
      <c r="C14" s="2251"/>
      <c r="D14" s="2251"/>
      <c r="E14" s="2252"/>
      <c r="F14" s="790" t="s">
        <v>909</v>
      </c>
      <c r="G14" s="783"/>
      <c r="H14" s="765"/>
      <c r="I14" s="772"/>
      <c r="J14" s="774"/>
      <c r="K14" s="766">
        <v>5390</v>
      </c>
    </row>
    <row r="15" spans="1:11" x14ac:dyDescent="0.2">
      <c r="A15" s="2245" t="s">
        <v>4</v>
      </c>
      <c r="B15" s="2245"/>
      <c r="C15" s="2245"/>
      <c r="D15" s="2245"/>
      <c r="E15" s="2246"/>
      <c r="F15" s="790" t="s">
        <v>910</v>
      </c>
      <c r="G15" s="772"/>
      <c r="H15" s="765"/>
      <c r="I15" s="765"/>
      <c r="J15" s="766"/>
      <c r="K15" s="766"/>
    </row>
    <row r="16" spans="1:11" x14ac:dyDescent="0.2">
      <c r="A16" s="2245" t="s">
        <v>316</v>
      </c>
      <c r="B16" s="2245"/>
      <c r="C16" s="2245"/>
      <c r="D16" s="2245"/>
      <c r="E16" s="2246"/>
      <c r="F16" s="790" t="s">
        <v>980</v>
      </c>
      <c r="G16" s="773"/>
      <c r="H16" s="768"/>
      <c r="I16" s="768"/>
      <c r="J16" s="770"/>
      <c r="K16" s="770"/>
    </row>
    <row r="17" spans="1:11" x14ac:dyDescent="0.2">
      <c r="A17" s="2276" t="s">
        <v>992</v>
      </c>
      <c r="B17" s="2276"/>
      <c r="C17" s="2276"/>
      <c r="D17" s="2276"/>
      <c r="E17" s="2277"/>
      <c r="F17" s="791"/>
      <c r="G17" s="792"/>
      <c r="H17" s="793"/>
      <c r="I17" s="793"/>
      <c r="J17" s="794"/>
      <c r="K17" s="795"/>
    </row>
    <row r="18" spans="1:11" x14ac:dyDescent="0.2">
      <c r="A18" s="2255" t="s">
        <v>386</v>
      </c>
      <c r="B18" s="2256"/>
      <c r="C18" s="2256"/>
      <c r="D18" s="2256"/>
      <c r="E18" s="2257"/>
      <c r="F18" s="790" t="s">
        <v>989</v>
      </c>
      <c r="G18" s="783"/>
      <c r="H18" s="783"/>
      <c r="I18" s="783"/>
      <c r="J18" s="766"/>
      <c r="K18" s="796"/>
    </row>
    <row r="19" spans="1:11" ht="21.75" customHeight="1" x14ac:dyDescent="0.2">
      <c r="A19" s="2253" t="s">
        <v>1913</v>
      </c>
      <c r="B19" s="2253"/>
      <c r="C19" s="2253"/>
      <c r="D19" s="2253"/>
      <c r="E19" s="2254"/>
      <c r="F19" s="790" t="s">
        <v>990</v>
      </c>
      <c r="G19" s="783"/>
      <c r="H19" s="783"/>
      <c r="I19" s="783"/>
      <c r="J19" s="766"/>
      <c r="K19" s="796"/>
    </row>
    <row r="20" spans="1:11" x14ac:dyDescent="0.2">
      <c r="A20" s="2255" t="s">
        <v>1918</v>
      </c>
      <c r="B20" s="2256"/>
      <c r="C20" s="2256"/>
      <c r="D20" s="2256"/>
      <c r="E20" s="2257"/>
      <c r="F20" s="790" t="s">
        <v>991</v>
      </c>
      <c r="G20" s="783"/>
      <c r="H20" s="783"/>
      <c r="I20" s="783"/>
      <c r="J20" s="766"/>
      <c r="K20" s="796"/>
    </row>
    <row r="21" spans="1:11" ht="13.5" thickBot="1" x14ac:dyDescent="0.25">
      <c r="A21" s="2274" t="s">
        <v>659</v>
      </c>
      <c r="B21" s="2274"/>
      <c r="C21" s="2274"/>
      <c r="D21" s="2274"/>
      <c r="E21" s="2274"/>
      <c r="F21" s="1781"/>
      <c r="G21" s="793"/>
      <c r="H21" s="797"/>
      <c r="I21" s="797"/>
      <c r="J21" s="1782">
        <f>SUM(J18:J20)</f>
        <v>0</v>
      </c>
      <c r="K21" s="794"/>
    </row>
    <row r="22" spans="1:11" ht="13.5" thickTop="1" x14ac:dyDescent="0.2">
      <c r="A22" s="2245" t="s">
        <v>1919</v>
      </c>
      <c r="B22" s="2245"/>
      <c r="C22" s="2245"/>
      <c r="D22" s="2245"/>
      <c r="E22" s="2246"/>
      <c r="F22" s="790" t="s">
        <v>917</v>
      </c>
      <c r="G22" s="783"/>
      <c r="H22" s="765"/>
      <c r="I22" s="765"/>
      <c r="J22" s="798"/>
      <c r="K22" s="766"/>
    </row>
    <row r="23" spans="1:11" ht="13.5" thickBot="1" x14ac:dyDescent="0.25">
      <c r="A23" s="2275" t="s">
        <v>962</v>
      </c>
      <c r="B23" s="2274"/>
      <c r="C23" s="2274"/>
      <c r="D23" s="2274"/>
      <c r="E23" s="2274"/>
      <c r="F23" s="1783"/>
      <c r="G23" s="1780">
        <f>SUM(G14:G16,G21,G22)</f>
        <v>0</v>
      </c>
      <c r="H23" s="1780">
        <f>SUM(H14:H16,H21,H22)</f>
        <v>0</v>
      </c>
      <c r="I23" s="1780">
        <f>SUM(I14:I16,I21,I22)</f>
        <v>0</v>
      </c>
      <c r="J23" s="1780">
        <f>SUM(J14:J16,J21,J22)</f>
        <v>0</v>
      </c>
      <c r="K23" s="1780">
        <f>SUM(K14:K16,K21,K22)</f>
        <v>5390</v>
      </c>
    </row>
    <row r="24" spans="1:11" ht="14.25" thickTop="1" thickBot="1" x14ac:dyDescent="0.25">
      <c r="A24" s="2275" t="s">
        <v>2023</v>
      </c>
      <c r="B24" s="2274"/>
      <c r="C24" s="2274"/>
      <c r="D24" s="2274"/>
      <c r="E24" s="227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8"/>
      <c r="I31" s="2249"/>
      <c r="J31" s="2249"/>
      <c r="K31" s="2249"/>
    </row>
    <row r="32" spans="1:11" x14ac:dyDescent="0.2">
      <c r="A32" s="810"/>
      <c r="B32" s="237"/>
      <c r="C32" s="237"/>
      <c r="D32" s="237"/>
      <c r="E32" s="806"/>
      <c r="F32" s="812" t="s">
        <v>561</v>
      </c>
      <c r="G32" s="765"/>
      <c r="H32" s="2250"/>
      <c r="I32" s="2249"/>
      <c r="J32" s="2249"/>
      <c r="K32" s="2249"/>
    </row>
    <row r="33" spans="1:11" ht="1.5" customHeight="1" x14ac:dyDescent="0.2">
      <c r="A33" s="813" t="s">
        <v>1231</v>
      </c>
      <c r="B33" s="364"/>
      <c r="C33" s="364"/>
      <c r="D33" s="364"/>
      <c r="E33" s="364"/>
      <c r="F33" s="364"/>
      <c r="G33" s="814"/>
      <c r="H33" s="2250"/>
      <c r="I33" s="2249"/>
      <c r="J33" s="2249"/>
      <c r="K33" s="2249"/>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5" t="s">
        <v>562</v>
      </c>
      <c r="B41" s="2258"/>
      <c r="C41" s="2258"/>
      <c r="D41" s="2258"/>
      <c r="E41" s="2258"/>
      <c r="F41" s="225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verticalCentered="1" gridLines="1"/>
  <pageMargins left="1" right="1" top="1" bottom="1" header="0.4" footer="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N27"/>
  <sheetViews>
    <sheetView showGridLines="0" defaultGridColor="0" colorId="8" zoomScale="110" zoomScaleNormal="110" workbookViewId="0">
      <selection sqref="A1:F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2032</v>
      </c>
      <c r="B1" s="2281"/>
      <c r="C1" s="2282"/>
      <c r="D1" s="827"/>
      <c r="E1" s="828"/>
      <c r="F1" s="828"/>
      <c r="G1" s="829"/>
      <c r="H1" s="830"/>
      <c r="I1" s="831"/>
      <c r="J1" s="2278"/>
      <c r="K1" s="2279"/>
      <c r="L1" s="2279"/>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57109</v>
      </c>
      <c r="D5" s="842"/>
      <c r="E5" s="842"/>
      <c r="F5" s="1782">
        <f>(C5+D5)-E5</f>
        <v>57109</v>
      </c>
      <c r="G5" s="838"/>
      <c r="H5" s="843"/>
      <c r="I5" s="843"/>
      <c r="J5" s="843"/>
      <c r="K5" s="794"/>
      <c r="L5" s="1791">
        <f>F5-K5</f>
        <v>57109</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4599342</v>
      </c>
      <c r="D8" s="845">
        <v>8147679</v>
      </c>
      <c r="E8" s="845"/>
      <c r="F8" s="1782">
        <f>(C8+D8)-E8</f>
        <v>12747021</v>
      </c>
      <c r="G8" s="844">
        <v>50</v>
      </c>
      <c r="H8" s="766">
        <v>2691704</v>
      </c>
      <c r="I8" s="766">
        <v>242010</v>
      </c>
      <c r="J8" s="766"/>
      <c r="K8" s="1791">
        <f>(H8+I8)-J8</f>
        <v>2933714</v>
      </c>
      <c r="L8" s="1791">
        <f>F8-K8</f>
        <v>9813307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1147950</v>
      </c>
      <c r="D10" s="847">
        <v>30617</v>
      </c>
      <c r="E10" s="847"/>
      <c r="F10" s="1786">
        <f>(C10+D10)-E10</f>
        <v>1178567</v>
      </c>
      <c r="G10" s="844">
        <v>20</v>
      </c>
      <c r="H10" s="848">
        <v>373141</v>
      </c>
      <c r="I10" s="848">
        <v>57405</v>
      </c>
      <c r="J10" s="848"/>
      <c r="K10" s="1791">
        <f>(H10+I10)-J10</f>
        <v>430546</v>
      </c>
      <c r="L10" s="1791">
        <f>F10-K10</f>
        <v>748021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2993644</v>
      </c>
      <c r="D12" s="845">
        <v>38842</v>
      </c>
      <c r="E12" s="845"/>
      <c r="F12" s="1782">
        <f>(C12+D12)-E12</f>
        <v>3032486</v>
      </c>
      <c r="G12" s="844">
        <v>10</v>
      </c>
      <c r="H12" s="766">
        <v>2764405</v>
      </c>
      <c r="I12" s="766">
        <v>39530</v>
      </c>
      <c r="J12" s="766"/>
      <c r="K12" s="1791">
        <f>(H12+I12)-J12</f>
        <v>2803935</v>
      </c>
      <c r="L12" s="1791">
        <f>F12-K12</f>
        <v>228551</v>
      </c>
    </row>
    <row r="13" spans="1:14" ht="14.25" thickTop="1" thickBot="1" x14ac:dyDescent="0.25">
      <c r="A13" s="849" t="s">
        <v>1184</v>
      </c>
      <c r="B13" s="841">
        <v>252</v>
      </c>
      <c r="C13" s="845">
        <v>715832</v>
      </c>
      <c r="D13" s="845">
        <v>21108</v>
      </c>
      <c r="E13" s="845"/>
      <c r="F13" s="1782">
        <f>(C13+D13)-E13</f>
        <v>736940</v>
      </c>
      <c r="G13" s="844">
        <v>5</v>
      </c>
      <c r="H13" s="766">
        <v>576579</v>
      </c>
      <c r="I13" s="766">
        <v>41526</v>
      </c>
      <c r="J13" s="766"/>
      <c r="K13" s="1791">
        <f>(H13+I13)-J13</f>
        <v>618105</v>
      </c>
      <c r="L13" s="1791">
        <f>F13-K13</f>
        <v>118835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6778796</v>
      </c>
      <c r="D15" s="845">
        <v>1328883</v>
      </c>
      <c r="E15" s="845">
        <v>8107679</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16292673</v>
      </c>
      <c r="D16" s="1782">
        <f>SUM(D3,D5:D6,D8:D10,D12:D15)</f>
        <v>9567129</v>
      </c>
      <c r="E16" s="1782">
        <f>SUM(E3,E5:E6,E8:E10,E12:E15)</f>
        <v>8107679</v>
      </c>
      <c r="F16" s="1782">
        <f>SUM(F3,F5:F6,F8:F10,F12:F15)</f>
        <v>17752123</v>
      </c>
      <c r="G16" s="844"/>
      <c r="H16" s="1782">
        <f>SUM(H3,H6,H8:H10,H12:H14,)</f>
        <v>6405829</v>
      </c>
      <c r="I16" s="1782">
        <f>SUM(I3,I6,I8:I10,I12:I14,)</f>
        <v>380471</v>
      </c>
      <c r="J16" s="1782">
        <f>SUM(J3,J6,J8:J10,J12:J14,)</f>
        <v>0</v>
      </c>
      <c r="K16" s="1782">
        <f>(H16+I16)-J16</f>
        <v>6786300</v>
      </c>
      <c r="L16" s="1782">
        <f>F16-K16</f>
        <v>10965823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380471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orizontalCentered="1" verticalCentered="1" gridLines="1"/>
  <pageMargins left="1" right="1" top="0.75" bottom="0.75" header="1" footer="0.75"/>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sqref="A1:F1"/>
      <selection pane="bottomLeft" sqref="A1:F1"/>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1699</v>
      </c>
      <c r="B1" s="2287"/>
      <c r="C1" s="2287"/>
      <c r="D1" s="2287"/>
      <c r="E1" s="2287"/>
      <c r="F1" s="2288"/>
      <c r="G1" s="856"/>
    </row>
    <row r="2" spans="1:7" ht="15" customHeight="1" thickBot="1" x14ac:dyDescent="0.25">
      <c r="A2" s="2289" t="s">
        <v>498</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2"/>
      <c r="B5" s="2293"/>
      <c r="C5" s="2293"/>
      <c r="D5" s="2293"/>
      <c r="E5" s="2293"/>
      <c r="F5" s="2293"/>
    </row>
    <row r="6" spans="1:7" ht="13.5" customHeight="1" thickBot="1" x14ac:dyDescent="0.25">
      <c r="A6" s="2283" t="s">
        <v>1166</v>
      </c>
      <c r="B6" s="2284"/>
      <c r="C6" s="2284"/>
      <c r="D6" s="2284"/>
      <c r="E6" s="2284"/>
      <c r="F6" s="228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6135854</v>
      </c>
      <c r="G8" s="866"/>
    </row>
    <row r="9" spans="1:7" x14ac:dyDescent="0.2">
      <c r="A9" s="870" t="s">
        <v>480</v>
      </c>
      <c r="B9" s="871" t="s">
        <v>1986</v>
      </c>
      <c r="C9" s="872"/>
      <c r="D9" s="870" t="s">
        <v>522</v>
      </c>
      <c r="E9" s="869"/>
      <c r="F9" s="1935">
        <f>'Expenditures 15-22'!K151</f>
        <v>354316</v>
      </c>
      <c r="G9" s="873"/>
    </row>
    <row r="10" spans="1:7" x14ac:dyDescent="0.2">
      <c r="A10" s="870" t="s">
        <v>520</v>
      </c>
      <c r="B10" s="871" t="s">
        <v>1987</v>
      </c>
      <c r="C10" s="872"/>
      <c r="D10" s="870" t="s">
        <v>522</v>
      </c>
      <c r="E10" s="869"/>
      <c r="F10" s="1935">
        <f>'Expenditures 15-22'!K174</f>
        <v>274316</v>
      </c>
      <c r="G10" s="873"/>
    </row>
    <row r="11" spans="1:7" x14ac:dyDescent="0.2">
      <c r="A11" s="870" t="s">
        <v>481</v>
      </c>
      <c r="B11" s="871" t="s">
        <v>1988</v>
      </c>
      <c r="C11" s="872"/>
      <c r="D11" s="870" t="s">
        <v>522</v>
      </c>
      <c r="E11" s="869"/>
      <c r="F11" s="1935">
        <f>'Expenditures 15-22'!K210</f>
        <v>562352</v>
      </c>
      <c r="G11" s="873"/>
    </row>
    <row r="12" spans="1:7" x14ac:dyDescent="0.2">
      <c r="A12" s="870" t="s">
        <v>482</v>
      </c>
      <c r="B12" s="871" t="s">
        <v>1989</v>
      </c>
      <c r="C12" s="872"/>
      <c r="D12" s="870" t="s">
        <v>522</v>
      </c>
      <c r="E12" s="869"/>
      <c r="F12" s="1935">
        <f>'Expenditures 15-22'!K295</f>
        <v>149333</v>
      </c>
      <c r="G12" s="873"/>
    </row>
    <row r="13" spans="1:7" x14ac:dyDescent="0.2">
      <c r="A13" s="870" t="s">
        <v>108</v>
      </c>
      <c r="B13" s="871" t="s">
        <v>1990</v>
      </c>
      <c r="C13" s="872"/>
      <c r="D13" s="870" t="s">
        <v>522</v>
      </c>
      <c r="E13" s="869"/>
      <c r="F13" s="1935">
        <f>'Expenditures 15-22'!K342</f>
        <v>38204</v>
      </c>
      <c r="G13" s="874"/>
    </row>
    <row r="14" spans="1:7" ht="12" customHeight="1" thickBot="1" x14ac:dyDescent="0.25">
      <c r="A14" s="1792"/>
      <c r="B14" s="1793"/>
      <c r="C14" s="1794"/>
      <c r="D14" s="1795" t="s">
        <v>522</v>
      </c>
      <c r="E14" s="1796" t="s">
        <v>1015</v>
      </c>
      <c r="F14" s="1797">
        <f>SUM(F8:F13)</f>
        <v>7514375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224241</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66843</v>
      </c>
      <c r="G52" s="866"/>
    </row>
    <row r="53" spans="1:7" x14ac:dyDescent="0.2">
      <c r="A53" s="870" t="s">
        <v>479</v>
      </c>
      <c r="B53" s="870" t="s">
        <v>1551</v>
      </c>
      <c r="C53" s="890">
        <f>'Expenditures 15-22'!B102</f>
        <v>4000</v>
      </c>
      <c r="D53" s="889" t="str">
        <f>'Expenditures 15-22'!A102</f>
        <v>Total Payments to Other Govt Units</v>
      </c>
      <c r="E53" s="869"/>
      <c r="F53" s="1939">
        <f>'Expenditures 15-22'!K102</f>
        <v>242841</v>
      </c>
      <c r="G53" s="866"/>
    </row>
    <row r="54" spans="1:7" x14ac:dyDescent="0.2">
      <c r="A54" s="870" t="s">
        <v>479</v>
      </c>
      <c r="B54" s="870" t="s">
        <v>1552</v>
      </c>
      <c r="C54" s="890" t="s">
        <v>1039</v>
      </c>
      <c r="D54" s="886" t="s">
        <v>1157</v>
      </c>
      <c r="E54" s="869"/>
      <c r="F54" s="1939">
        <f>'Expenditures 15-22'!G114</f>
        <v>120553</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103</v>
      </c>
      <c r="G57" s="866"/>
    </row>
    <row r="58" spans="1:7" x14ac:dyDescent="0.2">
      <c r="A58" s="870" t="s">
        <v>480</v>
      </c>
      <c r="B58" s="870" t="s">
        <v>1992</v>
      </c>
      <c r="C58" s="887" t="s">
        <v>1039</v>
      </c>
      <c r="D58" s="886" t="s">
        <v>1157</v>
      </c>
      <c r="E58" s="869"/>
      <c r="F58" s="1941">
        <f>'Expenditures 15-22'!G151</f>
        <v>10000</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169113</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0</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833694</v>
      </c>
      <c r="G76" s="866"/>
    </row>
    <row r="77" spans="1:8" s="894" customFormat="1" ht="12" customHeight="1" thickTop="1" thickBot="1" x14ac:dyDescent="0.25">
      <c r="A77" s="1801"/>
      <c r="B77" s="1798"/>
      <c r="C77" s="1794"/>
      <c r="D77" s="1799" t="s">
        <v>2009</v>
      </c>
      <c r="E77" s="1796"/>
      <c r="F77" s="1802">
        <f>(F14-F76)</f>
        <v>6680681</v>
      </c>
      <c r="G77" s="870"/>
    </row>
    <row r="78" spans="1:8" s="894" customFormat="1" ht="12" customHeight="1" thickTop="1" x14ac:dyDescent="0.2">
      <c r="A78" s="1803"/>
      <c r="B78" s="1798"/>
      <c r="C78" s="1794"/>
      <c r="D78" s="1799" t="s">
        <v>2056</v>
      </c>
      <c r="E78" s="1796"/>
      <c r="F78" s="899">
        <v>370.94</v>
      </c>
      <c r="G78" s="900"/>
      <c r="H78" s="870"/>
    </row>
    <row r="79" spans="1:8" s="894" customFormat="1" ht="12" customHeight="1" thickBot="1" x14ac:dyDescent="0.25">
      <c r="A79" s="1804"/>
      <c r="B79" s="1798"/>
      <c r="C79" s="1794"/>
      <c r="D79" s="1799" t="s">
        <v>2010</v>
      </c>
      <c r="E79" s="1796" t="s">
        <v>1015</v>
      </c>
      <c r="F79" s="1805">
        <f>IF(F78&gt;0,F77/F78," Complete Line 78")</f>
        <v>18010.139106054889</v>
      </c>
      <c r="G79" s="870"/>
    </row>
    <row r="80" spans="1:8" s="894" customFormat="1" ht="8.25" customHeight="1" thickTop="1" x14ac:dyDescent="0.2">
      <c r="A80" s="901"/>
      <c r="B80" s="870"/>
      <c r="C80" s="872"/>
      <c r="D80" s="902"/>
      <c r="E80" s="869"/>
      <c r="F80" s="903"/>
      <c r="G80" s="870"/>
    </row>
    <row r="81" spans="1:7" s="894" customFormat="1" ht="12" thickBot="1" x14ac:dyDescent="0.25">
      <c r="A81" s="2283" t="s">
        <v>1167</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18760</v>
      </c>
      <c r="G94" s="913"/>
    </row>
    <row r="95" spans="1:7" x14ac:dyDescent="0.2">
      <c r="A95" s="909" t="s">
        <v>142</v>
      </c>
      <c r="B95" s="909" t="s">
        <v>177</v>
      </c>
      <c r="C95" s="911">
        <v>1700</v>
      </c>
      <c r="D95" s="919" t="str">
        <f>'Revenues 9-14'!A82</f>
        <v>Total District/School Activity Income</v>
      </c>
      <c r="E95" s="907"/>
      <c r="F95" s="1811">
        <f>SUM('Revenues 9-14'!C82,'Revenues 9-14'!D82)</f>
        <v>7338</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89691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1601</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6422</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5390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399849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59710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8000</v>
      </c>
      <c r="G128" s="931"/>
    </row>
    <row r="129" spans="1:7" x14ac:dyDescent="0.2">
      <c r="A129" s="928" t="s">
        <v>685</v>
      </c>
      <c r="B129" s="928" t="s">
        <v>803</v>
      </c>
      <c r="C129" s="933">
        <v>4200</v>
      </c>
      <c r="D129" s="930" t="str">
        <f>'Revenues 9-14'!A201</f>
        <v>Total Food Service</v>
      </c>
      <c r="E129" s="907"/>
      <c r="F129" s="1811">
        <f>SUM('Revenues 9-14'!C201,'Revenues 9-14'!G201)</f>
        <v>340223</v>
      </c>
      <c r="G129" s="931"/>
    </row>
    <row r="130" spans="1:7" x14ac:dyDescent="0.2">
      <c r="A130" s="928" t="s">
        <v>689</v>
      </c>
      <c r="B130" s="928" t="s">
        <v>804</v>
      </c>
      <c r="C130" s="933">
        <v>4300</v>
      </c>
      <c r="D130" s="934" t="str">
        <f>'Revenues 9-14'!A211</f>
        <v>Total Title I</v>
      </c>
      <c r="E130" s="907"/>
      <c r="F130" s="1811">
        <f>SUM('Revenues 9-14'!C211,'Revenues 9-14'!D211,'Revenues 9-14'!F211,'Revenues 9-14'!G211)</f>
        <v>2508090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193954</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19965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3658993</v>
      </c>
    </row>
    <row r="179" spans="1:7" ht="12" customHeight="1" x14ac:dyDescent="0.2">
      <c r="A179" s="1792"/>
      <c r="B179" s="1806"/>
      <c r="C179" s="1807"/>
      <c r="D179" s="1808" t="s">
        <v>2012</v>
      </c>
      <c r="E179" s="1809"/>
      <c r="F179" s="1811">
        <f>'PCTC-OEPP 27-28'!F77-F178</f>
        <v>3021688</v>
      </c>
    </row>
    <row r="180" spans="1:7" ht="12" customHeight="1" x14ac:dyDescent="0.2">
      <c r="A180" s="1792"/>
      <c r="B180" s="1806"/>
      <c r="C180" s="1807"/>
      <c r="D180" s="1808" t="s">
        <v>1921</v>
      </c>
      <c r="E180" s="1809"/>
      <c r="F180" s="1811">
        <f>'Cap Outlay Deprec 26'!I18</f>
        <v>380471</v>
      </c>
    </row>
    <row r="181" spans="1:7" ht="12" customHeight="1" x14ac:dyDescent="0.2">
      <c r="A181" s="1792"/>
      <c r="B181" s="1806"/>
      <c r="C181" s="1807"/>
      <c r="D181" s="1808" t="s">
        <v>2013</v>
      </c>
      <c r="E181" s="1809"/>
      <c r="F181" s="1811">
        <f>F179+F180</f>
        <v>3402159</v>
      </c>
    </row>
    <row r="182" spans="1:7" ht="12" customHeight="1" x14ac:dyDescent="0.2">
      <c r="A182" s="1792"/>
      <c r="B182" s="1812"/>
      <c r="C182" s="1807"/>
      <c r="D182" s="1808" t="str">
        <f>D78</f>
        <v>9 Month ADA from District Average Daily Attendance/Prior General State Aid Inquiry 2017-2018</v>
      </c>
      <c r="E182" s="1809"/>
      <c r="F182" s="1813">
        <f>'PCTC-OEPP 27-28'!F78</f>
        <v>370.94</v>
      </c>
      <c r="G182" s="931"/>
    </row>
    <row r="183" spans="1:7" ht="12" customHeight="1" thickBot="1" x14ac:dyDescent="0.25">
      <c r="A183" s="1792"/>
      <c r="B183" s="1812"/>
      <c r="C183" s="1807"/>
      <c r="D183" s="1808" t="s">
        <v>2014</v>
      </c>
      <c r="E183" s="1809" t="s">
        <v>1626</v>
      </c>
      <c r="F183" s="1814">
        <f>F181/F182</f>
        <v>9171.7231897341881</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orizontalCentered="1" verticalCentered="1" gridLines="1"/>
  <pageMargins left="0.5" right="0.5" top="0.75" bottom="0.75" header="0.3" footer="0.75"/>
  <pageSetup scale="65"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topLeftCell="A4" workbookViewId="0">
      <selection sqref="A1:F1"/>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7" t="s">
        <v>1922</v>
      </c>
      <c r="B4" s="2298"/>
      <c r="C4" s="2298"/>
      <c r="D4" s="2298"/>
      <c r="E4" s="2298"/>
      <c r="F4" s="2298"/>
      <c r="G4" s="2299"/>
    </row>
    <row r="5" spans="1:7" x14ac:dyDescent="0.25">
      <c r="A5" s="2300"/>
      <c r="B5" s="2301"/>
      <c r="C5" s="2301"/>
      <c r="D5" s="2301"/>
      <c r="E5" s="2301"/>
      <c r="F5" s="2301"/>
      <c r="G5" s="2302"/>
    </row>
    <row r="6" spans="1:7" ht="18.75" x14ac:dyDescent="0.25">
      <c r="A6" s="1556" t="s">
        <v>1923</v>
      </c>
      <c r="B6" s="1557"/>
      <c r="C6" s="1557"/>
      <c r="D6" s="1557"/>
      <c r="E6" s="1557"/>
      <c r="F6" s="1557"/>
      <c r="G6" s="1558"/>
    </row>
    <row r="7" spans="1:7" ht="30.75" customHeight="1" x14ac:dyDescent="0.25">
      <c r="A7" s="2303" t="s">
        <v>2072</v>
      </c>
      <c r="B7" s="2304"/>
      <c r="C7" s="2304"/>
      <c r="D7" s="2304"/>
      <c r="E7" s="2304"/>
      <c r="F7" s="2304"/>
      <c r="G7" s="2305"/>
    </row>
    <row r="8" spans="1:7" ht="15.75" customHeight="1" x14ac:dyDescent="0.25">
      <c r="A8" s="2306" t="s">
        <v>2021</v>
      </c>
      <c r="B8" s="2307"/>
      <c r="C8" s="2307"/>
      <c r="D8" s="2307"/>
      <c r="E8" s="2307"/>
      <c r="F8" s="2307"/>
      <c r="G8" s="2308"/>
    </row>
    <row r="9" spans="1:7" ht="35.25" customHeight="1" x14ac:dyDescent="0.25">
      <c r="A9" s="2303" t="s">
        <v>2020</v>
      </c>
      <c r="B9" s="2304"/>
      <c r="C9" s="2304"/>
      <c r="D9" s="2304"/>
      <c r="E9" s="2304"/>
      <c r="F9" s="2304"/>
      <c r="G9" s="2305"/>
    </row>
    <row r="10" spans="1:7" ht="15" customHeight="1" x14ac:dyDescent="0.25">
      <c r="A10" s="1559" t="s">
        <v>1924</v>
      </c>
      <c r="B10" s="1560"/>
      <c r="C10" s="1560"/>
      <c r="D10" s="1560"/>
      <c r="E10" s="1560"/>
      <c r="F10" s="1560"/>
      <c r="G10" s="1561"/>
    </row>
    <row r="11" spans="1:7" ht="17.25" customHeight="1" x14ac:dyDescent="0.25">
      <c r="A11" s="2303" t="s">
        <v>1938</v>
      </c>
      <c r="B11" s="2304"/>
      <c r="C11" s="2304"/>
      <c r="D11" s="2304"/>
      <c r="E11" s="2304"/>
      <c r="F11" s="2304"/>
      <c r="G11" s="2305"/>
    </row>
    <row r="12" spans="1:7" ht="15" customHeight="1" x14ac:dyDescent="0.25">
      <c r="A12" s="1559" t="s">
        <v>1929</v>
      </c>
      <c r="B12" s="1560"/>
      <c r="C12" s="1560"/>
      <c r="D12" s="1560"/>
      <c r="E12" s="1560"/>
      <c r="F12" s="1560"/>
      <c r="G12" s="1561"/>
    </row>
    <row r="13" spans="1:7" ht="32.25" customHeight="1" x14ac:dyDescent="0.25">
      <c r="A13" s="2294" t="s">
        <v>1930</v>
      </c>
      <c r="B13" s="2295"/>
      <c r="C13" s="2295"/>
      <c r="D13" s="2295"/>
      <c r="E13" s="2295"/>
      <c r="F13" s="2295"/>
      <c r="G13" s="2296"/>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4" t="s">
        <v>2208</v>
      </c>
      <c r="B17" s="1965" t="s">
        <v>2209</v>
      </c>
      <c r="C17" s="1954" t="s">
        <v>2093</v>
      </c>
      <c r="D17" s="1867">
        <v>30364</v>
      </c>
      <c r="E17" s="1562">
        <f t="shared" ref="E17:E141" si="1">IF(D17&lt;=25000,D17,IF(D17&gt;25000,25000,0))</f>
        <v>25000</v>
      </c>
      <c r="F17" s="1815">
        <f t="shared" si="0"/>
        <v>25000</v>
      </c>
      <c r="G17" s="1816">
        <f>IF(F17=0,0,D17-F17)</f>
        <v>5364</v>
      </c>
      <c r="H17" s="1669"/>
    </row>
    <row r="18" spans="1:8" x14ac:dyDescent="0.25">
      <c r="A18" s="1956" t="s">
        <v>2100</v>
      </c>
      <c r="B18" s="1957" t="s">
        <v>2099</v>
      </c>
      <c r="C18" s="1954" t="s">
        <v>2094</v>
      </c>
      <c r="D18" s="1867">
        <v>27945</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2945</v>
      </c>
    </row>
    <row r="19" spans="1:8" x14ac:dyDescent="0.25">
      <c r="A19" s="1964" t="s">
        <v>2210</v>
      </c>
      <c r="B19" s="1957" t="s">
        <v>2101</v>
      </c>
      <c r="C19" s="1954" t="s">
        <v>2095</v>
      </c>
      <c r="D19" s="1867">
        <v>57247</v>
      </c>
      <c r="E19" s="1562">
        <f t="shared" si="2"/>
        <v>25000</v>
      </c>
      <c r="F19" s="1815">
        <f t="shared" si="3"/>
        <v>25000</v>
      </c>
      <c r="G19" s="1816">
        <f t="shared" si="4"/>
        <v>32247</v>
      </c>
    </row>
    <row r="20" spans="1:8" x14ac:dyDescent="0.25">
      <c r="A20" s="1964" t="s">
        <v>2211</v>
      </c>
      <c r="B20" s="1957" t="s">
        <v>2102</v>
      </c>
      <c r="C20" s="1954" t="s">
        <v>2096</v>
      </c>
      <c r="D20" s="1867">
        <v>538706</v>
      </c>
      <c r="E20" s="1562">
        <f t="shared" si="2"/>
        <v>25000</v>
      </c>
      <c r="F20" s="1815">
        <f t="shared" si="3"/>
        <v>25000</v>
      </c>
      <c r="G20" s="1816">
        <f t="shared" si="4"/>
        <v>513706</v>
      </c>
    </row>
    <row r="21" spans="1:8" x14ac:dyDescent="0.25">
      <c r="A21" s="1956"/>
      <c r="B21" s="1957"/>
      <c r="C21" s="1954"/>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654262</v>
      </c>
      <c r="E141" s="1563">
        <f t="shared" si="1"/>
        <v>25000</v>
      </c>
      <c r="F141" s="1817">
        <f>SUM(F17:F140)</f>
        <v>100000</v>
      </c>
      <c r="G141" s="1818">
        <f>SUM(G17:G140)</f>
        <v>554262</v>
      </c>
    </row>
  </sheetData>
  <sheetProtection sheet="1" selectLockedCells="1"/>
  <mergeCells count="6">
    <mergeCell ref="A13:G13"/>
    <mergeCell ref="A4:G5"/>
    <mergeCell ref="A11:G11"/>
    <mergeCell ref="A7:G7"/>
    <mergeCell ref="A8:G8"/>
    <mergeCell ref="A9:G9"/>
  </mergeCells>
  <printOptions horizontalCentered="1" verticalCentered="1"/>
  <pageMargins left="1" right="1" top="1" bottom="1" header="0.5" footer="0.55000000000000004"/>
  <pageSetup scale="70" firstPageNumber="30" fitToHeight="0" orientation="landscape" r:id="rId1"/>
  <headerFooter>
    <oddFooter>&amp;CSee Independent Auditors' Report.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sqref="A1:F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9" t="s">
        <v>1778</v>
      </c>
      <c r="B5" s="2310"/>
      <c r="C5" s="2310"/>
      <c r="D5" s="2310"/>
      <c r="E5" s="2310"/>
      <c r="F5" s="2310"/>
      <c r="G5" s="231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v>5553</v>
      </c>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209952</v>
      </c>
      <c r="F10" s="975"/>
      <c r="G10" s="976"/>
      <c r="H10" s="162"/>
      <c r="I10" s="162"/>
    </row>
    <row r="11" spans="1:9" s="669" customFormat="1" ht="22.5" customHeight="1" x14ac:dyDescent="0.2">
      <c r="A11" s="2314" t="s">
        <v>1942</v>
      </c>
      <c r="B11" s="2315"/>
      <c r="C11" s="2315"/>
      <c r="D11" s="2316"/>
      <c r="E11" s="978">
        <v>32074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v>63385</v>
      </c>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3250792</v>
      </c>
      <c r="F19" s="1822"/>
      <c r="G19" s="1824">
        <f>'Expenditures 15-22'!K33-SUM('Expenditures 15-22'!G33,'Expenditures 15-22'!I33)+'Expenditures 15-22'!D229</f>
        <v>3250792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337438</v>
      </c>
      <c r="F21" s="1825"/>
      <c r="G21" s="1828">
        <f>'Expenditures 15-22'!K42-SUM('Expenditures 15-22'!G42,'Expenditures 15-22'!I42)+'Expenditures 15-22'!K120-SUM('Expenditures 15-22'!G120,'Expenditures 15-22'!I120)+'Expenditures 15-22'!K180-SUM('Expenditures 15-22'!G180,'Expenditures 15-22'!I180)+'Expenditures 15-22'!D238</f>
        <v>337438</v>
      </c>
      <c r="H21" s="988"/>
      <c r="I21" s="162"/>
    </row>
    <row r="22" spans="1:9" s="669" customFormat="1" ht="12" customHeight="1" x14ac:dyDescent="0.2">
      <c r="A22" s="995" t="s">
        <v>585</v>
      </c>
      <c r="B22" s="996"/>
      <c r="C22" s="994">
        <v>2200</v>
      </c>
      <c r="D22" s="1825"/>
      <c r="E22" s="1827">
        <f>'Expenditures 15-22'!K47-SUM('Expenditures 15-22'!G47,'Expenditures 15-22'!I47)+'Expenditures 15-22'!D243</f>
        <v>588191</v>
      </c>
      <c r="F22" s="1825"/>
      <c r="G22" s="1828">
        <f>'Expenditures 15-22'!K47-SUM('Expenditures 15-22'!G47,'Expenditures 15-22'!I47)+'Expenditures 15-22'!D243</f>
        <v>588191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569328</v>
      </c>
      <c r="F23" s="1825"/>
      <c r="G23" s="1827">
        <f>'Expenditures 15-22'!K53-SUM('Expenditures 15-22'!G53,'Expenditures 15-22'!I53)+'Expenditures 15-22'!D257+'Expenditures 15-22'!K330-SUM('Expenditures 15-22'!G330,'Expenditures 15-22'!I330)</f>
        <v>569328</v>
      </c>
      <c r="H23" s="988"/>
      <c r="I23" s="162"/>
    </row>
    <row r="24" spans="1:9" s="669" customFormat="1" ht="12" customHeight="1" x14ac:dyDescent="0.2">
      <c r="A24" s="995" t="s">
        <v>587</v>
      </c>
      <c r="B24" s="996"/>
      <c r="C24" s="994">
        <v>2400</v>
      </c>
      <c r="D24" s="1825"/>
      <c r="E24" s="1827">
        <f>'Expenditures 15-22'!K57-SUM('Expenditures 15-22'!G57,'Expenditures 15-22'!I57)+'Expenditures 15-22'!D261</f>
        <v>301174</v>
      </c>
      <c r="F24" s="1825"/>
      <c r="G24" s="1828">
        <f>'Expenditures 15-22'!K57-SUM('Expenditures 15-22'!G57,'Expenditures 15-22'!I57)+'Expenditures 15-22'!D261</f>
        <v>301174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66172</v>
      </c>
      <c r="E27" s="1827">
        <f>E8</f>
        <v>5553</v>
      </c>
      <c r="F27" s="1827">
        <f>'Expenditures 15-22'!K60-SUM('Expenditures 15-22'!G60,'Expenditures 15-22'!I60)+'Expenditures 15-22'!D264-E8</f>
        <v>66172</v>
      </c>
      <c r="G27" s="1828">
        <f>E8</f>
        <v>5553</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554882</v>
      </c>
      <c r="F28" s="1829">
        <f>'Expenditures 15-22'!K61-SUM('Expenditures 15-22'!G61,'Expenditures 15-22'!I61)+'Expenditures 15-22'!K124-SUM('Expenditures 15-22'!G124,'Expenditures 15-22'!I124)+'Expenditures 15-22'!D266-E9</f>
        <v>554882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562352</v>
      </c>
      <c r="F29" s="1825"/>
      <c r="G29" s="1828">
        <f>'Expenditures 15-22'!K62-SUM('Expenditures 15-22'!G62,'Expenditures 15-22'!I62)+'Expenditures 15-22'!K125-SUM('Expenditures 15-22'!G125,'Expenditures 15-22'!I125)+'Expenditures 15-22'!K182-SUM('Expenditures 15-22'!G182,'Expenditures 15-22'!I182)+'Expenditures 15-22'!D267</f>
        <v>562352</v>
      </c>
      <c r="H29" s="986"/>
    </row>
    <row r="30" spans="1:9" ht="12" customHeight="1" x14ac:dyDescent="0.2">
      <c r="A30" s="995" t="s">
        <v>102</v>
      </c>
      <c r="B30" s="998"/>
      <c r="C30" s="994">
        <v>2560</v>
      </c>
      <c r="D30" s="1825"/>
      <c r="E30" s="1827">
        <f>'Expenditures 15-22'!K63-SUM('Expenditures 15-22'!G63,'Expenditures 15-22'!I63)+'Expenditures 15-22'!D268-E10</f>
        <v>124700</v>
      </c>
      <c r="F30" s="1825"/>
      <c r="G30" s="1827">
        <f>'Expenditures 15-22'!K63-SUM('Expenditures 15-22'!G63,'Expenditures 15-22'!I63)+'Expenditures 15-22'!D268-E10</f>
        <v>124700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130000</v>
      </c>
      <c r="F33" s="1825"/>
      <c r="G33" s="1827">
        <f>'Expenditures 15-22'!K67-SUM('Expenditures 15-22'!G67,'Expenditures 15-22'!I67)+'Expenditures 15-22'!D272</f>
        <v>130000</v>
      </c>
    </row>
    <row r="34" spans="1:7" ht="12" customHeight="1" x14ac:dyDescent="0.2">
      <c r="A34" s="995" t="s">
        <v>541</v>
      </c>
      <c r="B34" s="998"/>
      <c r="C34" s="994">
        <v>2620</v>
      </c>
      <c r="D34" s="1825"/>
      <c r="E34" s="1827">
        <f>'Expenditures 15-22'!K68-SUM('Expenditures 15-22'!G68,'Expenditures 15-22'!I68)+'Expenditures 15-22'!D273</f>
        <v>1000</v>
      </c>
      <c r="F34" s="1825"/>
      <c r="G34" s="1827">
        <f>'Expenditures 15-22'!K68-SUM('Expenditures 15-22'!G68,'Expenditures 15-22'!I68)+'Expenditures 15-22'!D273</f>
        <v>1000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63385</v>
      </c>
      <c r="F36" s="1827">
        <f>'Expenditures 15-22'!K70-SUM('Expenditures 15-22'!G70,'Expenditures 15-22'!I70)+'Expenditures 15-22'!D275-E13</f>
        <v>0</v>
      </c>
      <c r="G36" s="1827">
        <f>E13</f>
        <v>63385</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15596</v>
      </c>
      <c r="F38" s="1825"/>
      <c r="G38" s="1827">
        <f>'Expenditures 15-22'!K73-SUM('Expenditures 15-22'!G73,'Expenditures 15-22'!I73)+'Expenditures 15-22'!K128-SUM('Expenditures 15-22'!G128,'Expenditures 15-22'!I128)+'Expenditures 15-22'!K183-SUM('Expenditures 15-22'!G183,'Expenditures 15-22'!I183)+'Expenditures 15-22'!D278</f>
        <v>15596</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66843</v>
      </c>
      <c r="F39" s="1825"/>
      <c r="G39" s="1827">
        <f>'Expenditures 15-22'!K75-SUM('Expenditures 15-22'!G75,'Expenditures 15-22'!I75)+'Expenditures 15-22'!K130-SUM('Expenditures 15-22'!G130,'Expenditures 15-22'!I130)+'Expenditures 15-22'!K185-SUM('Expenditures 15-22'!G185,'Expenditures 15-22'!I185)+'Expenditures 15-22'!D280</f>
        <v>66843</v>
      </c>
    </row>
    <row r="40" spans="1:7" ht="12" customHeight="1" x14ac:dyDescent="0.2">
      <c r="A40" s="991" t="s">
        <v>1927</v>
      </c>
      <c r="B40" s="992"/>
      <c r="C40" s="994"/>
      <c r="D40" s="1825"/>
      <c r="E40" s="1829">
        <f>-'Contracts Paid in CY 29'!G141</f>
        <v>-554262</v>
      </c>
      <c r="F40" s="1825"/>
      <c r="G40" s="1829">
        <f>-'Contracts Paid in CY 29'!G141</f>
        <v>-554262</v>
      </c>
    </row>
    <row r="41" spans="1:7" ht="12" customHeight="1" x14ac:dyDescent="0.2">
      <c r="A41" s="999" t="s">
        <v>158</v>
      </c>
      <c r="B41" s="1000"/>
      <c r="C41" s="1001"/>
      <c r="D41" s="1829">
        <f>SUM(D19:D39)</f>
        <v>66172</v>
      </c>
      <c r="E41" s="1829">
        <f>SUM(E19:E40)</f>
        <v>6016972</v>
      </c>
      <c r="F41" s="1829">
        <f>SUM(F19:F39)</f>
        <v>621054</v>
      </c>
      <c r="G41" s="1829">
        <f>SUM(G19:G40)</f>
        <v>5462090</v>
      </c>
    </row>
    <row r="42" spans="1:7" x14ac:dyDescent="0.2">
      <c r="A42" s="988"/>
      <c r="B42" s="162"/>
      <c r="C42" s="1002"/>
      <c r="D42" s="2312" t="s">
        <v>543</v>
      </c>
      <c r="E42" s="2313"/>
      <c r="F42" s="1003" t="s">
        <v>544</v>
      </c>
      <c r="G42" s="1004"/>
    </row>
    <row r="43" spans="1:7" ht="12" customHeight="1" x14ac:dyDescent="0.2">
      <c r="A43" s="988"/>
      <c r="B43" s="162"/>
      <c r="C43" s="1002"/>
      <c r="D43" s="1830" t="s">
        <v>493</v>
      </c>
      <c r="E43" s="1831">
        <f>D41</f>
        <v>66172</v>
      </c>
      <c r="F43" s="1830" t="s">
        <v>495</v>
      </c>
      <c r="G43" s="1831">
        <f>F41</f>
        <v>621054</v>
      </c>
    </row>
    <row r="44" spans="1:7" ht="12" customHeight="1" x14ac:dyDescent="0.2">
      <c r="A44" s="988"/>
      <c r="B44" s="162"/>
      <c r="C44" s="1002"/>
      <c r="D44" s="1830" t="s">
        <v>494</v>
      </c>
      <c r="E44" s="1831">
        <f>E41</f>
        <v>6016972</v>
      </c>
      <c r="F44" s="1830" t="s">
        <v>494</v>
      </c>
      <c r="G44" s="1831">
        <f>G41</f>
        <v>5462090</v>
      </c>
    </row>
    <row r="45" spans="1:7" ht="12" customHeight="1" x14ac:dyDescent="0.2">
      <c r="A45" s="988"/>
      <c r="B45" s="162"/>
      <c r="C45" s="162"/>
      <c r="D45" s="1832" t="s">
        <v>1063</v>
      </c>
      <c r="E45" s="1833">
        <f>(E43/E44)</f>
        <v>1.0997558240257724E-2</v>
      </c>
      <c r="F45" s="1832" t="s">
        <v>1063</v>
      </c>
      <c r="G45" s="1833">
        <f>(G43/G44)</f>
        <v>0.11370263031184034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orizontalCentered="1" verticalCentered="1" gridLines="1"/>
  <pageMargins left="1" right="1" top="0.75" bottom="0.75" header="0.5" footer="0.5"/>
  <pageSetup scale="80"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F1"/>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1" t="s">
        <v>1446</v>
      </c>
      <c r="B1" s="2331"/>
      <c r="C1" s="2331"/>
      <c r="D1" s="2331"/>
      <c r="E1" s="2331"/>
      <c r="F1" s="2331"/>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32" t="s">
        <v>1627</v>
      </c>
      <c r="B5" s="2333"/>
      <c r="C5" s="2334"/>
      <c r="D5" s="2334"/>
      <c r="E5" s="2334"/>
      <c r="F5" s="2334"/>
    </row>
    <row r="6" spans="1:10" ht="12" customHeight="1" x14ac:dyDescent="0.25">
      <c r="A6" s="1875"/>
      <c r="B6" s="1876"/>
      <c r="C6" s="2335" t="str">
        <f>COVER!A17</f>
        <v>Meridian CUSD 101</v>
      </c>
      <c r="D6" s="2335"/>
      <c r="E6" s="2335"/>
      <c r="F6" s="1877"/>
    </row>
    <row r="7" spans="1:10" ht="11.25" customHeight="1" thickBot="1" x14ac:dyDescent="0.3">
      <c r="A7" s="1875"/>
      <c r="B7" s="1876"/>
      <c r="C7" s="2336">
        <f>COVER!A13</f>
        <v>30077101026</v>
      </c>
      <c r="D7" s="2336"/>
      <c r="E7" s="2336"/>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2074</v>
      </c>
      <c r="D26" s="1890" t="s">
        <v>2074</v>
      </c>
      <c r="E26" s="1893"/>
      <c r="F26" s="1892" t="s">
        <v>2103</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t="s">
        <v>2074</v>
      </c>
      <c r="D31" s="1890" t="s">
        <v>2074</v>
      </c>
      <c r="E31" s="1893"/>
      <c r="F31" s="1892" t="s">
        <v>2104</v>
      </c>
      <c r="H31" s="1903">
        <f t="shared" si="0"/>
        <v>5</v>
      </c>
      <c r="I31" s="1903">
        <f t="shared" si="1"/>
        <v>5</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10</v>
      </c>
      <c r="I34" s="1903">
        <f>SUM(I11:I32)</f>
        <v>10</v>
      </c>
      <c r="J34" s="1903">
        <f>SUM(J11:J32)</f>
        <v>0</v>
      </c>
      <c r="K34" s="1903">
        <f>SUM(H34:J34)</f>
        <v>20</v>
      </c>
    </row>
    <row r="35" spans="1:11" ht="12" customHeight="1" x14ac:dyDescent="0.2">
      <c r="A35" s="1896" t="s">
        <v>1459</v>
      </c>
      <c r="B35" s="1897"/>
      <c r="C35" s="2337"/>
      <c r="D35" s="2337"/>
      <c r="E35" s="2337"/>
      <c r="F35" s="2338"/>
    </row>
    <row r="36" spans="1:11" ht="12" customHeight="1" x14ac:dyDescent="0.2">
      <c r="A36" s="2320"/>
      <c r="B36" s="2321"/>
      <c r="C36" s="2321"/>
      <c r="D36" s="2321"/>
      <c r="E36" s="2321"/>
      <c r="F36" s="2322"/>
    </row>
    <row r="37" spans="1:11" ht="12" customHeight="1" x14ac:dyDescent="0.2">
      <c r="A37" s="2320"/>
      <c r="B37" s="2321"/>
      <c r="C37" s="2321"/>
      <c r="D37" s="2321"/>
      <c r="E37" s="2321"/>
      <c r="F37" s="2322"/>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1458</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17"/>
      <c r="B43" s="2318"/>
      <c r="C43" s="2318"/>
      <c r="D43" s="2318"/>
      <c r="E43" s="2318"/>
      <c r="F43" s="2319"/>
      <c r="H43" s="1904"/>
      <c r="I43" s="1904"/>
      <c r="J43" s="1904"/>
      <c r="K43" s="1904"/>
    </row>
    <row r="44" spans="1:11" s="1895" customFormat="1" ht="12" hidden="1" customHeight="1" x14ac:dyDescent="0.25">
      <c r="A44" s="2317"/>
      <c r="B44" s="2318"/>
      <c r="C44" s="2318"/>
      <c r="D44" s="2318"/>
      <c r="E44" s="2318"/>
      <c r="F44" s="231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verticalCentered="1" gridLines="1"/>
  <pageMargins left="1" right="1" top="0.75" bottom="0.75" header="0.5" footer="0.5"/>
  <pageSetup scale="67" orientation="landscape" r:id="rId1"/>
  <headerFooter>
    <oddFooter>&amp;C&amp;8See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sqref="A1:F1"/>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4" t="str">
        <f>COVER!A17</f>
        <v>Meridian CUSD 101</v>
      </c>
      <c r="J6" s="2345"/>
      <c r="Q6" s="1686"/>
    </row>
    <row r="7" spans="1:17" x14ac:dyDescent="0.2">
      <c r="A7" s="2346" t="s">
        <v>924</v>
      </c>
      <c r="B7" s="2347"/>
      <c r="C7" s="2347"/>
      <c r="D7" s="2347"/>
      <c r="E7" s="2348"/>
      <c r="F7" s="1018"/>
      <c r="G7" s="1010"/>
      <c r="H7" s="1017" t="s">
        <v>390</v>
      </c>
      <c r="I7" s="2349">
        <f>COVER!A13</f>
        <v>30077101026</v>
      </c>
      <c r="J7" s="234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0" t="s">
        <v>502</v>
      </c>
      <c r="B11" s="2351"/>
      <c r="C11" s="235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183388</v>
      </c>
      <c r="F12" s="1040"/>
      <c r="G12" s="1834">
        <f t="shared" ref="G12:G18" si="0">SUM(E12:F12)</f>
        <v>183388</v>
      </c>
      <c r="H12" s="1041">
        <v>188600</v>
      </c>
      <c r="I12" s="1040"/>
      <c r="J12" s="1834">
        <f t="shared" ref="J12:J18" si="1">SUM(H12:I12)</f>
        <v>188600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130000</v>
      </c>
      <c r="F17" s="1040"/>
      <c r="G17" s="1834">
        <f t="shared" si="0"/>
        <v>130000</v>
      </c>
      <c r="H17" s="1041"/>
      <c r="I17" s="1040"/>
      <c r="J17" s="1834">
        <f t="shared" si="1"/>
        <v>0</v>
      </c>
    </row>
    <row r="18" spans="1:10" ht="22.5" customHeight="1" x14ac:dyDescent="0.2">
      <c r="A18" s="1043">
        <v>7</v>
      </c>
      <c r="B18" s="2353" t="s">
        <v>7</v>
      </c>
      <c r="C18" s="2354"/>
      <c r="D18" s="2355"/>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313388</v>
      </c>
      <c r="F19" s="1836">
        <f t="shared" si="2"/>
        <v>0</v>
      </c>
      <c r="G19" s="1836">
        <f t="shared" si="2"/>
        <v>313388</v>
      </c>
      <c r="H19" s="1836">
        <f t="shared" si="2"/>
        <v>188600</v>
      </c>
      <c r="I19" s="1836">
        <f t="shared" si="2"/>
        <v>0</v>
      </c>
      <c r="J19" s="1836">
        <f t="shared" si="2"/>
        <v>188600</v>
      </c>
    </row>
    <row r="20" spans="1:10" ht="13.5" thickTop="1" x14ac:dyDescent="0.2">
      <c r="A20" s="1036">
        <v>9</v>
      </c>
      <c r="B20" s="2356" t="s">
        <v>1703</v>
      </c>
      <c r="C20" s="2356"/>
      <c r="D20" s="2357"/>
      <c r="E20" s="1047"/>
      <c r="F20" s="1047"/>
      <c r="G20" s="1047"/>
      <c r="H20" s="1047"/>
      <c r="I20" s="1047"/>
      <c r="J20" s="1837">
        <f>IF(AND(G19&gt;0,J19&gt;0),(((J19-G19)/G19)),"Enter Budget Data")</f>
        <v>-0.39819010300330582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1093</v>
      </c>
      <c r="D27" s="1053"/>
      <c r="E27" s="1054"/>
      <c r="F27" s="2358" t="s">
        <v>1589</v>
      </c>
      <c r="G27" s="2358"/>
    </row>
    <row r="28" spans="1:10" ht="28.5" customHeight="1" x14ac:dyDescent="0.2">
      <c r="B28" s="1048"/>
      <c r="C28" s="2360"/>
      <c r="D28" s="2360"/>
      <c r="E28" s="1055"/>
      <c r="F28" s="2360"/>
      <c r="G28" s="2360"/>
    </row>
    <row r="29" spans="1:10" x14ac:dyDescent="0.2">
      <c r="B29" s="1048"/>
      <c r="C29" s="1056" t="s">
        <v>1642</v>
      </c>
      <c r="E29" s="1057"/>
      <c r="F29" s="2359" t="s">
        <v>1590</v>
      </c>
      <c r="G29" s="235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1941</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c r="C39" s="2339" t="s">
        <v>937</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verticalCentered="1"/>
  <pageMargins left="1" right="1" top="1" bottom="0.75" header="0.5" footer="0.5"/>
  <pageSetup scale="80" firstPageNumber="31" orientation="landscape" useFirstPageNumber="1" r:id="rId1"/>
  <headerFooter alignWithMargins="0">
    <oddHeader>&amp;L&amp;8Page 32&amp;C &amp;R&amp;8Page 32</oddHeader>
    <oddFooter>&amp;CSee Independent Auditors' Report.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F71"/>
  <sheetViews>
    <sheetView showGridLines="0" zoomScale="110" zoomScaleNormal="110" workbookViewId="0">
      <selection sqref="A1:F1"/>
    </sheetView>
  </sheetViews>
  <sheetFormatPr defaultColWidth="9.140625" defaultRowHeight="12.75" x14ac:dyDescent="0.2"/>
  <cols>
    <col min="1" max="1" width="3" style="329" customWidth="1"/>
    <col min="2" max="2" width="27.42578125" style="329" customWidth="1"/>
    <col min="3" max="3" width="12.85546875" style="329" customWidth="1"/>
    <col min="4" max="4" width="18.140625" style="329" customWidth="1"/>
    <col min="5" max="5" width="36.5703125" style="329" customWidth="1"/>
    <col min="6" max="6" width="11.28515625" style="329" customWidth="1"/>
    <col min="7" max="16384" width="9.140625" style="329"/>
  </cols>
  <sheetData>
    <row r="2" spans="1:6" x14ac:dyDescent="0.2">
      <c r="A2" s="389" t="s">
        <v>276</v>
      </c>
    </row>
    <row r="3" spans="1:6" x14ac:dyDescent="0.2">
      <c r="A3" s="329" t="s">
        <v>277</v>
      </c>
    </row>
    <row r="4" spans="1:6" x14ac:dyDescent="0.2">
      <c r="B4" s="1959" t="s">
        <v>2105</v>
      </c>
      <c r="C4" s="1959" t="s">
        <v>1137</v>
      </c>
      <c r="D4" s="1959" t="s">
        <v>2106</v>
      </c>
      <c r="E4" s="1959" t="s">
        <v>502</v>
      </c>
      <c r="F4" s="1959" t="s">
        <v>920</v>
      </c>
    </row>
    <row r="5" spans="1:6" ht="15" x14ac:dyDescent="0.35">
      <c r="A5" s="1069">
        <v>1</v>
      </c>
      <c r="B5" s="1958">
        <v>190</v>
      </c>
      <c r="C5" s="1958">
        <v>10</v>
      </c>
      <c r="D5" s="1958"/>
      <c r="E5" s="329" t="s">
        <v>2107</v>
      </c>
      <c r="F5" s="1963">
        <v>10129</v>
      </c>
    </row>
    <row r="6" spans="1:6" x14ac:dyDescent="0.2">
      <c r="A6" s="1069"/>
      <c r="B6" s="1958"/>
      <c r="C6" s="1958"/>
      <c r="D6" s="1958"/>
      <c r="F6" s="1960"/>
    </row>
    <row r="7" spans="1:6" ht="15" x14ac:dyDescent="0.35">
      <c r="A7" s="1069">
        <v>2</v>
      </c>
      <c r="B7" s="1958">
        <v>1690</v>
      </c>
      <c r="C7" s="1958">
        <v>10</v>
      </c>
      <c r="D7" s="1958"/>
      <c r="E7" s="329" t="s">
        <v>2108</v>
      </c>
      <c r="F7" s="1963">
        <v>6367</v>
      </c>
    </row>
    <row r="8" spans="1:6" x14ac:dyDescent="0.2">
      <c r="A8" s="1069"/>
      <c r="B8" s="1958"/>
      <c r="C8" s="1958"/>
      <c r="D8" s="1958"/>
      <c r="F8" s="1960"/>
    </row>
    <row r="9" spans="1:6" x14ac:dyDescent="0.2">
      <c r="A9" s="1070">
        <v>3</v>
      </c>
      <c r="B9" s="1958">
        <v>1999</v>
      </c>
      <c r="C9" s="1958">
        <v>10</v>
      </c>
      <c r="D9" s="1958"/>
      <c r="E9" s="329" t="s">
        <v>2203</v>
      </c>
      <c r="F9" s="1960">
        <v>23401</v>
      </c>
    </row>
    <row r="10" spans="1:6" x14ac:dyDescent="0.2">
      <c r="A10" s="1070"/>
      <c r="B10" s="1958"/>
      <c r="C10" s="1958"/>
      <c r="D10" s="1958"/>
      <c r="E10" s="329" t="s">
        <v>2204</v>
      </c>
      <c r="F10" s="1961">
        <v>2771</v>
      </c>
    </row>
    <row r="11" spans="1:6" x14ac:dyDescent="0.2">
      <c r="A11" s="1070"/>
      <c r="B11" s="1958"/>
      <c r="C11" s="1958"/>
      <c r="D11" s="1958"/>
      <c r="E11" s="329" t="s">
        <v>2205</v>
      </c>
      <c r="F11" s="1961">
        <v>2396</v>
      </c>
    </row>
    <row r="12" spans="1:6" ht="15" x14ac:dyDescent="0.35">
      <c r="A12" s="1070"/>
      <c r="B12" s="1958"/>
      <c r="C12" s="1958"/>
      <c r="D12" s="1958"/>
      <c r="E12" s="329" t="s">
        <v>2206</v>
      </c>
      <c r="F12" s="1962">
        <v>7100</v>
      </c>
    </row>
    <row r="13" spans="1:6" ht="15" x14ac:dyDescent="0.35">
      <c r="A13" s="1070"/>
      <c r="B13" s="1958"/>
      <c r="C13" s="1958"/>
      <c r="D13" s="1958"/>
      <c r="F13" s="1963">
        <f>SUM(F9:F12)</f>
        <v>35668</v>
      </c>
    </row>
    <row r="14" spans="1:6" x14ac:dyDescent="0.2">
      <c r="A14" s="1070"/>
      <c r="B14" s="1958"/>
      <c r="C14" s="1958"/>
      <c r="D14" s="1958"/>
      <c r="F14" s="1960"/>
    </row>
    <row r="15" spans="1:6" x14ac:dyDescent="0.2">
      <c r="A15" s="1070">
        <v>4</v>
      </c>
      <c r="B15" s="1958">
        <v>3999</v>
      </c>
      <c r="C15" s="1958">
        <v>10</v>
      </c>
      <c r="D15" s="1958"/>
      <c r="E15" s="329" t="s">
        <v>2110</v>
      </c>
      <c r="F15" s="1960">
        <v>29691</v>
      </c>
    </row>
    <row r="16" spans="1:6" x14ac:dyDescent="0.2">
      <c r="A16" s="1070"/>
      <c r="B16" s="1958"/>
      <c r="C16" s="1958"/>
      <c r="D16" s="1958"/>
      <c r="E16" s="329" t="s">
        <v>2111</v>
      </c>
      <c r="F16" s="1961">
        <v>30019</v>
      </c>
    </row>
    <row r="17" spans="1:6" ht="15" x14ac:dyDescent="0.35">
      <c r="A17" s="1070"/>
      <c r="B17" s="1958"/>
      <c r="C17" s="1958">
        <v>60</v>
      </c>
      <c r="D17" s="1958"/>
      <c r="E17" s="329" t="s">
        <v>2112</v>
      </c>
      <c r="F17" s="1962">
        <v>960794</v>
      </c>
    </row>
    <row r="18" spans="1:6" ht="15" x14ac:dyDescent="0.35">
      <c r="A18" s="1070"/>
      <c r="B18" s="1958"/>
      <c r="C18" s="1958"/>
      <c r="D18" s="1958"/>
      <c r="F18" s="1963">
        <f>SUM(F15:F17)</f>
        <v>1020504</v>
      </c>
    </row>
    <row r="19" spans="1:6" x14ac:dyDescent="0.2">
      <c r="A19" s="1070"/>
      <c r="B19" s="1958"/>
      <c r="C19" s="1958"/>
      <c r="D19" s="1958"/>
      <c r="F19" s="1960"/>
    </row>
    <row r="20" spans="1:6" ht="15" x14ac:dyDescent="0.35">
      <c r="A20" s="1070">
        <v>5</v>
      </c>
      <c r="B20" s="1958">
        <v>4399</v>
      </c>
      <c r="C20" s="1958">
        <v>10</v>
      </c>
      <c r="D20" s="1958"/>
      <c r="E20" s="329" t="s">
        <v>2109</v>
      </c>
      <c r="F20" s="1963">
        <v>2177542</v>
      </c>
    </row>
    <row r="21" spans="1:6" x14ac:dyDescent="0.2">
      <c r="A21" s="1070"/>
      <c r="B21" s="1958"/>
      <c r="C21" s="1958"/>
      <c r="D21" s="1958"/>
      <c r="F21" s="1960"/>
    </row>
    <row r="22" spans="1:6" ht="15" x14ac:dyDescent="0.35">
      <c r="A22" s="1070">
        <v>6</v>
      </c>
      <c r="B22" s="1958">
        <v>2900</v>
      </c>
      <c r="C22" s="1958">
        <v>10</v>
      </c>
      <c r="D22" s="1958">
        <v>100</v>
      </c>
      <c r="E22" s="329" t="s">
        <v>2113</v>
      </c>
      <c r="F22" s="1963">
        <v>13000</v>
      </c>
    </row>
    <row r="23" spans="1:6" x14ac:dyDescent="0.2">
      <c r="A23" s="1070"/>
      <c r="B23" s="1958"/>
      <c r="C23" s="1958"/>
      <c r="D23" s="1958"/>
      <c r="F23" s="1960"/>
    </row>
    <row r="24" spans="1:6" ht="15" x14ac:dyDescent="0.35">
      <c r="A24" s="1070">
        <v>7</v>
      </c>
      <c r="B24" s="1958">
        <v>2900</v>
      </c>
      <c r="C24" s="1958">
        <v>10</v>
      </c>
      <c r="D24" s="1958">
        <v>200</v>
      </c>
      <c r="E24" s="329" t="s">
        <v>2114</v>
      </c>
      <c r="F24" s="1963">
        <v>189</v>
      </c>
    </row>
    <row r="25" spans="1:6" x14ac:dyDescent="0.2">
      <c r="A25" s="1070"/>
      <c r="B25" s="1958"/>
      <c r="C25" s="1958"/>
      <c r="D25" s="1958"/>
      <c r="F25" s="1960"/>
    </row>
    <row r="26" spans="1:6" ht="15" x14ac:dyDescent="0.35">
      <c r="A26" s="1070">
        <v>8</v>
      </c>
      <c r="B26" s="1958">
        <v>2900</v>
      </c>
      <c r="C26" s="1958">
        <v>10</v>
      </c>
      <c r="D26" s="1958">
        <v>400</v>
      </c>
      <c r="E26" s="329" t="s">
        <v>2115</v>
      </c>
      <c r="F26" s="1963">
        <v>2407</v>
      </c>
    </row>
    <row r="27" spans="1:6" x14ac:dyDescent="0.2">
      <c r="A27" s="1070"/>
      <c r="B27" s="1958"/>
      <c r="C27" s="1958"/>
      <c r="D27" s="1958"/>
      <c r="F27" s="1960"/>
    </row>
    <row r="28" spans="1:6" ht="15" x14ac:dyDescent="0.35">
      <c r="A28" s="1070">
        <v>9</v>
      </c>
      <c r="B28" s="1958">
        <v>5400</v>
      </c>
      <c r="C28" s="1958">
        <v>30</v>
      </c>
      <c r="D28" s="1958">
        <v>600</v>
      </c>
      <c r="E28" s="329" t="s">
        <v>2116</v>
      </c>
      <c r="F28" s="1963">
        <v>500</v>
      </c>
    </row>
    <row r="29" spans="1:6" x14ac:dyDescent="0.2">
      <c r="A29" s="1070"/>
      <c r="B29" s="1958"/>
      <c r="C29" s="1958"/>
      <c r="D29" s="1958"/>
      <c r="F29" s="1960"/>
    </row>
    <row r="30" spans="1:6" x14ac:dyDescent="0.2">
      <c r="A30" s="1070"/>
      <c r="B30" s="1958"/>
      <c r="C30" s="1958"/>
      <c r="D30" s="1958"/>
      <c r="F30" s="1960"/>
    </row>
    <row r="31" spans="1:6" x14ac:dyDescent="0.2">
      <c r="A31" s="1070"/>
      <c r="B31" s="1958"/>
      <c r="C31" s="1958"/>
      <c r="D31" s="1958"/>
      <c r="F31" s="1960"/>
    </row>
    <row r="32" spans="1:6" x14ac:dyDescent="0.2">
      <c r="A32" s="1070"/>
      <c r="B32" s="1958"/>
      <c r="C32" s="1958"/>
      <c r="D32" s="1958"/>
      <c r="F32" s="1960"/>
    </row>
    <row r="33" spans="1:6" x14ac:dyDescent="0.2">
      <c r="A33" s="1070"/>
      <c r="B33" s="1958"/>
      <c r="C33" s="1958"/>
      <c r="D33" s="1958"/>
      <c r="F33" s="1960"/>
    </row>
    <row r="34" spans="1:6" x14ac:dyDescent="0.2">
      <c r="A34" s="1070"/>
      <c r="B34" s="1958"/>
      <c r="C34" s="1958"/>
      <c r="D34" s="1958"/>
      <c r="F34" s="1960"/>
    </row>
    <row r="35" spans="1:6" x14ac:dyDescent="0.2">
      <c r="A35" s="1070"/>
      <c r="B35" s="1958"/>
      <c r="C35" s="1958"/>
      <c r="D35" s="1958"/>
      <c r="F35" s="1960"/>
    </row>
    <row r="36" spans="1:6" x14ac:dyDescent="0.2">
      <c r="A36" s="1070"/>
      <c r="F36" s="1960"/>
    </row>
    <row r="37" spans="1:6" x14ac:dyDescent="0.2">
      <c r="A37" s="1070"/>
      <c r="F37" s="1960"/>
    </row>
    <row r="38" spans="1:6" x14ac:dyDescent="0.2">
      <c r="A38" s="1070"/>
      <c r="F38" s="1960"/>
    </row>
    <row r="39" spans="1:6" x14ac:dyDescent="0.2">
      <c r="A39" s="1070"/>
      <c r="F39" s="1960"/>
    </row>
    <row r="40" spans="1:6" x14ac:dyDescent="0.2">
      <c r="A40" s="1070"/>
      <c r="F40" s="1960"/>
    </row>
    <row r="41" spans="1:6" x14ac:dyDescent="0.2">
      <c r="A41" s="1070"/>
      <c r="F41" s="1960"/>
    </row>
    <row r="42" spans="1:6" x14ac:dyDescent="0.2">
      <c r="A42" s="1070"/>
      <c r="F42" s="1960"/>
    </row>
    <row r="43" spans="1:6" x14ac:dyDescent="0.2">
      <c r="A43" s="1070"/>
      <c r="F43" s="1960"/>
    </row>
    <row r="44" spans="1:6" x14ac:dyDescent="0.2">
      <c r="A44" s="1070"/>
      <c r="F44" s="1960"/>
    </row>
    <row r="45" spans="1:6" x14ac:dyDescent="0.2">
      <c r="A45" s="1070"/>
      <c r="F45" s="1960"/>
    </row>
    <row r="46" spans="1:6" x14ac:dyDescent="0.2">
      <c r="A46" s="1070"/>
      <c r="F46" s="1960"/>
    </row>
    <row r="47" spans="1:6" x14ac:dyDescent="0.2">
      <c r="A47" s="1070"/>
      <c r="F47" s="1960"/>
    </row>
    <row r="48" spans="1:6" x14ac:dyDescent="0.2">
      <c r="A48" s="1070"/>
      <c r="F48" s="196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row>
    <row r="68" spans="1:2" x14ac:dyDescent="0.2">
      <c r="A68" s="1070"/>
    </row>
    <row r="69" spans="1:2" x14ac:dyDescent="0.2">
      <c r="A69" s="1070"/>
    </row>
    <row r="70" spans="1:2" x14ac:dyDescent="0.2">
      <c r="A70" s="1070"/>
      <c r="B70" s="258" t="str">
        <f>COVER!A17</f>
        <v>Meridian CUSD 101</v>
      </c>
    </row>
    <row r="71" spans="1:2" x14ac:dyDescent="0.2">
      <c r="B71" s="1071">
        <f>COVER!A13</f>
        <v>30077101026</v>
      </c>
    </row>
  </sheetData>
  <phoneticPr fontId="15" type="noConversion"/>
  <printOptions horizontalCentered="1" verticalCentered="1"/>
  <pageMargins left="1" right="1" top="1" bottom="1" header="0.5" footer="1"/>
  <pageSetup scale="71"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8" zoomScale="110" zoomScaleNormal="110" workbookViewId="0">
      <selection sqref="A1:F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8" t="s">
        <v>1125</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715</v>
      </c>
      <c r="B40" s="2075"/>
      <c r="C40" s="2075"/>
      <c r="D40" s="2075"/>
      <c r="E40" s="2075"/>
    </row>
    <row r="41" spans="1:5" x14ac:dyDescent="0.2">
      <c r="A41" s="2076" t="s">
        <v>1706</v>
      </c>
      <c r="B41" s="2076"/>
      <c r="C41" s="2076"/>
      <c r="D41" s="2076"/>
      <c r="E41" s="2076"/>
    </row>
    <row r="42" spans="1:5" ht="12.75" customHeight="1" x14ac:dyDescent="0.2">
      <c r="A42" s="2077" t="s">
        <v>1080</v>
      </c>
      <c r="B42" s="2077"/>
      <c r="C42" s="2077"/>
      <c r="D42" s="2077"/>
      <c r="E42" s="2077"/>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3" t="s">
        <v>1784</v>
      </c>
      <c r="B18" s="23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2857500</xdr:colOff>
                <xdr:row>2</xdr:row>
                <xdr:rowOff>123825</xdr:rowOff>
              </from>
              <to>
                <xdr:col>1</xdr:col>
                <xdr:colOff>3771900</xdr:colOff>
                <xdr:row>6</xdr:row>
                <xdr:rowOff>161925</xdr:rowOff>
              </to>
            </anchor>
          </objectPr>
        </oleObject>
      </mc:Choice>
      <mc:Fallback>
        <oleObject progId="Acrobat Document" dvAspect="DVASPECT_ICON" shapeId="3788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1790</v>
      </c>
      <c r="B1" s="2365"/>
      <c r="C1" s="2365"/>
      <c r="D1" s="2365"/>
      <c r="E1" s="2365"/>
      <c r="F1" s="2366"/>
    </row>
    <row r="2" spans="1:8" ht="45" customHeight="1" x14ac:dyDescent="0.2">
      <c r="A2" s="2374" t="s">
        <v>1791</v>
      </c>
      <c r="B2" s="2375"/>
      <c r="C2" s="2375"/>
      <c r="D2" s="2375"/>
      <c r="E2" s="2375"/>
      <c r="F2" s="2376"/>
      <c r="G2" s="1075"/>
      <c r="H2" s="1075"/>
    </row>
    <row r="3" spans="1:8" ht="57" customHeight="1" x14ac:dyDescent="0.2">
      <c r="A3" s="2377" t="s">
        <v>1786</v>
      </c>
      <c r="B3" s="2378"/>
      <c r="C3" s="2378"/>
      <c r="D3" s="2378"/>
      <c r="E3" s="2378"/>
      <c r="F3" s="2379"/>
      <c r="G3" s="1075"/>
      <c r="H3" s="1075"/>
    </row>
    <row r="4" spans="1:8" ht="14.25" customHeight="1" x14ac:dyDescent="0.2">
      <c r="A4" s="2383" t="s">
        <v>2053</v>
      </c>
      <c r="B4" s="2384"/>
      <c r="C4" s="2384"/>
      <c r="D4" s="2384"/>
      <c r="E4" s="2384"/>
      <c r="F4" s="2385"/>
      <c r="G4" s="1075"/>
      <c r="H4" s="1075"/>
    </row>
    <row r="5" spans="1:8" ht="14.25" customHeight="1" x14ac:dyDescent="0.2">
      <c r="A5" s="2386" t="s">
        <v>2054</v>
      </c>
      <c r="B5" s="2387"/>
      <c r="C5" s="2387"/>
      <c r="D5" s="2387"/>
      <c r="E5" s="2387"/>
      <c r="F5" s="2388"/>
      <c r="G5" s="1075"/>
      <c r="H5" s="1075"/>
    </row>
    <row r="6" spans="1:8" s="1076" customFormat="1" ht="41.25" customHeight="1" x14ac:dyDescent="0.2">
      <c r="A6" s="2380" t="s">
        <v>1792</v>
      </c>
      <c r="B6" s="2381"/>
      <c r="C6" s="2381"/>
      <c r="D6" s="2381"/>
      <c r="E6" s="2381"/>
      <c r="F6" s="238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7541025</v>
      </c>
      <c r="C8" s="1838">
        <f>'Acct Summary 7-8'!D8</f>
        <v>379408</v>
      </c>
      <c r="D8" s="1838">
        <f>'Acct Summary 7-8'!F8</f>
        <v>723256</v>
      </c>
      <c r="E8" s="1838">
        <f>'Acct Summary 7-8'!I8</f>
        <v>11602</v>
      </c>
      <c r="F8" s="1838">
        <f>SUM(B8:E8)</f>
        <v>8655291</v>
      </c>
    </row>
    <row r="9" spans="1:8" s="1080" customFormat="1" ht="14.25" customHeight="1" thickBot="1" x14ac:dyDescent="0.25">
      <c r="A9" s="1079" t="s">
        <v>1436</v>
      </c>
      <c r="B9" s="1839">
        <f>'Acct Summary 7-8'!C17</f>
        <v>6135854</v>
      </c>
      <c r="C9" s="1839">
        <f>'Acct Summary 7-8'!D17</f>
        <v>354316</v>
      </c>
      <c r="D9" s="1839">
        <f>'Acct Summary 7-8'!F17</f>
        <v>562352</v>
      </c>
      <c r="E9" s="1838"/>
      <c r="F9" s="1838">
        <f>SUM(B9:E9)</f>
        <v>7052522</v>
      </c>
    </row>
    <row r="10" spans="1:8" s="1080" customFormat="1" ht="14.25" thickTop="1" thickBot="1" x14ac:dyDescent="0.25">
      <c r="A10" s="1081" t="s">
        <v>1437</v>
      </c>
      <c r="B10" s="1840">
        <f>(B8-B9)</f>
        <v>1405171</v>
      </c>
      <c r="C10" s="1840">
        <f>(C8-C9)</f>
        <v>25092</v>
      </c>
      <c r="D10" s="1840">
        <f>(D8-D9)</f>
        <v>160904</v>
      </c>
      <c r="E10" s="1839">
        <f>(E8-E9)</f>
        <v>11602</v>
      </c>
      <c r="F10" s="1841">
        <f>SUM(F8-F9)</f>
        <v>1602769</v>
      </c>
    </row>
    <row r="11" spans="1:8" s="1080" customFormat="1" ht="14.25" thickTop="1" thickBot="1" x14ac:dyDescent="0.25">
      <c r="A11" s="1082" t="s">
        <v>1785</v>
      </c>
      <c r="B11" s="1842">
        <f>'Acct Summary 7-8'!C81</f>
        <v>2252851</v>
      </c>
      <c r="C11" s="1842">
        <f>'Acct Summary 7-8'!D81</f>
        <v>269447</v>
      </c>
      <c r="D11" s="1842">
        <f>'Acct Summary 7-8'!F81</f>
        <v>170175</v>
      </c>
      <c r="E11" s="1842">
        <f>'Acct Summary 7-8'!I81</f>
        <v>112327</v>
      </c>
      <c r="F11" s="1843">
        <f>SUM(B11:E11)</f>
        <v>2804800</v>
      </c>
    </row>
    <row r="12" spans="1:8" ht="16.5" customHeight="1" thickTop="1" x14ac:dyDescent="0.2">
      <c r="A12" s="1083"/>
      <c r="B12" s="1084"/>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5"/>
      <c r="B13" s="1086"/>
      <c r="C13" s="2368"/>
      <c r="D13" s="2369"/>
      <c r="E13" s="2369"/>
      <c r="F13" s="2370"/>
      <c r="H13" s="1075"/>
    </row>
    <row r="14" spans="1:8" ht="19.5" customHeight="1" x14ac:dyDescent="0.2">
      <c r="A14" s="1085"/>
      <c r="B14" s="1086"/>
      <c r="C14" s="2368"/>
      <c r="D14" s="2369"/>
      <c r="E14" s="2369"/>
      <c r="F14" s="2370"/>
      <c r="H14" s="1075"/>
    </row>
    <row r="15" spans="1:8" ht="17.25" customHeight="1" x14ac:dyDescent="0.2">
      <c r="A15" s="1085"/>
      <c r="B15" s="1086"/>
      <c r="C15" s="2371"/>
      <c r="D15" s="2372"/>
      <c r="E15" s="2372"/>
      <c r="F15" s="2373"/>
      <c r="H15" s="1075"/>
    </row>
    <row r="16" spans="1:8" s="310" customFormat="1" ht="51.75" hidden="1" customHeight="1" x14ac:dyDescent="0.2">
      <c r="A16" s="2367" t="s">
        <v>1787</v>
      </c>
      <c r="B16" s="2367"/>
      <c r="C16" s="2367"/>
      <c r="D16" s="2367"/>
      <c r="E16" s="236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orizontalCentered="1" verticalCentered="1" gridLine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9" t="s">
        <v>686</v>
      </c>
      <c r="B3" s="2390"/>
      <c r="C3" s="2390"/>
      <c r="D3" s="2391"/>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0" t="s">
        <v>1584</v>
      </c>
      <c r="D7" s="2401"/>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2" t="s">
        <v>1065</v>
      </c>
      <c r="B15" s="2393"/>
      <c r="C15" s="2393"/>
      <c r="D15" s="2394"/>
    </row>
    <row r="16" spans="1:4" s="669" customFormat="1" ht="24" customHeight="1" x14ac:dyDescent="0.2">
      <c r="A16" s="2395" t="s">
        <v>684</v>
      </c>
      <c r="B16" s="2396"/>
      <c r="C16" s="2396"/>
      <c r="D16" s="239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4" t="s">
        <v>332</v>
      </c>
      <c r="D21" s="2405"/>
    </row>
    <row r="22" spans="1:10" ht="12.75" x14ac:dyDescent="0.2">
      <c r="A22" s="1140"/>
      <c r="B22" s="1141">
        <v>2</v>
      </c>
      <c r="C22" s="2402" t="s">
        <v>1605</v>
      </c>
      <c r="D22" s="240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6" t="s">
        <v>557</v>
      </c>
      <c r="D43" s="240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8" t="s">
        <v>817</v>
      </c>
      <c r="D56" s="239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8" t="s">
        <v>1797</v>
      </c>
      <c r="D70" s="239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30077101026</v>
      </c>
    </row>
    <row r="3" spans="1:2" x14ac:dyDescent="0.2">
      <c r="A3" t="s">
        <v>1013</v>
      </c>
      <c r="B3" s="138" t="str">
        <f>COVER!A15</f>
        <v>Pulaski</v>
      </c>
    </row>
    <row r="4" spans="1:2" x14ac:dyDescent="0.2">
      <c r="A4" t="s">
        <v>1064</v>
      </c>
      <c r="B4" s="138" t="str">
        <f>COVER!A17</f>
        <v>Meridian CUSD 101</v>
      </c>
    </row>
    <row r="5" spans="1:2" x14ac:dyDescent="0.2">
      <c r="A5" t="s">
        <v>728</v>
      </c>
      <c r="B5" s="138" t="str">
        <f>COVER!A38</f>
        <v>Mr. Jonathan Green</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066-003889</v>
      </c>
    </row>
    <row r="16" spans="1:2" x14ac:dyDescent="0.2">
      <c r="A16" t="s">
        <v>442</v>
      </c>
      <c r="B16" s="138" t="str">
        <f>COVER!T13</f>
        <v>Beussink, Hey, Roe &amp; Stroder, LLC</v>
      </c>
    </row>
    <row r="17" spans="1:2" x14ac:dyDescent="0.2">
      <c r="A17" t="s">
        <v>939</v>
      </c>
      <c r="B17" s="138" t="str">
        <f>COVER!T15</f>
        <v>Jeffrey C. Stroder, CPA</v>
      </c>
    </row>
    <row r="18" spans="1:2" x14ac:dyDescent="0.2">
      <c r="A18" t="s">
        <v>1212</v>
      </c>
      <c r="B18" s="138" t="str">
        <f>COVER!T17</f>
        <v>16 South Silver Springs Road</v>
      </c>
    </row>
    <row r="19" spans="1:2" x14ac:dyDescent="0.2">
      <c r="A19" t="s">
        <v>941</v>
      </c>
      <c r="B19" s="138" t="str">
        <f>COVER!T25</f>
        <v>jstroder@bhrcpas.com</v>
      </c>
    </row>
    <row r="20" spans="1:2" x14ac:dyDescent="0.2">
      <c r="A20" t="s">
        <v>942</v>
      </c>
      <c r="B20" s="138" t="str">
        <f>COVER!T19</f>
        <v>Cape Girardeau</v>
      </c>
    </row>
    <row r="21" spans="1:2" x14ac:dyDescent="0.2">
      <c r="A21" t="s">
        <v>500</v>
      </c>
      <c r="B21" s="138" t="str">
        <f>COVER!X19</f>
        <v>MO</v>
      </c>
    </row>
    <row r="22" spans="1:2" x14ac:dyDescent="0.2">
      <c r="A22" t="s">
        <v>943</v>
      </c>
      <c r="B22" s="138">
        <f>COVER!Z19</f>
        <v>63703</v>
      </c>
    </row>
    <row r="23" spans="1:2" x14ac:dyDescent="0.2">
      <c r="A23" t="s">
        <v>1214</v>
      </c>
      <c r="B23" s="138" t="str">
        <f>COVER!T21</f>
        <v>573-334-7971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10129</v>
      </c>
      <c r="D76" s="2" t="str">
        <f t="shared" si="0"/>
        <v>Error?</v>
      </c>
    </row>
    <row r="77" spans="1:4" x14ac:dyDescent="0.2">
      <c r="A77" s="5">
        <v>16</v>
      </c>
      <c r="B77" s="138">
        <f>'Assets-Liab 5-6'!C13</f>
        <v>2252851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2252851</v>
      </c>
      <c r="D92" s="2" t="str">
        <f t="shared" si="0"/>
        <v>Error?</v>
      </c>
    </row>
    <row r="93" spans="1:4" x14ac:dyDescent="0.2">
      <c r="A93" s="5">
        <v>32</v>
      </c>
      <c r="B93" s="138">
        <f>'Assets-Liab 5-6'!C41</f>
        <v>2252851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269447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269447</v>
      </c>
      <c r="D123" s="2" t="str">
        <f t="shared" si="0"/>
        <v>Error?</v>
      </c>
    </row>
    <row r="124" spans="1:4" x14ac:dyDescent="0.2">
      <c r="A124" s="5">
        <v>63</v>
      </c>
      <c r="B124" s="138">
        <f>'Assets-Liab 5-6'!D41</f>
        <v>269447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189723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189723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170175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170175</v>
      </c>
      <c r="D170" s="2" t="str">
        <f t="shared" si="1"/>
        <v>Error?</v>
      </c>
    </row>
    <row r="171" spans="1:4" x14ac:dyDescent="0.2">
      <c r="A171" s="5">
        <v>110</v>
      </c>
      <c r="B171" s="138">
        <f>'Assets-Liab 5-6'!F41</f>
        <v>170175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109891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109891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57109</v>
      </c>
      <c r="D273" s="2" t="str">
        <f t="shared" si="3"/>
        <v>Error?</v>
      </c>
    </row>
    <row r="274" spans="1:4" x14ac:dyDescent="0.2">
      <c r="A274" s="5">
        <v>213</v>
      </c>
      <c r="B274" s="138">
        <f>'Assets-Liab 5-6'!M17</f>
        <v>12747021</v>
      </c>
      <c r="D274" s="2" t="str">
        <f t="shared" si="3"/>
        <v>Error?</v>
      </c>
    </row>
    <row r="275" spans="1:4" x14ac:dyDescent="0.2">
      <c r="A275" s="5">
        <v>214</v>
      </c>
      <c r="B275" s="138">
        <f>'Assets-Liab 5-6'!M18</f>
        <v>1178567</v>
      </c>
      <c r="D275" s="2" t="str">
        <f t="shared" si="3"/>
        <v>Error?</v>
      </c>
    </row>
    <row r="276" spans="1:4" x14ac:dyDescent="0.2">
      <c r="A276" s="5">
        <v>215</v>
      </c>
      <c r="B276" s="138">
        <f>'Assets-Liab 5-6'!M19</f>
        <v>3769426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17752123</v>
      </c>
      <c r="C279" s="2" t="s">
        <v>594</v>
      </c>
      <c r="D279" s="2" t="str">
        <f t="shared" si="3"/>
        <v>Error?</v>
      </c>
    </row>
    <row r="280" spans="1:4" x14ac:dyDescent="0.2">
      <c r="A280" s="5">
        <v>219</v>
      </c>
      <c r="B280" s="138">
        <f>'Assets-Liab 5-6'!M40</f>
        <v>17752123</v>
      </c>
      <c r="D280" s="2" t="str">
        <f t="shared" si="3"/>
        <v>Error?</v>
      </c>
    </row>
    <row r="281" spans="1:4" x14ac:dyDescent="0.2">
      <c r="A281" s="5">
        <v>220</v>
      </c>
      <c r="B281" s="138">
        <f>'Assets-Liab 5-6'!M41</f>
        <v>17752123</v>
      </c>
      <c r="C281" s="2" t="s">
        <v>594</v>
      </c>
      <c r="D281" s="2" t="str">
        <f t="shared" si="3"/>
        <v>Error?</v>
      </c>
    </row>
    <row r="282" spans="1:4" x14ac:dyDescent="0.2">
      <c r="A282" s="5">
        <v>221</v>
      </c>
      <c r="B282" s="138">
        <f>'Assets-Liab 5-6'!N21</f>
        <v>189723</v>
      </c>
      <c r="D282" s="2" t="str">
        <f t="shared" si="3"/>
        <v>Error?</v>
      </c>
    </row>
    <row r="283" spans="1:4" x14ac:dyDescent="0.2">
      <c r="A283" s="5">
        <v>222</v>
      </c>
      <c r="B283" s="138">
        <f>'Assets-Liab 5-6'!N22</f>
        <v>2195049</v>
      </c>
      <c r="D283" s="2" t="str">
        <f t="shared" si="3"/>
        <v>Error?</v>
      </c>
    </row>
    <row r="284" spans="1:4" x14ac:dyDescent="0.2">
      <c r="A284" s="5">
        <v>223</v>
      </c>
      <c r="B284" s="138">
        <f>'Assets-Liab 5-6'!N23</f>
        <v>2384772</v>
      </c>
      <c r="C284" s="2" t="s">
        <v>594</v>
      </c>
      <c r="D284" s="2" t="str">
        <f t="shared" si="3"/>
        <v>Error?</v>
      </c>
    </row>
    <row r="285" spans="1:4" x14ac:dyDescent="0.2">
      <c r="A285" s="5">
        <v>224</v>
      </c>
      <c r="B285" s="138">
        <f>'Assets-Liab 5-6'!N36</f>
        <v>2384772</v>
      </c>
      <c r="D285" s="2" t="str">
        <f t="shared" si="3"/>
        <v>Error?</v>
      </c>
    </row>
    <row r="286" spans="1:4" x14ac:dyDescent="0.2">
      <c r="A286" s="10">
        <v>225</v>
      </c>
      <c r="D286" s="2" t="str">
        <f t="shared" si="3"/>
        <v>OK</v>
      </c>
    </row>
    <row r="287" spans="1:4" x14ac:dyDescent="0.2">
      <c r="A287" s="5">
        <v>226</v>
      </c>
      <c r="B287" s="138">
        <f>'Assets-Liab 5-6'!N37</f>
        <v>2384772</v>
      </c>
      <c r="C287" s="2" t="s">
        <v>594</v>
      </c>
      <c r="D287" s="2" t="str">
        <f t="shared" si="3"/>
        <v>Error?</v>
      </c>
    </row>
    <row r="288" spans="1:4" x14ac:dyDescent="0.2">
      <c r="A288" s="5">
        <v>227</v>
      </c>
      <c r="B288" s="138">
        <f>'Assets-Liab 5-6'!N41</f>
        <v>2384772</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1573479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66885</v>
      </c>
      <c r="D717" s="2" t="str">
        <f t="shared" si="10"/>
        <v>Error?</v>
      </c>
    </row>
    <row r="718" spans="1:4" x14ac:dyDescent="0.2">
      <c r="A718" s="5">
        <v>657</v>
      </c>
      <c r="B718" s="138">
        <f>'Expenditures 15-22'!C14</f>
        <v>81612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2164037</v>
      </c>
      <c r="C720" s="2" t="s">
        <v>594</v>
      </c>
      <c r="D720" s="2" t="str">
        <f t="shared" si="10"/>
        <v>Error?</v>
      </c>
    </row>
    <row r="721" spans="1:4" x14ac:dyDescent="0.2">
      <c r="A721" s="5">
        <v>660</v>
      </c>
      <c r="B721" s="138">
        <f>'Expenditures 15-22'!C36</f>
        <v>56194</v>
      </c>
      <c r="D721" s="2" t="str">
        <f t="shared" si="10"/>
        <v>Error?</v>
      </c>
    </row>
    <row r="722" spans="1:4" x14ac:dyDescent="0.2">
      <c r="A722" s="5">
        <v>661</v>
      </c>
      <c r="B722" s="138">
        <f>'Expenditures 15-22'!C37</f>
        <v>107334</v>
      </c>
      <c r="D722" s="2" t="str">
        <f t="shared" si="10"/>
        <v>Error?</v>
      </c>
    </row>
    <row r="723" spans="1:4" x14ac:dyDescent="0.2">
      <c r="A723" s="5">
        <v>662</v>
      </c>
      <c r="B723" s="138">
        <f>'Expenditures 15-22'!C38</f>
        <v>57539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36400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257467</v>
      </c>
      <c r="C727" s="2" t="s">
        <v>594</v>
      </c>
      <c r="D727" s="2" t="str">
        <f t="shared" si="10"/>
        <v>Error?</v>
      </c>
    </row>
    <row r="728" spans="1:4" x14ac:dyDescent="0.2">
      <c r="A728" s="5">
        <v>667</v>
      </c>
      <c r="B728" s="138">
        <f>'Expenditures 15-22'!C44</f>
        <v>194225</v>
      </c>
      <c r="D728" s="2" t="str">
        <f t="shared" si="10"/>
        <v>Error?</v>
      </c>
    </row>
    <row r="729" spans="1:4" x14ac:dyDescent="0.2">
      <c r="A729" s="5">
        <v>668</v>
      </c>
      <c r="B729" s="138">
        <f>'Expenditures 15-22'!C45</f>
        <v>49790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244015</v>
      </c>
      <c r="C731" s="2" t="s">
        <v>594</v>
      </c>
      <c r="D731" s="2" t="str">
        <f t="shared" si="10"/>
        <v>Error?</v>
      </c>
    </row>
    <row r="732" spans="1:4" x14ac:dyDescent="0.2">
      <c r="A732" s="5">
        <v>671</v>
      </c>
      <c r="B732" s="138">
        <f>'Expenditures 15-22'!C49</f>
        <v>34489</v>
      </c>
      <c r="D732" s="2" t="str">
        <f t="shared" si="10"/>
        <v>Error?</v>
      </c>
    </row>
    <row r="733" spans="1:4" x14ac:dyDescent="0.2">
      <c r="A733" s="5">
        <v>672</v>
      </c>
      <c r="B733" s="138">
        <f>'Expenditures 15-22'!C50</f>
        <v>149958</v>
      </c>
      <c r="D733" s="2" t="str">
        <f t="shared" si="10"/>
        <v>Error?</v>
      </c>
    </row>
    <row r="734" spans="1:4" x14ac:dyDescent="0.2">
      <c r="A734" s="5">
        <v>673</v>
      </c>
      <c r="B734" s="138">
        <f>'Expenditures 15-22'!C53</f>
        <v>184447</v>
      </c>
      <c r="C734" s="2" t="s">
        <v>594</v>
      </c>
      <c r="D734" s="2" t="str">
        <f t="shared" si="10"/>
        <v>Error?</v>
      </c>
    </row>
    <row r="735" spans="1:4" x14ac:dyDescent="0.2">
      <c r="A735" s="5">
        <v>674</v>
      </c>
      <c r="B735" s="138">
        <f>'Expenditures 15-22'!C55</f>
        <v>237392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237392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53468</v>
      </c>
      <c r="D739" s="2" t="str">
        <f t="shared" si="10"/>
        <v>Error?</v>
      </c>
    </row>
    <row r="740" spans="1:4" x14ac:dyDescent="0.2">
      <c r="A740" s="5">
        <v>679</v>
      </c>
      <c r="B740" s="138">
        <f>'Expenditures 15-22'!C61</f>
        <v>178424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95701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327593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45550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45550</v>
      </c>
      <c r="C753" s="2" t="s">
        <v>594</v>
      </c>
      <c r="D753" s="2" t="str">
        <f t="shared" si="10"/>
        <v>Error?</v>
      </c>
    </row>
    <row r="754" spans="1:4" x14ac:dyDescent="0.2">
      <c r="A754" s="5">
        <v>693</v>
      </c>
      <c r="B754" s="138">
        <f>'Expenditures 15-22'!C73</f>
        <v>13000</v>
      </c>
      <c r="D754" s="2" t="str">
        <f t="shared" si="10"/>
        <v>Error?</v>
      </c>
    </row>
    <row r="755" spans="1:4" x14ac:dyDescent="0.2">
      <c r="A755" s="5">
        <v>694</v>
      </c>
      <c r="B755" s="138">
        <f>'Expenditures 15-22'!C74</f>
        <v>1309464</v>
      </c>
      <c r="C755" s="2" t="s">
        <v>594</v>
      </c>
      <c r="D755" s="2" t="str">
        <f t="shared" si="10"/>
        <v>Error?</v>
      </c>
    </row>
    <row r="756" spans="1:4" x14ac:dyDescent="0.2">
      <c r="A756" s="5">
        <v>695</v>
      </c>
      <c r="B756" s="138">
        <f>'Expenditures 15-22'!C75</f>
        <v>39900</v>
      </c>
      <c r="D756" s="2" t="str">
        <f t="shared" si="10"/>
        <v>Error?</v>
      </c>
    </row>
    <row r="757" spans="1:4" x14ac:dyDescent="0.2">
      <c r="A757" s="5">
        <v>696</v>
      </c>
      <c r="B757" s="138">
        <f>'Expenditures 15-22'!C114</f>
        <v>3513401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374637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13551</v>
      </c>
      <c r="D775" s="2" t="str">
        <f t="shared" si="11"/>
        <v>Error?</v>
      </c>
    </row>
    <row r="776" spans="1:4" x14ac:dyDescent="0.2">
      <c r="A776" s="5">
        <v>715</v>
      </c>
      <c r="B776" s="138">
        <f>'Expenditures 15-22'!D14</f>
        <v>2100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496194</v>
      </c>
      <c r="C778" s="2" t="s">
        <v>594</v>
      </c>
      <c r="D778" s="2" t="str">
        <f t="shared" si="11"/>
        <v>Error?</v>
      </c>
    </row>
    <row r="779" spans="1:4" x14ac:dyDescent="0.2">
      <c r="A779" s="5">
        <v>718</v>
      </c>
      <c r="B779" s="138">
        <f>'Expenditures 15-22'!D36</f>
        <v>9127</v>
      </c>
      <c r="D779" s="2" t="str">
        <f t="shared" si="11"/>
        <v>Error?</v>
      </c>
    </row>
    <row r="780" spans="1:4" x14ac:dyDescent="0.2">
      <c r="A780" s="5">
        <v>719</v>
      </c>
      <c r="B780" s="138">
        <f>'Expenditures 15-22'!D37</f>
        <v>5273</v>
      </c>
      <c r="D780" s="2" t="str">
        <f t="shared" si="11"/>
        <v>Error?</v>
      </c>
    </row>
    <row r="781" spans="1:4" x14ac:dyDescent="0.2">
      <c r="A781" s="5">
        <v>720</v>
      </c>
      <c r="B781" s="138">
        <f>'Expenditures 15-22'!D38</f>
        <v>7168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4184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25752</v>
      </c>
      <c r="C785" s="2" t="s">
        <v>594</v>
      </c>
      <c r="D785" s="2" t="str">
        <f t="shared" si="11"/>
        <v>Error?</v>
      </c>
    </row>
    <row r="786" spans="1:4" x14ac:dyDescent="0.2">
      <c r="A786" s="5">
        <v>725</v>
      </c>
      <c r="B786" s="138">
        <f>'Expenditures 15-22'!D44</f>
        <v>47173</v>
      </c>
      <c r="D786" s="2" t="str">
        <f t="shared" si="11"/>
        <v>Error?</v>
      </c>
    </row>
    <row r="787" spans="1:4" x14ac:dyDescent="0.2">
      <c r="A787" s="5">
        <v>726</v>
      </c>
      <c r="B787" s="138">
        <f>'Expenditures 15-22'!D45</f>
        <v>11137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58310</v>
      </c>
      <c r="C789" s="2" t="s">
        <v>594</v>
      </c>
      <c r="D789" s="2" t="str">
        <f t="shared" si="11"/>
        <v>Error?</v>
      </c>
    </row>
    <row r="790" spans="1:4" x14ac:dyDescent="0.2">
      <c r="A790" s="5">
        <v>729</v>
      </c>
      <c r="B790" s="138">
        <f>'Expenditures 15-22'!D49</f>
        <v>6347</v>
      </c>
      <c r="D790" s="2" t="str">
        <f t="shared" si="11"/>
        <v>Error?</v>
      </c>
    </row>
    <row r="791" spans="1:4" x14ac:dyDescent="0.2">
      <c r="A791" s="5">
        <v>730</v>
      </c>
      <c r="B791" s="138">
        <f>'Expenditures 15-22'!D50</f>
        <v>22834</v>
      </c>
      <c r="D791" s="2" t="str">
        <f t="shared" si="11"/>
        <v>Error?</v>
      </c>
    </row>
    <row r="792" spans="1:4" x14ac:dyDescent="0.2">
      <c r="A792" s="5">
        <v>731</v>
      </c>
      <c r="B792" s="138">
        <f>'Expenditures 15-22'!D53</f>
        <v>29181</v>
      </c>
      <c r="C792" s="2" t="s">
        <v>594</v>
      </c>
      <c r="D792" s="2" t="str">
        <f t="shared" si="11"/>
        <v>Error?</v>
      </c>
    </row>
    <row r="793" spans="1:4" x14ac:dyDescent="0.2">
      <c r="A793" s="5">
        <v>732</v>
      </c>
      <c r="B793" s="138">
        <f>'Expenditures 15-22'!D55</f>
        <v>38159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38159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5829</v>
      </c>
      <c r="D797" s="2" t="str">
        <f t="shared" si="11"/>
        <v>Error?</v>
      </c>
    </row>
    <row r="798" spans="1:4" x14ac:dyDescent="0.2">
      <c r="A798" s="5">
        <v>737</v>
      </c>
      <c r="B798" s="138">
        <f>'Expenditures 15-22'!D61</f>
        <v>14766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15476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36071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17835</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17835</v>
      </c>
      <c r="C811" s="2" t="s">
        <v>594</v>
      </c>
      <c r="D811" s="2" t="str">
        <f t="shared" si="11"/>
        <v>Error?</v>
      </c>
    </row>
    <row r="812" spans="1:4" x14ac:dyDescent="0.2">
      <c r="A812" s="5">
        <v>751</v>
      </c>
      <c r="B812" s="138">
        <f>'Expenditures 15-22'!D73</f>
        <v>189</v>
      </c>
      <c r="D812" s="2" t="str">
        <f t="shared" si="11"/>
        <v>Error?</v>
      </c>
    </row>
    <row r="813" spans="1:4" x14ac:dyDescent="0.2">
      <c r="A813" s="5">
        <v>752</v>
      </c>
      <c r="B813" s="138">
        <f>'Expenditures 15-22'!D74</f>
        <v>205497</v>
      </c>
      <c r="C813" s="2" t="s">
        <v>594</v>
      </c>
      <c r="D813" s="2" t="str">
        <f t="shared" si="11"/>
        <v>Error?</v>
      </c>
    </row>
    <row r="814" spans="1:4" x14ac:dyDescent="0.2">
      <c r="A814" s="5">
        <v>753</v>
      </c>
      <c r="B814" s="138">
        <f>'Expenditures 15-22'!D75</f>
        <v>9346</v>
      </c>
      <c r="D814" s="2" t="str">
        <f t="shared" si="11"/>
        <v>Error?</v>
      </c>
    </row>
    <row r="815" spans="1:4" x14ac:dyDescent="0.2">
      <c r="A815" s="5">
        <v>754</v>
      </c>
      <c r="B815" s="138">
        <f>'Expenditures 15-22'!D114</f>
        <v>711037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211500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383</v>
      </c>
      <c r="D833" s="2" t="str">
        <f t="shared" si="12"/>
        <v>Error?</v>
      </c>
    </row>
    <row r="834" spans="1:4" x14ac:dyDescent="0.2">
      <c r="A834" s="5">
        <v>773</v>
      </c>
      <c r="B834" s="138">
        <f>'Expenditures 15-22'!E14</f>
        <v>22445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249544</v>
      </c>
      <c r="C836" s="2" t="s">
        <v>594</v>
      </c>
      <c r="D836" s="2" t="str">
        <f t="shared" si="12"/>
        <v>Error?</v>
      </c>
    </row>
    <row r="837" spans="1:4" x14ac:dyDescent="0.2">
      <c r="A837" s="5">
        <v>776</v>
      </c>
      <c r="B837" s="138">
        <f>'Expenditures 15-22'!E36</f>
        <v>4007</v>
      </c>
      <c r="D837" s="2" t="str">
        <f t="shared" si="12"/>
        <v>Error?</v>
      </c>
    </row>
    <row r="838" spans="1:4" x14ac:dyDescent="0.2">
      <c r="A838" s="5">
        <v>777</v>
      </c>
      <c r="B838" s="138">
        <f>'Expenditures 15-22'!E37</f>
        <v>40094</v>
      </c>
      <c r="D838" s="2" t="str">
        <f t="shared" si="12"/>
        <v>Error?</v>
      </c>
    </row>
    <row r="839" spans="1:4" x14ac:dyDescent="0.2">
      <c r="A839" s="5">
        <v>778</v>
      </c>
      <c r="B839" s="138">
        <f>'Expenditures 15-22'!E38</f>
        <v>19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44120</v>
      </c>
      <c r="C843" s="2" t="s">
        <v>594</v>
      </c>
      <c r="D843" s="2" t="str">
        <f t="shared" si="12"/>
        <v>Error?</v>
      </c>
    </row>
    <row r="844" spans="1:4" x14ac:dyDescent="0.2">
      <c r="A844" s="5">
        <v>783</v>
      </c>
      <c r="B844" s="138">
        <f>'Expenditures 15-22'!E44</f>
        <v>141490</v>
      </c>
      <c r="D844" s="2" t="str">
        <f t="shared" si="12"/>
        <v>Error?</v>
      </c>
    </row>
    <row r="845" spans="1:4" x14ac:dyDescent="0.2">
      <c r="A845" s="5">
        <v>784</v>
      </c>
      <c r="B845" s="138">
        <f>'Expenditures 15-22'!E45</f>
        <v>74130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215620</v>
      </c>
      <c r="C847" s="2" t="s">
        <v>594</v>
      </c>
      <c r="D847" s="2" t="str">
        <f t="shared" si="12"/>
        <v>Error?</v>
      </c>
    </row>
    <row r="848" spans="1:4" x14ac:dyDescent="0.2">
      <c r="A848" s="5">
        <v>787</v>
      </c>
      <c r="B848" s="138">
        <f>'Expenditures 15-22'!E49</f>
        <v>293067</v>
      </c>
      <c r="D848" s="2" t="str">
        <f t="shared" si="12"/>
        <v>Error?</v>
      </c>
    </row>
    <row r="849" spans="1:4" x14ac:dyDescent="0.2">
      <c r="A849" s="5">
        <v>788</v>
      </c>
      <c r="B849" s="138">
        <f>'Expenditures 15-22'!E50</f>
        <v>9448</v>
      </c>
      <c r="D849" s="2" t="str">
        <f t="shared" si="12"/>
        <v>Error?</v>
      </c>
    </row>
    <row r="850" spans="1:4" x14ac:dyDescent="0.2">
      <c r="A850" s="5">
        <v>789</v>
      </c>
      <c r="B850" s="138">
        <f>'Expenditures 15-22'!E53</f>
        <v>302515</v>
      </c>
      <c r="C850" s="2" t="s">
        <v>594</v>
      </c>
      <c r="D850" s="2" t="str">
        <f t="shared" si="12"/>
        <v>Error?</v>
      </c>
    </row>
    <row r="851" spans="1:4" x14ac:dyDescent="0.2">
      <c r="A851" s="5">
        <v>790</v>
      </c>
      <c r="B851" s="138">
        <f>'Expenditures 15-22'!E55</f>
        <v>10093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10093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216</v>
      </c>
      <c r="D855" s="2" t="str">
        <f t="shared" si="12"/>
        <v>Error?</v>
      </c>
    </row>
    <row r="856" spans="1:4" x14ac:dyDescent="0.2">
      <c r="A856" s="5">
        <v>795</v>
      </c>
      <c r="B856" s="138">
        <f>'Expenditures 15-22'!E61</f>
        <v>820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2187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3223</v>
      </c>
      <c r="C861" s="2" t="s">
        <v>594</v>
      </c>
      <c r="D861" s="2" t="str">
        <f t="shared" si="12"/>
        <v>Error?</v>
      </c>
    </row>
    <row r="862" spans="1:4" x14ac:dyDescent="0.2">
      <c r="A862" s="5">
        <v>801</v>
      </c>
      <c r="B862" s="138">
        <f>'Expenditures 15-22'!E67</f>
        <v>130000</v>
      </c>
      <c r="D862" s="2" t="str">
        <f t="shared" si="12"/>
        <v>Error?</v>
      </c>
    </row>
    <row r="863" spans="1:4" x14ac:dyDescent="0.2">
      <c r="A863" s="5">
        <v>802</v>
      </c>
      <c r="B863" s="138">
        <f>'Expenditures 15-22'!E68</f>
        <v>1000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131000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706571</v>
      </c>
      <c r="C871" s="2" t="s">
        <v>594</v>
      </c>
      <c r="D871" s="2" t="str">
        <f t="shared" si="12"/>
        <v>Error?</v>
      </c>
    </row>
    <row r="872" spans="1:4" x14ac:dyDescent="0.2">
      <c r="A872" s="5">
        <v>811</v>
      </c>
      <c r="B872" s="138">
        <f>'Expenditures 15-22'!E75</f>
        <v>484</v>
      </c>
      <c r="D872" s="2" t="str">
        <f t="shared" si="12"/>
        <v>Error?</v>
      </c>
    </row>
    <row r="873" spans="1:4" x14ac:dyDescent="0.2">
      <c r="A873" s="5">
        <v>812</v>
      </c>
      <c r="B873" s="138">
        <f>'Expenditures 15-22'!E114</f>
        <v>1016333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221840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2890</v>
      </c>
      <c r="D891" s="2" t="str">
        <f t="shared" si="12"/>
        <v>Error?</v>
      </c>
    </row>
    <row r="892" spans="1:4" x14ac:dyDescent="0.2">
      <c r="A892" s="5">
        <v>831</v>
      </c>
      <c r="B892" s="138">
        <f>'Expenditures 15-22'!F14</f>
        <v>26981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286664</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72</v>
      </c>
      <c r="C901" s="2" t="s">
        <v>594</v>
      </c>
      <c r="D901" s="2" t="str">
        <f t="shared" si="13"/>
        <v>Error?</v>
      </c>
    </row>
    <row r="902" spans="1:4" x14ac:dyDescent="0.2">
      <c r="A902" s="5">
        <v>841</v>
      </c>
      <c r="B902" s="138">
        <f>'Expenditures 15-22'!F44</f>
        <v>61269</v>
      </c>
      <c r="D902" s="2" t="str">
        <f t="shared" si="13"/>
        <v>Error?</v>
      </c>
    </row>
    <row r="903" spans="1:4" x14ac:dyDescent="0.2">
      <c r="A903" s="5">
        <v>842</v>
      </c>
      <c r="B903" s="138">
        <f>'Expenditures 15-22'!F45</f>
        <v>3934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65203</v>
      </c>
      <c r="C905" s="2" t="s">
        <v>594</v>
      </c>
      <c r="D905" s="2" t="str">
        <f t="shared" si="13"/>
        <v>Error?</v>
      </c>
    </row>
    <row r="906" spans="1:4" x14ac:dyDescent="0.2">
      <c r="A906" s="5">
        <v>845</v>
      </c>
      <c r="B906" s="138">
        <f>'Expenditures 15-22'!F49</f>
        <v>4802</v>
      </c>
      <c r="D906" s="2" t="str">
        <f t="shared" si="13"/>
        <v>Error?</v>
      </c>
    </row>
    <row r="907" spans="1:4" x14ac:dyDescent="0.2">
      <c r="A907" s="5">
        <v>846</v>
      </c>
      <c r="B907" s="138">
        <f>'Expenditures 15-22'!F50</f>
        <v>403</v>
      </c>
      <c r="D907" s="2" t="str">
        <f t="shared" si="13"/>
        <v>Error?</v>
      </c>
    </row>
    <row r="908" spans="1:4" x14ac:dyDescent="0.2">
      <c r="A908" s="5">
        <v>847</v>
      </c>
      <c r="B908" s="138">
        <f>'Expenditures 15-22'!F53</f>
        <v>5205</v>
      </c>
      <c r="C908" s="2" t="s">
        <v>594</v>
      </c>
      <c r="D908" s="2" t="str">
        <f t="shared" si="13"/>
        <v>Error?</v>
      </c>
    </row>
    <row r="909" spans="1:4" x14ac:dyDescent="0.2">
      <c r="A909" s="5">
        <v>848</v>
      </c>
      <c r="B909" s="138">
        <f>'Expenditures 15-22'!F55</f>
        <v>408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408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307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203765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204072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2407</v>
      </c>
      <c r="D928" s="2" t="str">
        <f t="shared" si="13"/>
        <v>Error?</v>
      </c>
    </row>
    <row r="929" spans="1:4" x14ac:dyDescent="0.2">
      <c r="A929" s="5">
        <v>868</v>
      </c>
      <c r="B929" s="138">
        <f>'Expenditures 15-22'!F74</f>
        <v>277367</v>
      </c>
      <c r="C929" s="2" t="s">
        <v>594</v>
      </c>
      <c r="D929" s="2" t="str">
        <f t="shared" si="13"/>
        <v>Error?</v>
      </c>
    </row>
    <row r="930" spans="1:4" x14ac:dyDescent="0.2">
      <c r="A930" s="5">
        <v>869</v>
      </c>
      <c r="B930" s="138">
        <f>'Expenditures 15-22'!F75</f>
        <v>17113</v>
      </c>
      <c r="D930" s="2" t="str">
        <f t="shared" si="13"/>
        <v>Error?</v>
      </c>
    </row>
    <row r="931" spans="1:4" x14ac:dyDescent="0.2">
      <c r="A931" s="5">
        <v>870</v>
      </c>
      <c r="B931" s="138">
        <f>'Expenditures 15-22'!F114</f>
        <v>581144</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87444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90610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29338</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29338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29338</v>
      </c>
      <c r="C987" s="2" t="s">
        <v>594</v>
      </c>
      <c r="D987" s="2" t="str">
        <f t="shared" si="14"/>
        <v>Error?</v>
      </c>
    </row>
    <row r="988" spans="1:4" x14ac:dyDescent="0.2">
      <c r="A988" s="5">
        <v>927</v>
      </c>
      <c r="B988" s="138">
        <f>'Expenditures 15-22'!G75</f>
        <v>605</v>
      </c>
      <c r="D988" s="2" t="str">
        <f t="shared" si="14"/>
        <v>Error?</v>
      </c>
    </row>
    <row r="989" spans="1:4" x14ac:dyDescent="0.2">
      <c r="A989" s="5">
        <v>928</v>
      </c>
      <c r="B989" s="138">
        <f>'Expenditures 15-22'!G114</f>
        <v>120553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1550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5313</v>
      </c>
      <c r="D1022" s="2" t="str">
        <f t="shared" si="14"/>
        <v>Error?</v>
      </c>
    </row>
    <row r="1023" spans="1:4" x14ac:dyDescent="0.2">
      <c r="A1023" s="5">
        <v>962</v>
      </c>
      <c r="B1023" s="138">
        <f>'Expenditures 15-22'!H50</f>
        <v>745</v>
      </c>
      <c r="D1023" s="2" t="str">
        <f t="shared" ref="D1023:D1086" si="15">IF(ISBLANK(B1023),"OK",IF(A1023-B1023=0,"OK","Error?"))</f>
        <v>Error?</v>
      </c>
    </row>
    <row r="1024" spans="1:4" x14ac:dyDescent="0.2">
      <c r="A1024" s="5">
        <v>963</v>
      </c>
      <c r="B1024" s="138">
        <f>'Expenditures 15-22'!H53</f>
        <v>6058</v>
      </c>
      <c r="C1024" s="2" t="s">
        <v>594</v>
      </c>
      <c r="D1024" s="2" t="str">
        <f t="shared" si="15"/>
        <v>Error?</v>
      </c>
    </row>
    <row r="1025" spans="1:4" x14ac:dyDescent="0.2">
      <c r="A1025" s="5">
        <v>964</v>
      </c>
      <c r="B1025" s="138">
        <f>'Expenditures 15-22'!H55</f>
        <v>237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237</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2234</v>
      </c>
      <c r="D1029" s="2" t="str">
        <f t="shared" si="15"/>
        <v>Error?</v>
      </c>
    </row>
    <row r="1030" spans="1:4" x14ac:dyDescent="0.2">
      <c r="A1030" s="5">
        <v>969</v>
      </c>
      <c r="B1030" s="138">
        <f>'Expenditures 15-22'!H61</f>
        <v>45</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155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2434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8729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183107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193386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2468900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83709</v>
      </c>
      <c r="C1105" s="2" t="s">
        <v>594</v>
      </c>
      <c r="D1105" s="2" t="str">
        <f t="shared" si="16"/>
        <v>Error?</v>
      </c>
    </row>
    <row r="1106" spans="1:4" x14ac:dyDescent="0.2">
      <c r="A1106" s="5">
        <v>1045</v>
      </c>
      <c r="B1106" s="138">
        <f>'Expenditures 15-22'!K14</f>
        <v>134688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3288599</v>
      </c>
      <c r="C1108" s="2" t="s">
        <v>594</v>
      </c>
      <c r="D1108" s="2" t="str">
        <f t="shared" si="16"/>
        <v>Error?</v>
      </c>
    </row>
    <row r="1109" spans="1:4" x14ac:dyDescent="0.2">
      <c r="A1109" s="5">
        <v>1048</v>
      </c>
      <c r="B1109" s="138">
        <f>'Expenditures 15-22'!K36</f>
        <v>69328</v>
      </c>
      <c r="C1109" s="2" t="s">
        <v>594</v>
      </c>
      <c r="D1109" s="2" t="str">
        <f t="shared" si="16"/>
        <v>Error?</v>
      </c>
    </row>
    <row r="1110" spans="1:4" x14ac:dyDescent="0.2">
      <c r="A1110" s="5">
        <v>1049</v>
      </c>
      <c r="B1110" s="138">
        <f>'Expenditures 15-22'!K37</f>
        <v>152701</v>
      </c>
      <c r="C1110" s="2" t="s">
        <v>594</v>
      </c>
      <c r="D1110" s="2" t="str">
        <f t="shared" si="16"/>
        <v>Error?</v>
      </c>
    </row>
    <row r="1111" spans="1:4" x14ac:dyDescent="0.2">
      <c r="A1111" s="5">
        <v>1050</v>
      </c>
      <c r="B1111" s="138">
        <f>'Expenditures 15-22'!K38</f>
        <v>64798</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40584</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327411</v>
      </c>
      <c r="C1115" s="2" t="s">
        <v>594</v>
      </c>
      <c r="D1115" s="2" t="str">
        <f t="shared" si="16"/>
        <v>Error?</v>
      </c>
    </row>
    <row r="1116" spans="1:4" x14ac:dyDescent="0.2">
      <c r="A1116" s="5">
        <v>1055</v>
      </c>
      <c r="B1116" s="138">
        <f>'Expenditures 15-22'!K44</f>
        <v>473495</v>
      </c>
      <c r="C1116" s="2" t="s">
        <v>594</v>
      </c>
      <c r="D1116" s="2" t="str">
        <f t="shared" si="16"/>
        <v>Error?</v>
      </c>
    </row>
    <row r="1117" spans="1:4" x14ac:dyDescent="0.2">
      <c r="A1117" s="5">
        <v>1056</v>
      </c>
      <c r="B1117" s="138">
        <f>'Expenditures 15-22'!K45</f>
        <v>138991</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612486</v>
      </c>
      <c r="C1119" s="2" t="s">
        <v>594</v>
      </c>
      <c r="D1119" s="2" t="str">
        <f t="shared" si="16"/>
        <v>Error?</v>
      </c>
    </row>
    <row r="1120" spans="1:4" x14ac:dyDescent="0.2">
      <c r="A1120" s="5">
        <v>1059</v>
      </c>
      <c r="B1120" s="138">
        <f>'Expenditures 15-22'!K49</f>
        <v>344018</v>
      </c>
      <c r="C1120" s="2" t="s">
        <v>594</v>
      </c>
      <c r="D1120" s="2" t="str">
        <f t="shared" si="16"/>
        <v>Error?</v>
      </c>
    </row>
    <row r="1121" spans="1:4" x14ac:dyDescent="0.2">
      <c r="A1121" s="5">
        <v>1060</v>
      </c>
      <c r="B1121" s="138">
        <f>'Expenditures 15-22'!K50</f>
        <v>183388</v>
      </c>
      <c r="C1121" s="2" t="s">
        <v>594</v>
      </c>
      <c r="D1121" s="2" t="str">
        <f t="shared" si="16"/>
        <v>Error?</v>
      </c>
    </row>
    <row r="1122" spans="1:4" x14ac:dyDescent="0.2">
      <c r="A1122" s="5">
        <v>1061</v>
      </c>
      <c r="B1122" s="138">
        <f>'Expenditures 15-22'!K53</f>
        <v>527406</v>
      </c>
      <c r="C1122" s="2" t="s">
        <v>594</v>
      </c>
      <c r="D1122" s="2" t="str">
        <f t="shared" si="16"/>
        <v>Error?</v>
      </c>
    </row>
    <row r="1123" spans="1:4" x14ac:dyDescent="0.2">
      <c r="A1123" s="5">
        <v>1062</v>
      </c>
      <c r="B1123" s="138">
        <f>'Expenditures 15-22'!K55</f>
        <v>286289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286289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62054</v>
      </c>
      <c r="C1127" s="2" t="s">
        <v>594</v>
      </c>
      <c r="D1127" s="2" t="str">
        <f t="shared" si="16"/>
        <v>Error?</v>
      </c>
    </row>
    <row r="1128" spans="1:4" x14ac:dyDescent="0.2">
      <c r="A1128" s="5">
        <v>1067</v>
      </c>
      <c r="B1128" s="138">
        <f>'Expenditures 15-22'!K61</f>
        <v>194055</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317284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573393</v>
      </c>
      <c r="C1133" s="2" t="s">
        <v>594</v>
      </c>
      <c r="D1133" s="2" t="str">
        <f t="shared" si="16"/>
        <v>Error?</v>
      </c>
    </row>
    <row r="1134" spans="1:4" x14ac:dyDescent="0.2">
      <c r="A1134" s="5">
        <v>1073</v>
      </c>
      <c r="B1134" s="138">
        <f>'Expenditures 15-22'!K67</f>
        <v>130000</v>
      </c>
      <c r="C1134" s="2" t="s">
        <v>594</v>
      </c>
      <c r="D1134" s="2" t="str">
        <f t="shared" si="16"/>
        <v>Error?</v>
      </c>
    </row>
    <row r="1135" spans="1:4" x14ac:dyDescent="0.2">
      <c r="A1135" s="5">
        <v>1074</v>
      </c>
      <c r="B1135" s="138">
        <f>'Expenditures 15-22'!K68</f>
        <v>1000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63385</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194385</v>
      </c>
      <c r="C1141" s="2" t="s">
        <v>594</v>
      </c>
      <c r="D1141" s="2" t="str">
        <f t="shared" si="16"/>
        <v>Error?</v>
      </c>
    </row>
    <row r="1142" spans="1:4" x14ac:dyDescent="0.2">
      <c r="A1142" s="5">
        <v>1081</v>
      </c>
      <c r="B1142" s="138">
        <f>'Expenditures 15-22'!K73</f>
        <v>15596</v>
      </c>
      <c r="C1142" s="2" t="s">
        <v>594</v>
      </c>
      <c r="D1142" s="2" t="str">
        <f t="shared" si="16"/>
        <v>Error?</v>
      </c>
    </row>
    <row r="1143" spans="1:4" x14ac:dyDescent="0.2">
      <c r="A1143" s="5">
        <v>1082</v>
      </c>
      <c r="B1143" s="138">
        <f>'Expenditures 15-22'!K74</f>
        <v>2536966</v>
      </c>
      <c r="C1143" s="2" t="s">
        <v>594</v>
      </c>
      <c r="D1143" s="2" t="str">
        <f t="shared" si="16"/>
        <v>Error?</v>
      </c>
    </row>
    <row r="1144" spans="1:4" x14ac:dyDescent="0.2">
      <c r="A1144" s="5">
        <v>1083</v>
      </c>
      <c r="B1144" s="138">
        <f>'Expenditures 15-22'!K75</f>
        <v>67448</v>
      </c>
      <c r="C1144" s="2" t="s">
        <v>594</v>
      </c>
      <c r="D1144" s="2" t="str">
        <f t="shared" si="16"/>
        <v>Error?</v>
      </c>
    </row>
    <row r="1145" spans="1:4" x14ac:dyDescent="0.2">
      <c r="A1145" s="5">
        <v>1084</v>
      </c>
      <c r="B1145" s="138">
        <f>'Expenditures 15-22'!K102</f>
        <v>242841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6135854</v>
      </c>
      <c r="C1152" s="2" t="s">
        <v>594</v>
      </c>
      <c r="D1152" s="2" t="str">
        <f t="shared" si="17"/>
        <v>Error?</v>
      </c>
    </row>
    <row r="1153" spans="1:4" x14ac:dyDescent="0.2">
      <c r="A1153" s="5">
        <v>1092</v>
      </c>
      <c r="B1153" s="138">
        <f>'Expenditures 15-22'!K115</f>
        <v>1405171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19204</v>
      </c>
      <c r="D1236" s="2" t="str">
        <f t="shared" si="18"/>
        <v>Error?</v>
      </c>
    </row>
    <row r="1237" spans="1:4" x14ac:dyDescent="0.2">
      <c r="A1237" s="5">
        <v>1176</v>
      </c>
      <c r="B1237" s="138">
        <f>'Expenditures 15-22'!E124</f>
        <v>128330</v>
      </c>
      <c r="D1237" s="2" t="str">
        <f t="shared" si="18"/>
        <v>Error?</v>
      </c>
    </row>
    <row r="1238" spans="1:4" x14ac:dyDescent="0.2">
      <c r="A1238" s="10">
        <v>1177</v>
      </c>
      <c r="D1238" s="2" t="str">
        <f t="shared" si="18"/>
        <v>OK</v>
      </c>
    </row>
    <row r="1239" spans="1:4" x14ac:dyDescent="0.2">
      <c r="A1239" s="5">
        <v>1178</v>
      </c>
      <c r="B1239" s="138">
        <f>'Expenditures 15-22'!E127</f>
        <v>147534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147534</v>
      </c>
      <c r="C1241" s="2" t="s">
        <v>594</v>
      </c>
      <c r="D1241" s="2" t="str">
        <f t="shared" si="18"/>
        <v>Error?</v>
      </c>
    </row>
    <row r="1242" spans="1:4" x14ac:dyDescent="0.2">
      <c r="A1242" s="5">
        <v>1181</v>
      </c>
      <c r="B1242" s="138">
        <f>'Expenditures 15-22'!E151</f>
        <v>147534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189698</v>
      </c>
      <c r="D1245" s="2" t="str">
        <f t="shared" si="18"/>
        <v>Error?</v>
      </c>
    </row>
    <row r="1246" spans="1:4" x14ac:dyDescent="0.2">
      <c r="A1246" s="10">
        <v>1185</v>
      </c>
      <c r="D1246" s="2" t="str">
        <f t="shared" si="18"/>
        <v>OK</v>
      </c>
    </row>
    <row r="1247" spans="1:4" x14ac:dyDescent="0.2">
      <c r="A1247" s="5">
        <v>1186</v>
      </c>
      <c r="B1247" s="138">
        <f>'Expenditures 15-22'!F127</f>
        <v>189698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189698</v>
      </c>
      <c r="C1249" s="2" t="s">
        <v>594</v>
      </c>
      <c r="D1249" s="2" t="str">
        <f t="shared" si="18"/>
        <v>Error?</v>
      </c>
    </row>
    <row r="1250" spans="1:4" x14ac:dyDescent="0.2">
      <c r="A1250" s="5">
        <v>1189</v>
      </c>
      <c r="B1250" s="138">
        <f>'Expenditures 15-22'!F151</f>
        <v>189698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10000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10000</v>
      </c>
      <c r="C1258" s="2" t="s">
        <v>594</v>
      </c>
      <c r="D1258" s="2" t="str">
        <f t="shared" si="18"/>
        <v>Error?</v>
      </c>
    </row>
    <row r="1259" spans="1:4" x14ac:dyDescent="0.2">
      <c r="A1259" s="5">
        <v>1198</v>
      </c>
      <c r="B1259" s="138">
        <f>'Expenditures 15-22'!G151</f>
        <v>10000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6981</v>
      </c>
      <c r="D1262" s="2" t="str">
        <f t="shared" si="18"/>
        <v>Error?</v>
      </c>
    </row>
    <row r="1263" spans="1:4" x14ac:dyDescent="0.2">
      <c r="A1263" s="10">
        <v>1202</v>
      </c>
      <c r="D1263" s="2" t="str">
        <f t="shared" si="18"/>
        <v>OK</v>
      </c>
    </row>
    <row r="1264" spans="1:4" x14ac:dyDescent="0.2">
      <c r="A1264" s="5">
        <v>1203</v>
      </c>
      <c r="B1264" s="138">
        <f>'Expenditures 15-22'!H127</f>
        <v>6981</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6981</v>
      </c>
      <c r="C1266" s="2" t="s">
        <v>594</v>
      </c>
      <c r="D1266" s="2" t="str">
        <f t="shared" si="18"/>
        <v>Error?</v>
      </c>
    </row>
    <row r="1267" spans="1:4" x14ac:dyDescent="0.2">
      <c r="A1267" s="5">
        <v>1206</v>
      </c>
      <c r="B1267" s="138">
        <f>'Expenditures 15-22'!H139</f>
        <v>103</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7084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19204</v>
      </c>
      <c r="C1275" s="2" t="s">
        <v>594</v>
      </c>
      <c r="D1275" s="2" t="str">
        <f t="shared" si="18"/>
        <v>Error?</v>
      </c>
    </row>
    <row r="1276" spans="1:4" x14ac:dyDescent="0.2">
      <c r="A1276" s="5">
        <v>1215</v>
      </c>
      <c r="B1276" s="138">
        <f>'Expenditures 15-22'!K124</f>
        <v>335009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354213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354213</v>
      </c>
      <c r="C1281" s="2" t="s">
        <v>594</v>
      </c>
      <c r="D1281" s="2" t="str">
        <f t="shared" si="19"/>
        <v>Error?</v>
      </c>
    </row>
    <row r="1282" spans="1:4" x14ac:dyDescent="0.2">
      <c r="A1282" s="5">
        <v>1221</v>
      </c>
      <c r="B1282" s="138">
        <f>'Expenditures 15-22'!K139</f>
        <v>103</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354316</v>
      </c>
      <c r="C1288" s="2" t="s">
        <v>594</v>
      </c>
      <c r="D1288" s="2" t="str">
        <f t="shared" si="19"/>
        <v>Error?</v>
      </c>
    </row>
    <row r="1289" spans="1:4" x14ac:dyDescent="0.2">
      <c r="A1289" s="5">
        <v>1228</v>
      </c>
      <c r="B1289" s="138">
        <f>'Expenditures 15-22'!K152</f>
        <v>25092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104703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169113</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274316</v>
      </c>
      <c r="C1317" s="2" t="s">
        <v>594</v>
      </c>
      <c r="D1317" s="2" t="str">
        <f t="shared" si="19"/>
        <v>Error?</v>
      </c>
    </row>
    <row r="1318" spans="1:4" x14ac:dyDescent="0.2">
      <c r="A1318" s="5">
        <v>1257</v>
      </c>
      <c r="B1318" s="138">
        <f>'Expenditures 15-22'!H174</f>
        <v>274316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104703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169113</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274316</v>
      </c>
      <c r="C1331" s="2" t="s">
        <v>594</v>
      </c>
      <c r="D1331" s="2" t="str">
        <f t="shared" si="19"/>
        <v>Error?</v>
      </c>
    </row>
    <row r="1332" spans="1:4" x14ac:dyDescent="0.2">
      <c r="A1332" s="5">
        <v>1271</v>
      </c>
      <c r="B1332" s="138">
        <f>'Expenditures 15-22'!K174</f>
        <v>274316</v>
      </c>
      <c r="C1332" s="2" t="s">
        <v>594</v>
      </c>
      <c r="D1332" s="2" t="str">
        <f t="shared" si="19"/>
        <v>Error?</v>
      </c>
    </row>
    <row r="1333" spans="1:4" x14ac:dyDescent="0.2">
      <c r="A1333" s="5">
        <v>1272</v>
      </c>
      <c r="B1333" s="138">
        <f>'Expenditures 15-22'!K175</f>
        <v>-4392</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562352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562352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562352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562352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562352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562352</v>
      </c>
      <c r="C1388" s="2" t="s">
        <v>594</v>
      </c>
      <c r="D1388" s="2" t="str">
        <f t="shared" si="20"/>
        <v>Error?</v>
      </c>
    </row>
    <row r="1389" spans="1:4" x14ac:dyDescent="0.2">
      <c r="A1389" s="5">
        <v>1328</v>
      </c>
      <c r="B1389" s="138">
        <f>'Expenditures 15-22'!K211</f>
        <v>160904</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918</v>
      </c>
      <c r="D1407" s="2" t="str">
        <f t="shared" ref="D1407:D1470" si="21">IF(ISBLANK(B1407),"OK",IF(A1407-B1407=0,"OK","Error?"))</f>
        <v>Error?</v>
      </c>
    </row>
    <row r="1408" spans="1:4" x14ac:dyDescent="0.2">
      <c r="A1408" s="5">
        <v>1347</v>
      </c>
      <c r="B1408" s="138">
        <f>'Expenditures 15-22'!D223</f>
        <v>7260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52803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8686</v>
      </c>
      <c r="D1412" s="2" t="str">
        <f t="shared" si="21"/>
        <v>Error?</v>
      </c>
    </row>
    <row r="1413" spans="1:4" x14ac:dyDescent="0.2">
      <c r="A1413" s="5">
        <v>1352</v>
      </c>
      <c r="B1413" s="138">
        <f>'Expenditures 15-22'!D234</f>
        <v>813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528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10027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5043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5043</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3718</v>
      </c>
      <c r="D1423" s="2" t="str">
        <f t="shared" si="21"/>
        <v>Error?</v>
      </c>
    </row>
    <row r="1424" spans="1:4" x14ac:dyDescent="0.2">
      <c r="A1424" s="5">
        <v>1363</v>
      </c>
      <c r="B1424" s="138">
        <f>'Expenditures 15-22'!D257</f>
        <v>3718</v>
      </c>
      <c r="C1424" s="2" t="s">
        <v>594</v>
      </c>
      <c r="D1424" s="2" t="str">
        <f t="shared" si="21"/>
        <v>Error?</v>
      </c>
    </row>
    <row r="1425" spans="1:4" x14ac:dyDescent="0.2">
      <c r="A1425" s="5">
        <v>1364</v>
      </c>
      <c r="B1425" s="138">
        <f>'Expenditures 15-22'!D259</f>
        <v>14885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14885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9671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35818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17368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62857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96530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149333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918</v>
      </c>
      <c r="C1471" s="2" t="s">
        <v>594</v>
      </c>
      <c r="D1471" s="2" t="str">
        <f t="shared" ref="D1471:D1534" si="22">IF(ISBLANK(B1471),"OK",IF(A1471-B1471=0,"OK","Error?"))</f>
        <v>Error?</v>
      </c>
    </row>
    <row r="1472" spans="1:4" x14ac:dyDescent="0.2">
      <c r="A1472" s="5">
        <v>1411</v>
      </c>
      <c r="B1472" s="138">
        <f>'Expenditures 15-22'!K223</f>
        <v>7260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52803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8686</v>
      </c>
      <c r="C1476" s="2" t="s">
        <v>594</v>
      </c>
      <c r="D1476" s="2" t="str">
        <f t="shared" si="22"/>
        <v>Error?</v>
      </c>
    </row>
    <row r="1477" spans="1:4" x14ac:dyDescent="0.2">
      <c r="A1477" s="5">
        <v>1416</v>
      </c>
      <c r="B1477" s="138">
        <f>'Expenditures 15-22'!K234</f>
        <v>813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528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10027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5043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5043</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3718</v>
      </c>
      <c r="C1487" s="2" t="s">
        <v>594</v>
      </c>
      <c r="D1487" s="2" t="str">
        <f t="shared" si="22"/>
        <v>Error?</v>
      </c>
    </row>
    <row r="1488" spans="1:4" x14ac:dyDescent="0.2">
      <c r="A1488" s="5">
        <v>1427</v>
      </c>
      <c r="B1488" s="138">
        <f>'Expenditures 15-22'!K257</f>
        <v>3718</v>
      </c>
      <c r="C1488" s="2" t="s">
        <v>594</v>
      </c>
      <c r="D1488" s="2" t="str">
        <f t="shared" si="22"/>
        <v>Error?</v>
      </c>
    </row>
    <row r="1489" spans="1:4" x14ac:dyDescent="0.2">
      <c r="A1489" s="5">
        <v>1428</v>
      </c>
      <c r="B1489" s="138">
        <f>'Expenditures 15-22'!K259</f>
        <v>14885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14885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9671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35818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17368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62857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96530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149333</v>
      </c>
      <c r="C1517" s="2" t="s">
        <v>594</v>
      </c>
      <c r="D1517" s="2" t="str">
        <f t="shared" si="22"/>
        <v>Error?</v>
      </c>
    </row>
    <row r="1518" spans="1:4" x14ac:dyDescent="0.2">
      <c r="A1518" s="5">
        <v>1457</v>
      </c>
      <c r="B1518" s="138">
        <f>'Expenditures 15-22'!K296</f>
        <v>-29601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938320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938320</v>
      </c>
      <c r="C1547" s="2" t="s">
        <v>594</v>
      </c>
      <c r="D1547" s="2" t="str">
        <f t="shared" si="23"/>
        <v>Error?</v>
      </c>
    </row>
    <row r="1548" spans="1:4" x14ac:dyDescent="0.2">
      <c r="A1548" s="5">
        <v>1487</v>
      </c>
      <c r="B1548" s="138">
        <f>'Expenditures 15-22'!G312</f>
        <v>938320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938320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938320</v>
      </c>
      <c r="C1559" s="2" t="s">
        <v>594</v>
      </c>
      <c r="D1559" s="2" t="str">
        <f t="shared" si="23"/>
        <v>Error?</v>
      </c>
    </row>
    <row r="1560" spans="1:4" x14ac:dyDescent="0.2">
      <c r="A1560" s="5">
        <v>1499</v>
      </c>
      <c r="B1560" s="138">
        <f>'Expenditures 15-22'!K312</f>
        <v>938320</v>
      </c>
      <c r="C1560" s="2" t="s">
        <v>594</v>
      </c>
      <c r="D1560" s="2" t="str">
        <f t="shared" si="23"/>
        <v>Error?</v>
      </c>
    </row>
    <row r="1561" spans="1:4" x14ac:dyDescent="0.2">
      <c r="A1561" s="5">
        <v>1500</v>
      </c>
      <c r="B1561" s="138">
        <f>'Expenditures 15-22'!K313</f>
        <v>23192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859018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2252851</v>
      </c>
      <c r="C1630" s="2" t="s">
        <v>594</v>
      </c>
      <c r="D1630" s="2" t="str">
        <f t="shared" si="24"/>
        <v>Error?</v>
      </c>
    </row>
    <row r="1631" spans="1:4" x14ac:dyDescent="0.2">
      <c r="A1631" s="5">
        <v>1570</v>
      </c>
      <c r="B1631" s="138">
        <f>'Acct Summary 7-8'!D79</f>
        <v>244355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269447</v>
      </c>
      <c r="C1644" s="2" t="s">
        <v>594</v>
      </c>
      <c r="D1644" s="2" t="str">
        <f t="shared" si="24"/>
        <v>Error?</v>
      </c>
    </row>
    <row r="1645" spans="1:4" x14ac:dyDescent="0.2">
      <c r="A1645" s="5">
        <v>1584</v>
      </c>
      <c r="B1645" s="138">
        <f>'Acct Summary 7-8'!E79</f>
        <v>182777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189723</v>
      </c>
      <c r="C1658" s="2" t="s">
        <v>594</v>
      </c>
      <c r="D1658" s="2" t="str">
        <f t="shared" si="24"/>
        <v>Error?</v>
      </c>
    </row>
    <row r="1659" spans="1:4" x14ac:dyDescent="0.2">
      <c r="A1659" s="5">
        <v>1598</v>
      </c>
      <c r="B1659" s="138">
        <f>'Acct Summary 7-8'!F79</f>
        <v>9271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170175</v>
      </c>
      <c r="C1672" s="2" t="s">
        <v>594</v>
      </c>
      <c r="D1672" s="2" t="str">
        <f t="shared" si="25"/>
        <v>Error?</v>
      </c>
    </row>
    <row r="1673" spans="1:4" x14ac:dyDescent="0.2">
      <c r="A1673" s="5">
        <v>1612</v>
      </c>
      <c r="B1673" s="138">
        <f>'Acct Summary 7-8'!G79</f>
        <v>139492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109891</v>
      </c>
      <c r="C1686" s="2" t="s">
        <v>594</v>
      </c>
      <c r="D1686" s="2" t="str">
        <f t="shared" si="25"/>
        <v>Error?</v>
      </c>
    </row>
    <row r="1687" spans="1:4" x14ac:dyDescent="0.2">
      <c r="A1687" s="5">
        <v>1626</v>
      </c>
      <c r="B1687" s="138">
        <f>'Acct Summary 7-8'!H79</f>
        <v>-23192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454065</v>
      </c>
      <c r="C1744" s="2" t="s">
        <v>594</v>
      </c>
      <c r="D1744" s="2" t="str">
        <f t="shared" si="26"/>
        <v>Error?</v>
      </c>
    </row>
    <row r="1745" spans="1:5" x14ac:dyDescent="0.2">
      <c r="A1745" s="5">
        <v>1684</v>
      </c>
      <c r="B1745" s="138">
        <f>'Tax Sched 23'!B5</f>
        <v>113518</v>
      </c>
      <c r="C1745" s="2" t="s">
        <v>594</v>
      </c>
      <c r="D1745" s="2" t="str">
        <f t="shared" si="26"/>
        <v>Error?</v>
      </c>
    </row>
    <row r="1746" spans="1:5" x14ac:dyDescent="0.2">
      <c r="A1746" s="5">
        <v>1685</v>
      </c>
      <c r="B1746" s="138">
        <f>'Tax Sched 23'!B6</f>
        <v>175499</v>
      </c>
      <c r="C1746" s="2" t="s">
        <v>594</v>
      </c>
      <c r="D1746" s="2" t="str">
        <f t="shared" si="26"/>
        <v>Error?</v>
      </c>
    </row>
    <row r="1747" spans="1:5" x14ac:dyDescent="0.2">
      <c r="A1747" s="5">
        <v>1686</v>
      </c>
      <c r="B1747" s="138">
        <f>'Tax Sched 23'!B7</f>
        <v>45407</v>
      </c>
      <c r="C1747" s="2" t="s">
        <v>594</v>
      </c>
      <c r="D1747" s="2" t="str">
        <f t="shared" si="26"/>
        <v>Error?</v>
      </c>
    </row>
    <row r="1748" spans="1:5" x14ac:dyDescent="0.2">
      <c r="A1748" s="5">
        <v>1687</v>
      </c>
      <c r="B1748" s="138">
        <f>'Tax Sched 23'!B8</f>
        <v>64778</v>
      </c>
      <c r="C1748" s="2" t="s">
        <v>594</v>
      </c>
      <c r="D1748" s="2" t="str">
        <f t="shared" si="26"/>
        <v>Error?</v>
      </c>
    </row>
    <row r="1749" spans="1:5" x14ac:dyDescent="0.2">
      <c r="A1749" s="5">
        <v>1688</v>
      </c>
      <c r="B1749" s="138">
        <f>'Tax Sched 23'!B10</f>
        <v>11402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59573</v>
      </c>
      <c r="C1752" s="2" t="s">
        <v>594</v>
      </c>
      <c r="D1752" s="2" t="str">
        <f t="shared" si="26"/>
        <v>Error?</v>
      </c>
    </row>
    <row r="1753" spans="1:5" x14ac:dyDescent="0.2">
      <c r="A1753" s="5">
        <v>1692</v>
      </c>
      <c r="B1753" s="138">
        <f>'Tax Sched 23'!B12</f>
        <v>11352</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988013</v>
      </c>
      <c r="C1759" s="2" t="s">
        <v>594</v>
      </c>
      <c r="D1759" s="2" t="str">
        <f t="shared" si="26"/>
        <v>Error?</v>
      </c>
    </row>
    <row r="1760" spans="1:5" x14ac:dyDescent="0.2">
      <c r="A1760" s="5">
        <v>1699</v>
      </c>
      <c r="B1760" s="138">
        <f>'Tax Sched 23'!D4</f>
        <v>454065</v>
      </c>
      <c r="C1760" s="2" t="s">
        <v>594</v>
      </c>
      <c r="D1760" s="2" t="str">
        <f t="shared" si="26"/>
        <v>Error?</v>
      </c>
    </row>
    <row r="1761" spans="1:5" x14ac:dyDescent="0.2">
      <c r="A1761" s="5">
        <v>1700</v>
      </c>
      <c r="B1761" s="138">
        <f>'Tax Sched 23'!D5</f>
        <v>113518</v>
      </c>
      <c r="C1761" s="2" t="s">
        <v>594</v>
      </c>
      <c r="D1761" s="2" t="str">
        <f t="shared" si="26"/>
        <v>Error?</v>
      </c>
    </row>
    <row r="1762" spans="1:5" s="8" customFormat="1" x14ac:dyDescent="0.2">
      <c r="A1762" s="5">
        <v>1701</v>
      </c>
      <c r="B1762" s="138">
        <f>'Tax Sched 23'!D6</f>
        <v>175499</v>
      </c>
      <c r="C1762" s="2" t="s">
        <v>594</v>
      </c>
      <c r="D1762" s="2" t="str">
        <f t="shared" si="26"/>
        <v>Error?</v>
      </c>
      <c r="E1762" s="9"/>
    </row>
    <row r="1763" spans="1:5" x14ac:dyDescent="0.2">
      <c r="A1763" s="5">
        <v>1702</v>
      </c>
      <c r="B1763" s="138">
        <f>'Tax Sched 23'!D7</f>
        <v>45407</v>
      </c>
      <c r="C1763" s="2" t="s">
        <v>594</v>
      </c>
      <c r="D1763" s="2" t="str">
        <f t="shared" si="26"/>
        <v>Error?</v>
      </c>
    </row>
    <row r="1764" spans="1:5" x14ac:dyDescent="0.2">
      <c r="A1764" s="5">
        <v>1703</v>
      </c>
      <c r="B1764" s="138">
        <f>'Tax Sched 23'!D8</f>
        <v>64778</v>
      </c>
      <c r="C1764" s="2" t="s">
        <v>594</v>
      </c>
      <c r="D1764" s="2" t="str">
        <f t="shared" si="26"/>
        <v>Error?</v>
      </c>
    </row>
    <row r="1765" spans="1:5" x14ac:dyDescent="0.2">
      <c r="A1765" s="5">
        <v>1704</v>
      </c>
      <c r="B1765" s="138">
        <f>'Tax Sched 23'!D10</f>
        <v>11402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59573</v>
      </c>
      <c r="C1768" s="2" t="s">
        <v>594</v>
      </c>
      <c r="D1768" s="2" t="str">
        <f t="shared" si="26"/>
        <v>Error?</v>
      </c>
    </row>
    <row r="1769" spans="1:5" x14ac:dyDescent="0.2">
      <c r="A1769" s="5">
        <v>1708</v>
      </c>
      <c r="B1769" s="138">
        <f>'Tax Sched 23'!D12</f>
        <v>11352</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988013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480569</v>
      </c>
      <c r="C1792" s="2" t="s">
        <v>594</v>
      </c>
      <c r="D1792" s="2" t="str">
        <f t="shared" si="27"/>
        <v>Error?</v>
      </c>
    </row>
    <row r="1793" spans="1:4" x14ac:dyDescent="0.2">
      <c r="A1793" s="5">
        <v>1732</v>
      </c>
      <c r="B1793" s="138">
        <f>'Tax Sched 23'!F5</f>
        <v>120144</v>
      </c>
      <c r="C1793" s="2" t="s">
        <v>594</v>
      </c>
      <c r="D1793" s="2" t="str">
        <f t="shared" si="27"/>
        <v>Error?</v>
      </c>
    </row>
    <row r="1794" spans="1:4" x14ac:dyDescent="0.2">
      <c r="A1794" s="5">
        <v>1733</v>
      </c>
      <c r="B1794" s="138">
        <f>'Tax Sched 23'!F6</f>
        <v>184352</v>
      </c>
      <c r="C1794" s="2" t="s">
        <v>594</v>
      </c>
      <c r="D1794" s="2" t="str">
        <f t="shared" si="27"/>
        <v>Error?</v>
      </c>
    </row>
    <row r="1795" spans="1:4" x14ac:dyDescent="0.2">
      <c r="A1795" s="5">
        <v>1734</v>
      </c>
      <c r="B1795" s="138">
        <f>'Tax Sched 23'!F7</f>
        <v>48059</v>
      </c>
      <c r="C1795" s="2" t="s">
        <v>594</v>
      </c>
      <c r="D1795" s="2" t="str">
        <f t="shared" si="27"/>
        <v>Error?</v>
      </c>
    </row>
    <row r="1796" spans="1:4" x14ac:dyDescent="0.2">
      <c r="A1796" s="5">
        <v>1735</v>
      </c>
      <c r="B1796" s="138">
        <f>'Tax Sched 23'!F8</f>
        <v>100206</v>
      </c>
      <c r="C1796" s="2" t="s">
        <v>594</v>
      </c>
      <c r="D1796" s="2" t="str">
        <f t="shared" si="27"/>
        <v>Error?</v>
      </c>
    </row>
    <row r="1797" spans="1:4" x14ac:dyDescent="0.2">
      <c r="A1797" s="5">
        <v>1736</v>
      </c>
      <c r="B1797" s="138">
        <f>'Tax Sched 23'!F10</f>
        <v>12017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22045</v>
      </c>
      <c r="C1800" s="2" t="s">
        <v>594</v>
      </c>
      <c r="D1800" s="2" t="str">
        <f t="shared" si="27"/>
        <v>Error?</v>
      </c>
    </row>
    <row r="1801" spans="1:4" x14ac:dyDescent="0.2">
      <c r="A1801" s="5">
        <v>1740</v>
      </c>
      <c r="B1801" s="138">
        <f>'Tax Sched 23'!F12</f>
        <v>3610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1061182</v>
      </c>
      <c r="C1807" s="2" t="s">
        <v>594</v>
      </c>
      <c r="D1807" s="2" t="str">
        <f t="shared" si="27"/>
        <v>Error?</v>
      </c>
    </row>
    <row r="1808" spans="1:4" x14ac:dyDescent="0.2">
      <c r="A1808" s="5">
        <v>1747</v>
      </c>
      <c r="B1808" s="138">
        <f>'Tax Sched 23'!E4</f>
        <v>480569</v>
      </c>
      <c r="D1808" s="2" t="str">
        <f t="shared" si="27"/>
        <v>Error?</v>
      </c>
    </row>
    <row r="1809" spans="1:4" x14ac:dyDescent="0.2">
      <c r="A1809" s="5">
        <v>1748</v>
      </c>
      <c r="B1809" s="138">
        <f>'Tax Sched 23'!E5</f>
        <v>120144</v>
      </c>
      <c r="D1809" s="2" t="str">
        <f t="shared" si="27"/>
        <v>Error?</v>
      </c>
    </row>
    <row r="1810" spans="1:4" x14ac:dyDescent="0.2">
      <c r="A1810" s="5">
        <v>1749</v>
      </c>
      <c r="B1810" s="138">
        <f>'Tax Sched 23'!E6</f>
        <v>184352</v>
      </c>
      <c r="D1810" s="2" t="str">
        <f t="shared" si="27"/>
        <v>Error?</v>
      </c>
    </row>
    <row r="1811" spans="1:4" x14ac:dyDescent="0.2">
      <c r="A1811" s="5">
        <v>1750</v>
      </c>
      <c r="B1811" s="138">
        <f>'Tax Sched 23'!E7</f>
        <v>48059</v>
      </c>
      <c r="D1811" s="2" t="str">
        <f t="shared" si="27"/>
        <v>Error?</v>
      </c>
    </row>
    <row r="1812" spans="1:4" x14ac:dyDescent="0.2">
      <c r="A1812" s="5">
        <v>1751</v>
      </c>
      <c r="B1812" s="138">
        <f>'Tax Sched 23'!E8</f>
        <v>100206</v>
      </c>
      <c r="D1812" s="2" t="str">
        <f t="shared" si="27"/>
        <v>Error?</v>
      </c>
    </row>
    <row r="1813" spans="1:4" x14ac:dyDescent="0.2">
      <c r="A1813" s="5">
        <v>1752</v>
      </c>
      <c r="B1813" s="138">
        <f>'Tax Sched 23'!E10</f>
        <v>12017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22045</v>
      </c>
      <c r="D1816" s="2" t="str">
        <f t="shared" si="27"/>
        <v>Error?</v>
      </c>
    </row>
    <row r="1817" spans="1:4" x14ac:dyDescent="0.2">
      <c r="A1817" s="5">
        <v>1756</v>
      </c>
      <c r="B1817" s="138">
        <f>'Tax Sched 23'!E12</f>
        <v>3610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1061182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2553885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57109</v>
      </c>
      <c r="D2008" s="2" t="str">
        <f t="shared" si="30"/>
        <v>Error?</v>
      </c>
    </row>
    <row r="2009" spans="1:4" x14ac:dyDescent="0.2">
      <c r="A2009" s="5">
        <v>1948</v>
      </c>
      <c r="B2009" s="138">
        <f>'Cap Outlay Deprec 26'!C8</f>
        <v>4599342</v>
      </c>
      <c r="D2009" s="2" t="str">
        <f t="shared" si="30"/>
        <v>Error?</v>
      </c>
    </row>
    <row r="2010" spans="1:4" x14ac:dyDescent="0.2">
      <c r="A2010" s="5">
        <v>1949</v>
      </c>
      <c r="B2010" s="138">
        <f>'Cap Outlay Deprec 26'!C10</f>
        <v>1147950</v>
      </c>
      <c r="D2010" s="2" t="str">
        <f t="shared" si="30"/>
        <v>Error?</v>
      </c>
    </row>
    <row r="2011" spans="1:4" x14ac:dyDescent="0.2">
      <c r="A2011" s="5">
        <v>1950</v>
      </c>
      <c r="B2011" s="138">
        <f>'Cap Outlay Deprec 26'!C12</f>
        <v>2993644</v>
      </c>
      <c r="D2011" s="2" t="str">
        <f t="shared" si="30"/>
        <v>Error?</v>
      </c>
    </row>
    <row r="2012" spans="1:4" x14ac:dyDescent="0.2">
      <c r="A2012" s="5">
        <v>1951</v>
      </c>
      <c r="B2012" s="138">
        <f>'Cap Outlay Deprec 26'!C13</f>
        <v>715832</v>
      </c>
      <c r="D2012" s="2" t="str">
        <f t="shared" si="30"/>
        <v>Error?</v>
      </c>
    </row>
    <row r="2013" spans="1:4" x14ac:dyDescent="0.2">
      <c r="A2013" s="5">
        <v>1952</v>
      </c>
      <c r="B2013" s="138">
        <f>'Cap Outlay Deprec 26'!C16</f>
        <v>16292673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8147679</v>
      </c>
      <c r="D2015" s="2" t="str">
        <f t="shared" si="30"/>
        <v>Error?</v>
      </c>
    </row>
    <row r="2016" spans="1:4" x14ac:dyDescent="0.2">
      <c r="A2016" s="5">
        <v>1955</v>
      </c>
      <c r="B2016" s="138">
        <f>'Cap Outlay Deprec 26'!D10</f>
        <v>30617</v>
      </c>
      <c r="D2016" s="2" t="str">
        <f t="shared" si="30"/>
        <v>Error?</v>
      </c>
    </row>
    <row r="2017" spans="1:4" x14ac:dyDescent="0.2">
      <c r="A2017" s="5">
        <v>1956</v>
      </c>
      <c r="B2017" s="138">
        <f>'Cap Outlay Deprec 26'!D12</f>
        <v>38842</v>
      </c>
      <c r="D2017" s="2" t="str">
        <f t="shared" si="30"/>
        <v>Error?</v>
      </c>
    </row>
    <row r="2018" spans="1:4" x14ac:dyDescent="0.2">
      <c r="A2018" s="5">
        <v>1957</v>
      </c>
      <c r="B2018" s="138">
        <f>'Cap Outlay Deprec 26'!D13</f>
        <v>21108</v>
      </c>
      <c r="D2018" s="2" t="str">
        <f t="shared" si="30"/>
        <v>Error?</v>
      </c>
    </row>
    <row r="2019" spans="1:4" x14ac:dyDescent="0.2">
      <c r="A2019" s="5">
        <v>1958</v>
      </c>
      <c r="B2019" s="138">
        <f>'Cap Outlay Deprec 26'!D16</f>
        <v>9567129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8107679</v>
      </c>
      <c r="C2025" s="2" t="s">
        <v>594</v>
      </c>
      <c r="D2025" s="2" t="str">
        <f t="shared" si="30"/>
        <v>Error?</v>
      </c>
    </row>
    <row r="2026" spans="1:4" x14ac:dyDescent="0.2">
      <c r="A2026" s="5">
        <v>1965</v>
      </c>
      <c r="B2026" s="138">
        <f>'Cap Outlay Deprec 26'!F5</f>
        <v>57109</v>
      </c>
      <c r="C2026" s="2" t="s">
        <v>594</v>
      </c>
      <c r="D2026" s="2" t="str">
        <f t="shared" si="30"/>
        <v>Error?</v>
      </c>
    </row>
    <row r="2027" spans="1:4" x14ac:dyDescent="0.2">
      <c r="A2027" s="5">
        <v>1966</v>
      </c>
      <c r="B2027" s="138">
        <f>'Cap Outlay Deprec 26'!F8</f>
        <v>12747021</v>
      </c>
      <c r="C2027" s="2" t="s">
        <v>594</v>
      </c>
      <c r="D2027" s="2" t="str">
        <f t="shared" si="30"/>
        <v>Error?</v>
      </c>
    </row>
    <row r="2028" spans="1:4" x14ac:dyDescent="0.2">
      <c r="A2028" s="5">
        <v>1967</v>
      </c>
      <c r="B2028" s="138">
        <f>'Cap Outlay Deprec 26'!F10</f>
        <v>1178567</v>
      </c>
      <c r="C2028" s="2" t="s">
        <v>594</v>
      </c>
      <c r="D2028" s="2" t="str">
        <f t="shared" si="30"/>
        <v>Error?</v>
      </c>
    </row>
    <row r="2029" spans="1:4" x14ac:dyDescent="0.2">
      <c r="A2029" s="5">
        <v>1968</v>
      </c>
      <c r="B2029" s="138">
        <f>'Cap Outlay Deprec 26'!F12</f>
        <v>3032486</v>
      </c>
      <c r="C2029" s="2" t="s">
        <v>594</v>
      </c>
      <c r="D2029" s="2" t="str">
        <f t="shared" si="30"/>
        <v>Error?</v>
      </c>
    </row>
    <row r="2030" spans="1:4" x14ac:dyDescent="0.2">
      <c r="A2030" s="5">
        <v>1969</v>
      </c>
      <c r="B2030" s="138">
        <f>'Cap Outlay Deprec 26'!F13</f>
        <v>736940</v>
      </c>
      <c r="C2030" s="2" t="s">
        <v>594</v>
      </c>
      <c r="D2030" s="2" t="str">
        <f t="shared" si="30"/>
        <v>Error?</v>
      </c>
    </row>
    <row r="2031" spans="1:4" x14ac:dyDescent="0.2">
      <c r="A2031" s="5">
        <v>1970</v>
      </c>
      <c r="B2031" s="138">
        <f>'Cap Outlay Deprec 26'!F16</f>
        <v>17752123</v>
      </c>
      <c r="C2031" s="2" t="s">
        <v>594</v>
      </c>
      <c r="D2031" s="2" t="str">
        <f t="shared" si="30"/>
        <v>Error?</v>
      </c>
    </row>
    <row r="2032" spans="1:4" x14ac:dyDescent="0.2">
      <c r="A2032" s="10">
        <v>1971</v>
      </c>
      <c r="D2032" s="2" t="str">
        <f t="shared" si="30"/>
        <v>OK</v>
      </c>
    </row>
    <row r="2033" spans="1:4" x14ac:dyDescent="0.2">
      <c r="A2033" s="5">
        <v>1972</v>
      </c>
      <c r="B2033" s="138">
        <f>'Cap Outlay Deprec 26'!H8</f>
        <v>2691704</v>
      </c>
      <c r="D2033" s="2" t="str">
        <f t="shared" si="30"/>
        <v>Error?</v>
      </c>
    </row>
    <row r="2034" spans="1:4" x14ac:dyDescent="0.2">
      <c r="A2034" s="5">
        <v>1973</v>
      </c>
      <c r="B2034" s="138">
        <f>'Cap Outlay Deprec 26'!H10</f>
        <v>373141</v>
      </c>
      <c r="D2034" s="2" t="str">
        <f t="shared" si="30"/>
        <v>Error?</v>
      </c>
    </row>
    <row r="2035" spans="1:4" x14ac:dyDescent="0.2">
      <c r="A2035" s="5">
        <v>1974</v>
      </c>
      <c r="B2035" s="138">
        <f>'Cap Outlay Deprec 26'!H12</f>
        <v>2764405</v>
      </c>
      <c r="D2035" s="2" t="str">
        <f t="shared" si="30"/>
        <v>Error?</v>
      </c>
    </row>
    <row r="2036" spans="1:4" x14ac:dyDescent="0.2">
      <c r="A2036" s="5">
        <v>1975</v>
      </c>
      <c r="B2036" s="138">
        <f>'Cap Outlay Deprec 26'!H13</f>
        <v>576579</v>
      </c>
      <c r="D2036" s="2" t="str">
        <f t="shared" si="30"/>
        <v>Error?</v>
      </c>
    </row>
    <row r="2037" spans="1:4" x14ac:dyDescent="0.2">
      <c r="A2037" s="5">
        <v>1976</v>
      </c>
      <c r="B2037" s="138">
        <f>'Cap Outlay Deprec 26'!H16</f>
        <v>6405829</v>
      </c>
      <c r="C2037" s="2" t="s">
        <v>594</v>
      </c>
      <c r="D2037" s="2" t="str">
        <f t="shared" si="30"/>
        <v>Error?</v>
      </c>
    </row>
    <row r="2038" spans="1:4" x14ac:dyDescent="0.2">
      <c r="A2038" s="10">
        <v>1977</v>
      </c>
      <c r="D2038" s="2" t="str">
        <f t="shared" si="30"/>
        <v>OK</v>
      </c>
    </row>
    <row r="2039" spans="1:4" x14ac:dyDescent="0.2">
      <c r="A2039" s="5">
        <v>1978</v>
      </c>
      <c r="B2039" s="138">
        <f>'Cap Outlay Deprec 26'!I8</f>
        <v>242010</v>
      </c>
      <c r="D2039" s="2" t="str">
        <f t="shared" si="30"/>
        <v>Error?</v>
      </c>
    </row>
    <row r="2040" spans="1:4" x14ac:dyDescent="0.2">
      <c r="A2040" s="5">
        <v>1979</v>
      </c>
      <c r="B2040" s="138">
        <f>'Cap Outlay Deprec 26'!I10</f>
        <v>57405</v>
      </c>
      <c r="D2040" s="2" t="str">
        <f t="shared" si="30"/>
        <v>Error?</v>
      </c>
    </row>
    <row r="2041" spans="1:4" x14ac:dyDescent="0.2">
      <c r="A2041" s="5">
        <v>1980</v>
      </c>
      <c r="B2041" s="138">
        <f>'Cap Outlay Deprec 26'!I12</f>
        <v>39530</v>
      </c>
      <c r="D2041" s="2" t="str">
        <f t="shared" si="30"/>
        <v>Error?</v>
      </c>
    </row>
    <row r="2042" spans="1:4" x14ac:dyDescent="0.2">
      <c r="A2042" s="5">
        <v>1981</v>
      </c>
      <c r="B2042" s="138">
        <f>'Cap Outlay Deprec 26'!I13</f>
        <v>41526</v>
      </c>
      <c r="D2042" s="2" t="str">
        <f t="shared" si="30"/>
        <v>Error?</v>
      </c>
    </row>
    <row r="2043" spans="1:4" x14ac:dyDescent="0.2">
      <c r="A2043" s="5">
        <v>1982</v>
      </c>
      <c r="B2043" s="138">
        <f>'Cap Outlay Deprec 26'!I16</f>
        <v>380471</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2933714</v>
      </c>
      <c r="C2051" s="2" t="s">
        <v>594</v>
      </c>
      <c r="D2051" s="2" t="str">
        <f t="shared" si="31"/>
        <v>Error?</v>
      </c>
    </row>
    <row r="2052" spans="1:4" x14ac:dyDescent="0.2">
      <c r="A2052" s="5">
        <v>1991</v>
      </c>
      <c r="B2052" s="138">
        <f>'Cap Outlay Deprec 26'!K10</f>
        <v>430546</v>
      </c>
      <c r="C2052" s="2" t="s">
        <v>594</v>
      </c>
      <c r="D2052" s="2" t="str">
        <f t="shared" si="31"/>
        <v>Error?</v>
      </c>
    </row>
    <row r="2053" spans="1:4" x14ac:dyDescent="0.2">
      <c r="A2053" s="5">
        <v>1992</v>
      </c>
      <c r="B2053" s="138">
        <f>'Cap Outlay Deprec 26'!K12</f>
        <v>2803935</v>
      </c>
      <c r="C2053" s="2" t="s">
        <v>594</v>
      </c>
      <c r="D2053" s="2" t="str">
        <f t="shared" si="31"/>
        <v>Error?</v>
      </c>
    </row>
    <row r="2054" spans="1:4" x14ac:dyDescent="0.2">
      <c r="A2054" s="5">
        <v>1993</v>
      </c>
      <c r="B2054" s="138">
        <f>'Cap Outlay Deprec 26'!K13</f>
        <v>618105</v>
      </c>
      <c r="C2054" s="2" t="s">
        <v>594</v>
      </c>
      <c r="D2054" s="2" t="str">
        <f t="shared" si="31"/>
        <v>Error?</v>
      </c>
    </row>
    <row r="2055" spans="1:4" x14ac:dyDescent="0.2">
      <c r="A2055" s="5">
        <v>1994</v>
      </c>
      <c r="B2055" s="138">
        <f>'Cap Outlay Deprec 26'!K16</f>
        <v>6786300</v>
      </c>
      <c r="C2055" s="2" t="s">
        <v>594</v>
      </c>
      <c r="D2055" s="2" t="str">
        <f t="shared" si="31"/>
        <v>Error?</v>
      </c>
    </row>
    <row r="2056" spans="1:4" x14ac:dyDescent="0.2">
      <c r="A2056" s="5">
        <v>1995</v>
      </c>
      <c r="B2056" s="138">
        <f>'Cap Outlay Deprec 26'!L5</f>
        <v>57109</v>
      </c>
      <c r="C2056" s="2" t="s">
        <v>594</v>
      </c>
      <c r="D2056" s="2" t="str">
        <f t="shared" si="31"/>
        <v>Error?</v>
      </c>
    </row>
    <row r="2057" spans="1:4" x14ac:dyDescent="0.2">
      <c r="A2057" s="5">
        <v>1996</v>
      </c>
      <c r="B2057" s="138">
        <f>'Cap Outlay Deprec 26'!L8</f>
        <v>9813307</v>
      </c>
      <c r="C2057" s="2" t="s">
        <v>594</v>
      </c>
      <c r="D2057" s="2" t="str">
        <f t="shared" si="31"/>
        <v>Error?</v>
      </c>
    </row>
    <row r="2058" spans="1:4" x14ac:dyDescent="0.2">
      <c r="A2058" s="5">
        <v>1997</v>
      </c>
      <c r="B2058" s="138">
        <f>'Cap Outlay Deprec 26'!L10</f>
        <v>748021</v>
      </c>
      <c r="C2058" s="2" t="s">
        <v>594</v>
      </c>
      <c r="D2058" s="2" t="str">
        <f t="shared" si="31"/>
        <v>Error?</v>
      </c>
    </row>
    <row r="2059" spans="1:4" x14ac:dyDescent="0.2">
      <c r="A2059" s="5">
        <v>1998</v>
      </c>
      <c r="B2059" s="138">
        <f>'Cap Outlay Deprec 26'!L12</f>
        <v>228551</v>
      </c>
      <c r="C2059" s="2" t="s">
        <v>594</v>
      </c>
      <c r="D2059" s="2" t="str">
        <f t="shared" si="31"/>
        <v>Error?</v>
      </c>
    </row>
    <row r="2060" spans="1:4" x14ac:dyDescent="0.2">
      <c r="A2060" s="5">
        <v>1999</v>
      </c>
      <c r="B2060" s="138">
        <f>'Cap Outlay Deprec 26'!L13</f>
        <v>118835</v>
      </c>
      <c r="C2060" s="2" t="s">
        <v>594</v>
      </c>
      <c r="D2060" s="2" t="str">
        <f t="shared" si="31"/>
        <v>Error?</v>
      </c>
    </row>
    <row r="2061" spans="1:4" x14ac:dyDescent="0.2">
      <c r="A2061" s="5">
        <v>2000</v>
      </c>
      <c r="B2061" s="138">
        <f>'Cap Outlay Deprec 26'!L16</f>
        <v>10965823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183107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242841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103</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103</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109891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189723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668063</v>
      </c>
      <c r="C2551" s="2" t="s">
        <v>594</v>
      </c>
      <c r="D2551" s="2" t="str">
        <f t="shared" si="38"/>
        <v>Error?</v>
      </c>
    </row>
    <row r="2552" spans="1:4" x14ac:dyDescent="0.2">
      <c r="A2552" s="10">
        <v>2491</v>
      </c>
      <c r="D2552" s="2" t="str">
        <f t="shared" si="38"/>
        <v>OK</v>
      </c>
    </row>
    <row r="2553" spans="1:4" x14ac:dyDescent="0.2">
      <c r="A2553" s="5">
        <v>2492</v>
      </c>
      <c r="B2553" s="138">
        <f>'Acct Summary 7-8'!C6</f>
        <v>3747933</v>
      </c>
      <c r="C2553" s="2" t="s">
        <v>594</v>
      </c>
      <c r="D2553" s="2" t="str">
        <f t="shared" si="38"/>
        <v>Error?</v>
      </c>
    </row>
    <row r="2554" spans="1:4" x14ac:dyDescent="0.2">
      <c r="A2554" s="5">
        <v>2493</v>
      </c>
      <c r="B2554" s="138">
        <f>'Acct Summary 7-8'!C7</f>
        <v>3070232</v>
      </c>
      <c r="C2554" s="2" t="s">
        <v>594</v>
      </c>
      <c r="D2554" s="2" t="str">
        <f t="shared" si="38"/>
        <v>Error?</v>
      </c>
    </row>
    <row r="2555" spans="1:4" x14ac:dyDescent="0.2">
      <c r="A2555" s="5">
        <v>2494</v>
      </c>
      <c r="B2555" s="138">
        <f>'Acct Summary 7-8'!C8</f>
        <v>7541025</v>
      </c>
      <c r="C2555" s="2" t="s">
        <v>594</v>
      </c>
      <c r="D2555" s="2" t="str">
        <f t="shared" si="38"/>
        <v>Error?</v>
      </c>
    </row>
    <row r="2556" spans="1:4" x14ac:dyDescent="0.2">
      <c r="A2556" s="5">
        <v>2495</v>
      </c>
      <c r="B2556" s="138">
        <f>'Acct Summary 7-8'!C12</f>
        <v>3288599</v>
      </c>
      <c r="C2556" s="2" t="s">
        <v>594</v>
      </c>
      <c r="D2556" s="2" t="str">
        <f t="shared" si="38"/>
        <v>Error?</v>
      </c>
    </row>
    <row r="2557" spans="1:4" x14ac:dyDescent="0.2">
      <c r="A2557" s="5">
        <v>2496</v>
      </c>
      <c r="B2557" s="138">
        <f>'Acct Summary 7-8'!C13</f>
        <v>2536966</v>
      </c>
      <c r="C2557" s="2" t="s">
        <v>594</v>
      </c>
      <c r="D2557" s="2" t="str">
        <f t="shared" si="38"/>
        <v>Error?</v>
      </c>
    </row>
    <row r="2558" spans="1:4" x14ac:dyDescent="0.2">
      <c r="A2558" s="5">
        <v>2497</v>
      </c>
      <c r="B2558" s="138">
        <f>'Acct Summary 7-8'!C14</f>
        <v>67448</v>
      </c>
      <c r="C2558" s="2" t="s">
        <v>594</v>
      </c>
      <c r="D2558" s="2" t="str">
        <f t="shared" si="38"/>
        <v>Error?</v>
      </c>
    </row>
    <row r="2559" spans="1:4" x14ac:dyDescent="0.2">
      <c r="A2559" s="5">
        <v>2498</v>
      </c>
      <c r="B2559" s="138">
        <f>'Acct Summary 7-8'!C15</f>
        <v>242841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6135854</v>
      </c>
      <c r="C2561" s="2" t="s">
        <v>594</v>
      </c>
      <c r="D2561" s="2" t="str">
        <f t="shared" si="39"/>
        <v>Error?</v>
      </c>
    </row>
    <row r="2562" spans="1:4" x14ac:dyDescent="0.2">
      <c r="A2562" s="5">
        <v>2501</v>
      </c>
      <c r="B2562" s="138">
        <f>'Acct Summary 7-8'!C20</f>
        <v>1405171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113518</v>
      </c>
      <c r="C2564" s="2" t="s">
        <v>594</v>
      </c>
      <c r="D2564" s="2" t="str">
        <f t="shared" si="39"/>
        <v>Error?</v>
      </c>
    </row>
    <row r="2565" spans="1:4" x14ac:dyDescent="0.2">
      <c r="A2565" s="10">
        <v>2504</v>
      </c>
      <c r="D2565" s="2" t="str">
        <f t="shared" si="39"/>
        <v>OK</v>
      </c>
    </row>
    <row r="2566" spans="1:4" x14ac:dyDescent="0.2">
      <c r="A2566" s="5">
        <v>2505</v>
      </c>
      <c r="B2566" s="138">
        <f>'Acct Summary 7-8'!D6</f>
        <v>265890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379408</v>
      </c>
      <c r="C2568" s="2" t="s">
        <v>594</v>
      </c>
      <c r="D2568" s="2" t="str">
        <f t="shared" si="39"/>
        <v>Error?</v>
      </c>
    </row>
    <row r="2569" spans="1:4" x14ac:dyDescent="0.2">
      <c r="A2569" s="5">
        <v>2508</v>
      </c>
      <c r="B2569" s="138">
        <f>'Acct Summary 7-8'!D13</f>
        <v>354213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103</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354316</v>
      </c>
      <c r="C2573" s="2" t="s">
        <v>594</v>
      </c>
      <c r="D2573" s="2" t="str">
        <f t="shared" si="39"/>
        <v>Error?</v>
      </c>
    </row>
    <row r="2574" spans="1:4" x14ac:dyDescent="0.2">
      <c r="A2574" s="5">
        <v>2513</v>
      </c>
      <c r="B2574" s="138">
        <f>'Acct Summary 7-8'!D20</f>
        <v>25092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45407</v>
      </c>
      <c r="C2591" s="2" t="s">
        <v>594</v>
      </c>
      <c r="D2591" s="2" t="str">
        <f t="shared" si="39"/>
        <v>Error?</v>
      </c>
    </row>
    <row r="2592" spans="1:4" x14ac:dyDescent="0.2">
      <c r="A2592" s="10">
        <v>2531</v>
      </c>
      <c r="D2592" s="2" t="str">
        <f t="shared" si="39"/>
        <v>OK</v>
      </c>
    </row>
    <row r="2593" spans="1:4" x14ac:dyDescent="0.2">
      <c r="A2593" s="5">
        <v>2532</v>
      </c>
      <c r="B2593" s="138">
        <f>'Acct Summary 7-8'!F6</f>
        <v>677849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723256</v>
      </c>
      <c r="C2595" s="2" t="s">
        <v>594</v>
      </c>
      <c r="D2595" s="2" t="str">
        <f t="shared" si="39"/>
        <v>Error?</v>
      </c>
    </row>
    <row r="2596" spans="1:4" x14ac:dyDescent="0.2">
      <c r="A2596" s="5">
        <v>2535</v>
      </c>
      <c r="B2596" s="138">
        <f>'Acct Summary 7-8'!F13</f>
        <v>562352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562352</v>
      </c>
      <c r="C2600" s="2" t="s">
        <v>594</v>
      </c>
      <c r="D2600" s="2" t="str">
        <f t="shared" si="39"/>
        <v>Error?</v>
      </c>
    </row>
    <row r="2601" spans="1:4" x14ac:dyDescent="0.2">
      <c r="A2601" s="5">
        <v>2540</v>
      </c>
      <c r="B2601" s="138">
        <f>'Acct Summary 7-8'!F20</f>
        <v>160904</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119732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119732</v>
      </c>
      <c r="C2606" s="2" t="s">
        <v>594</v>
      </c>
      <c r="D2606" s="2" t="str">
        <f t="shared" si="39"/>
        <v>Error?</v>
      </c>
    </row>
    <row r="2607" spans="1:4" x14ac:dyDescent="0.2">
      <c r="A2607" s="5">
        <v>2546</v>
      </c>
      <c r="B2607" s="138">
        <f>'Acct Summary 7-8'!G12</f>
        <v>52803</v>
      </c>
      <c r="C2607" s="2" t="s">
        <v>594</v>
      </c>
      <c r="D2607" s="2" t="str">
        <f t="shared" si="39"/>
        <v>Error?</v>
      </c>
    </row>
    <row r="2608" spans="1:4" x14ac:dyDescent="0.2">
      <c r="A2608" s="5">
        <v>2547</v>
      </c>
      <c r="B2608" s="138">
        <f>'Acct Summary 7-8'!G13</f>
        <v>96530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149333</v>
      </c>
      <c r="C2612" s="2" t="s">
        <v>594</v>
      </c>
      <c r="D2612" s="2" t="str">
        <f t="shared" si="39"/>
        <v>Error?</v>
      </c>
    </row>
    <row r="2613" spans="1:4" x14ac:dyDescent="0.2">
      <c r="A2613" s="5">
        <v>2552</v>
      </c>
      <c r="B2613" s="138">
        <f>'Acct Summary 7-8'!G20</f>
        <v>-29601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189924</v>
      </c>
      <c r="C2630" s="2" t="s">
        <v>594</v>
      </c>
      <c r="D2630" s="2" t="str">
        <f t="shared" si="40"/>
        <v>Error?</v>
      </c>
    </row>
    <row r="2631" spans="1:4" x14ac:dyDescent="0.2">
      <c r="A2631" s="5">
        <v>2570</v>
      </c>
      <c r="B2631" s="138">
        <f>'Acct Summary 7-8'!E6</f>
        <v>80000</v>
      </c>
      <c r="C2631" s="2" t="s">
        <v>594</v>
      </c>
      <c r="D2631" s="2" t="str">
        <f t="shared" si="40"/>
        <v>Error?</v>
      </c>
    </row>
    <row r="2632" spans="1:4" x14ac:dyDescent="0.2">
      <c r="A2632" s="5">
        <v>2571</v>
      </c>
      <c r="B2632" s="138">
        <f>'Acct Summary 7-8'!E8</f>
        <v>269924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274316</v>
      </c>
      <c r="C2634" s="2" t="s">
        <v>594</v>
      </c>
      <c r="D2634" s="2" t="str">
        <f t="shared" si="40"/>
        <v>Error?</v>
      </c>
    </row>
    <row r="2635" spans="1:4" x14ac:dyDescent="0.2">
      <c r="A2635" s="5">
        <v>2574</v>
      </c>
      <c r="B2635" s="138">
        <f>'Acct Summary 7-8'!E17</f>
        <v>274316</v>
      </c>
      <c r="C2635" s="2" t="s">
        <v>594</v>
      </c>
      <c r="D2635" s="2" t="str">
        <f t="shared" si="40"/>
        <v>Error?</v>
      </c>
    </row>
    <row r="2636" spans="1:4" x14ac:dyDescent="0.2">
      <c r="A2636" s="5">
        <v>2575</v>
      </c>
      <c r="B2636" s="138">
        <f>'Acct Summary 7-8'!E20</f>
        <v>-4392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718</v>
      </c>
      <c r="C2655" s="2" t="s">
        <v>594</v>
      </c>
      <c r="D2655" s="2" t="str">
        <f t="shared" si="40"/>
        <v>Error?</v>
      </c>
    </row>
    <row r="2656" spans="1:4" x14ac:dyDescent="0.2">
      <c r="A2656" s="5">
        <v>2595</v>
      </c>
      <c r="B2656" s="138">
        <f>'Acct Summary 7-8'!H6</f>
        <v>960794</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961512</v>
      </c>
      <c r="C2658" s="2" t="s">
        <v>594</v>
      </c>
      <c r="D2658" s="2" t="str">
        <f t="shared" si="40"/>
        <v>Error?</v>
      </c>
    </row>
    <row r="2659" spans="1:4" x14ac:dyDescent="0.2">
      <c r="A2659" s="5">
        <v>2598</v>
      </c>
      <c r="B2659" s="138">
        <f>'Acct Summary 7-8'!H13</f>
        <v>938320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938320</v>
      </c>
      <c r="C2661" s="2" t="s">
        <v>594</v>
      </c>
      <c r="D2661" s="2" t="str">
        <f t="shared" si="40"/>
        <v>Error?</v>
      </c>
    </row>
    <row r="2662" spans="1:4" x14ac:dyDescent="0.2">
      <c r="A2662" s="5">
        <v>2601</v>
      </c>
      <c r="B2662" s="138">
        <f>'Acct Summary 7-8'!H20</f>
        <v>23192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59734</v>
      </c>
      <c r="C2789" s="2" t="s">
        <v>594</v>
      </c>
      <c r="D2789" s="2" t="str">
        <f t="shared" si="42"/>
        <v>Error?</v>
      </c>
    </row>
    <row r="2790" spans="1:4" x14ac:dyDescent="0.2">
      <c r="A2790" s="5">
        <v>2729</v>
      </c>
      <c r="B2790" s="138">
        <f>'Expenditures 15-22'!E102</f>
        <v>59734</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5553</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63385</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112327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42869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112327</v>
      </c>
      <c r="D2912" s="2" t="str">
        <f t="shared" si="44"/>
        <v>Error?</v>
      </c>
    </row>
    <row r="2913" spans="1:4" x14ac:dyDescent="0.2">
      <c r="A2913" s="5">
        <v>2852</v>
      </c>
      <c r="B2913" s="138">
        <f>'Assets-Liab 5-6'!I41</f>
        <v>112327</v>
      </c>
      <c r="C2913" s="2" t="s">
        <v>594</v>
      </c>
      <c r="D2913" s="2" t="str">
        <f t="shared" si="44"/>
        <v>Error?</v>
      </c>
    </row>
    <row r="2914" spans="1:4" x14ac:dyDescent="0.2">
      <c r="A2914" s="5">
        <v>2853</v>
      </c>
      <c r="B2914" s="138">
        <f>'Assets-Liab 5-6'!L33</f>
        <v>42869</v>
      </c>
      <c r="D2914" s="2" t="str">
        <f t="shared" si="44"/>
        <v>Error?</v>
      </c>
    </row>
    <row r="2915" spans="1:4" x14ac:dyDescent="0.2">
      <c r="A2915" s="10">
        <v>2854</v>
      </c>
      <c r="D2915" s="2" t="str">
        <f t="shared" si="44"/>
        <v>OK</v>
      </c>
    </row>
    <row r="2916" spans="1:4" x14ac:dyDescent="0.2">
      <c r="A2916" s="5">
        <v>2855</v>
      </c>
      <c r="B2916" s="138">
        <f>'Assets-Liab 5-6'!L34</f>
        <v>42869</v>
      </c>
      <c r="C2916" s="2" t="s">
        <v>594</v>
      </c>
      <c r="D2916" s="2" t="str">
        <f t="shared" si="44"/>
        <v>Error?</v>
      </c>
    </row>
    <row r="2917" spans="1:4" x14ac:dyDescent="0.2">
      <c r="A2917" s="5">
        <v>2856</v>
      </c>
      <c r="B2917" s="138">
        <f>'Assets-Liab 5-6'!L41</f>
        <v>42869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35970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23764</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3229</v>
      </c>
      <c r="D2955" s="2" t="str">
        <f t="shared" si="45"/>
        <v>Error?</v>
      </c>
    </row>
    <row r="2956" spans="1:4" x14ac:dyDescent="0.2">
      <c r="A2956" s="5">
        <v>2895</v>
      </c>
      <c r="B2956" s="138">
        <f>'Expenditures 15-22'!H79</f>
        <v>179878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39199</v>
      </c>
      <c r="C2973" s="2" t="s">
        <v>594</v>
      </c>
      <c r="D2973" s="2" t="str">
        <f t="shared" si="45"/>
        <v>Error?</v>
      </c>
    </row>
    <row r="2974" spans="1:4" x14ac:dyDescent="0.2">
      <c r="A2974" s="5">
        <v>2913</v>
      </c>
      <c r="B2974" s="138">
        <f>'Expenditures 15-22'!K79</f>
        <v>179878</v>
      </c>
      <c r="C2974" s="2" t="s">
        <v>594</v>
      </c>
      <c r="D2974" s="2" t="str">
        <f t="shared" si="45"/>
        <v>Error?</v>
      </c>
    </row>
    <row r="2975" spans="1:4" x14ac:dyDescent="0.2">
      <c r="A2975" s="5">
        <v>2914</v>
      </c>
      <c r="B2975" s="138">
        <f>'Expenditures 15-22'!K80</f>
        <v>23764</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103</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103</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11602</v>
      </c>
      <c r="C3225" s="2" t="s">
        <v>594</v>
      </c>
      <c r="D3225" s="2" t="str">
        <f t="shared" si="49"/>
        <v>Error?</v>
      </c>
    </row>
    <row r="3226" spans="1:4" x14ac:dyDescent="0.2">
      <c r="A3226" s="5">
        <v>3165</v>
      </c>
      <c r="B3226" s="138">
        <f>'Acct Summary 7-8'!I8</f>
        <v>11602</v>
      </c>
      <c r="C3226" s="2" t="s">
        <v>594</v>
      </c>
      <c r="D3226" s="2" t="str">
        <f t="shared" si="49"/>
        <v>Error?</v>
      </c>
    </row>
    <row r="3227" spans="1:4" x14ac:dyDescent="0.2">
      <c r="A3227" s="5">
        <v>3166</v>
      </c>
      <c r="B3227" s="138">
        <f>'Acct Summary 7-8'!I20</f>
        <v>11602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11338</v>
      </c>
      <c r="C3231" s="2" t="s">
        <v>594</v>
      </c>
      <c r="D3231" s="2" t="str">
        <f t="shared" si="49"/>
        <v>Error?</v>
      </c>
    </row>
    <row r="3232" spans="1:4" x14ac:dyDescent="0.2">
      <c r="A3232" s="5">
        <v>3171</v>
      </c>
      <c r="B3232" s="138">
        <f>'Acct Summary 7-8'!C77</f>
        <v>-11338</v>
      </c>
      <c r="C3232" s="2" t="s">
        <v>594</v>
      </c>
      <c r="D3232" s="2" t="str">
        <f t="shared" si="49"/>
        <v>Error?</v>
      </c>
    </row>
    <row r="3233" spans="1:4" x14ac:dyDescent="0.2">
      <c r="A3233" s="5">
        <v>3172</v>
      </c>
      <c r="B3233" s="138">
        <f>'Acct Summary 7-8'!C78</f>
        <v>1393833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25092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160904</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-29601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11338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11338</v>
      </c>
      <c r="C3277" s="2" t="s">
        <v>594</v>
      </c>
      <c r="D3277" s="2" t="str">
        <f t="shared" si="50"/>
        <v>Error?</v>
      </c>
    </row>
    <row r="3278" spans="1:4" x14ac:dyDescent="0.2">
      <c r="A3278" s="5">
        <v>3217</v>
      </c>
      <c r="B3278" s="138">
        <f>'Acct Summary 7-8'!E78</f>
        <v>6946</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23192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11602</v>
      </c>
      <c r="C3320" s="2" t="s">
        <v>594</v>
      </c>
      <c r="D3320" s="2" t="str">
        <f t="shared" si="50"/>
        <v>Error?</v>
      </c>
    </row>
    <row r="3321" spans="1:4" x14ac:dyDescent="0.2">
      <c r="A3321" s="5">
        <v>3260</v>
      </c>
      <c r="B3321" s="138">
        <f>'Acct Summary 7-8'!I79</f>
        <v>100725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112327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296286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74660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2819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373895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20252</v>
      </c>
      <c r="D3387" s="2" t="str">
        <f t="shared" si="51"/>
        <v>Error?</v>
      </c>
    </row>
    <row r="3388" spans="1:4" x14ac:dyDescent="0.2">
      <c r="A3388" s="5">
        <v>3327</v>
      </c>
      <c r="B3388" s="138">
        <f>'Expenditures 15-22'!D217</f>
        <v>24373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20252</v>
      </c>
      <c r="C3390" s="2" t="s">
        <v>594</v>
      </c>
      <c r="D3390" s="2" t="str">
        <f t="shared" si="51"/>
        <v>Error?</v>
      </c>
    </row>
    <row r="3391" spans="1:4" x14ac:dyDescent="0.2">
      <c r="A3391" s="5">
        <v>3330</v>
      </c>
      <c r="B3391" s="138">
        <f>'Expenditures 15-22'!K217</f>
        <v>24373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54797</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2242722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269447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189723</v>
      </c>
      <c r="D3417" s="2" t="str">
        <f t="shared" si="52"/>
        <v>Error?</v>
      </c>
    </row>
    <row r="3418" spans="1:4" x14ac:dyDescent="0.2">
      <c r="A3418" s="10">
        <v>3357</v>
      </c>
      <c r="D3418" s="2" t="str">
        <f t="shared" si="52"/>
        <v>OK</v>
      </c>
    </row>
    <row r="3419" spans="1:4" x14ac:dyDescent="0.2">
      <c r="A3419" s="5">
        <v>3358</v>
      </c>
      <c r="B3419" s="138">
        <f>'Assets-Liab 5-6'!F4</f>
        <v>170175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109891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112327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42869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41078</v>
      </c>
      <c r="C3446" s="2" t="s">
        <v>594</v>
      </c>
      <c r="D3446" s="2" t="str">
        <f t="shared" si="52"/>
        <v>Error?</v>
      </c>
    </row>
    <row r="3447" spans="1:4" x14ac:dyDescent="0.2">
      <c r="A3447" s="5">
        <v>3386</v>
      </c>
      <c r="B3447" s="138">
        <f>'Tax Sched 23'!D16</f>
        <v>41078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78163</v>
      </c>
      <c r="C3449" s="2" t="s">
        <v>594</v>
      </c>
      <c r="D3449" s="2" t="str">
        <f t="shared" si="52"/>
        <v>Error?</v>
      </c>
    </row>
    <row r="3450" spans="1:4" x14ac:dyDescent="0.2">
      <c r="A3450" s="5">
        <v>3389</v>
      </c>
      <c r="B3450" s="138">
        <f>'Tax Sched 23'!E16</f>
        <v>78163</v>
      </c>
      <c r="D3450" s="2" t="str">
        <f t="shared" si="52"/>
        <v>Error?</v>
      </c>
    </row>
    <row r="3451" spans="1:4" x14ac:dyDescent="0.2">
      <c r="A3451" s="5">
        <v>3390</v>
      </c>
      <c r="B3451" s="138">
        <f>'Cap Outlay Deprec 26'!C15</f>
        <v>6778796</v>
      </c>
      <c r="D3451" s="2" t="str">
        <f t="shared" si="52"/>
        <v>Error?</v>
      </c>
    </row>
    <row r="3452" spans="1:4" x14ac:dyDescent="0.2">
      <c r="A3452" s="5">
        <v>3391</v>
      </c>
      <c r="B3452" s="138">
        <f>'Cap Outlay Deprec 26'!D15</f>
        <v>1328883</v>
      </c>
      <c r="D3452" s="2" t="str">
        <f t="shared" si="52"/>
        <v>Error?</v>
      </c>
    </row>
    <row r="3453" spans="1:4" x14ac:dyDescent="0.2">
      <c r="A3453" s="5">
        <v>3392</v>
      </c>
      <c r="B3453" s="138">
        <f>'Cap Outlay Deprec 26'!E15</f>
        <v>8107679</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13019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13019</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13019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13019</v>
      </c>
      <c r="C3568" s="2" t="s">
        <v>594</v>
      </c>
      <c r="D3568" s="2" t="str">
        <f t="shared" si="54"/>
        <v>Error?</v>
      </c>
    </row>
    <row r="3569" spans="1:4" x14ac:dyDescent="0.2">
      <c r="A3569" s="5">
        <v>3508</v>
      </c>
      <c r="B3569" s="138">
        <f>'Acct Summary 7-8'!K4</f>
        <v>11848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11848</v>
      </c>
      <c r="C3571" s="2" t="s">
        <v>594</v>
      </c>
      <c r="D3571" s="2" t="str">
        <f t="shared" si="54"/>
        <v>Error?</v>
      </c>
    </row>
    <row r="3572" spans="1:4" x14ac:dyDescent="0.2">
      <c r="A3572" s="5">
        <v>3511</v>
      </c>
      <c r="B3572" s="138">
        <f>'Acct Summary 7-8'!K13</f>
        <v>406308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406308</v>
      </c>
      <c r="C3575" s="2" t="s">
        <v>594</v>
      </c>
      <c r="D3575" s="2" t="str">
        <f t="shared" si="54"/>
        <v>Error?</v>
      </c>
    </row>
    <row r="3576" spans="1:4" x14ac:dyDescent="0.2">
      <c r="A3576" s="5">
        <v>3515</v>
      </c>
      <c r="B3576" s="138">
        <f>'Acct Summary 7-8'!K20</f>
        <v>-394460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-394460</v>
      </c>
      <c r="C3588" s="2" t="s">
        <v>594</v>
      </c>
      <c r="D3588" s="2" t="str">
        <f t="shared" si="55"/>
        <v>Error?</v>
      </c>
    </row>
    <row r="3589" spans="1:4" x14ac:dyDescent="0.2">
      <c r="A3589" s="5">
        <v>3528</v>
      </c>
      <c r="B3589" s="138">
        <f>'Acct Summary 7-8'!K79</f>
        <v>407479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13019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5270</v>
      </c>
      <c r="D3632" s="2" t="str">
        <f t="shared" si="55"/>
        <v>Error?</v>
      </c>
    </row>
    <row r="3633" spans="1:4" x14ac:dyDescent="0.2">
      <c r="A3633" s="5">
        <v>3572</v>
      </c>
      <c r="B3633" s="138">
        <f>'Expenditures 15-22'!E350</f>
        <v>5270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5270</v>
      </c>
      <c r="C3635" s="2" t="s">
        <v>594</v>
      </c>
      <c r="D3635" s="2" t="str">
        <f t="shared" si="55"/>
        <v>Error?</v>
      </c>
    </row>
    <row r="3636" spans="1:4" x14ac:dyDescent="0.2">
      <c r="A3636" s="5">
        <v>3575</v>
      </c>
      <c r="B3636" s="138">
        <f>'Expenditures 15-22'!E367</f>
        <v>5270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401038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401038</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401038</v>
      </c>
      <c r="C3649" s="2" t="s">
        <v>594</v>
      </c>
      <c r="D3649" s="2" t="str">
        <f t="shared" si="56"/>
        <v>Error?</v>
      </c>
    </row>
    <row r="3650" spans="1:4" x14ac:dyDescent="0.2">
      <c r="A3650" s="5">
        <v>3589</v>
      </c>
      <c r="B3650" s="138">
        <f>'Expenditures 15-22'!G367</f>
        <v>401038</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401038</v>
      </c>
      <c r="C3668" s="2" t="s">
        <v>594</v>
      </c>
      <c r="D3668" s="2" t="str">
        <f t="shared" si="56"/>
        <v>Error?</v>
      </c>
    </row>
    <row r="3669" spans="1:4" x14ac:dyDescent="0.2">
      <c r="A3669" s="5">
        <v>3608</v>
      </c>
      <c r="B3669" s="138">
        <f>'Expenditures 15-22'!K349</f>
        <v>5270</v>
      </c>
      <c r="C3669" s="2" t="s">
        <v>594</v>
      </c>
      <c r="D3669" s="2" t="str">
        <f t="shared" si="56"/>
        <v>Error?</v>
      </c>
    </row>
    <row r="3670" spans="1:4" x14ac:dyDescent="0.2">
      <c r="A3670" s="5">
        <v>3609</v>
      </c>
      <c r="B3670" s="138">
        <f>'Expenditures 15-22'!K350</f>
        <v>406308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406308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406308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-394460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11341</v>
      </c>
      <c r="C3725" s="2" t="s">
        <v>594</v>
      </c>
      <c r="D3725" s="2" t="str">
        <f t="shared" si="57"/>
        <v>Error?</v>
      </c>
    </row>
    <row r="3726" spans="1:4" x14ac:dyDescent="0.2">
      <c r="A3726" s="5">
        <v>3665</v>
      </c>
      <c r="B3726" s="138">
        <f>'Tax Sched 23'!D13</f>
        <v>11341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12017</v>
      </c>
      <c r="C3728" s="2" t="s">
        <v>594</v>
      </c>
      <c r="D3728" s="2" t="str">
        <f t="shared" si="57"/>
        <v>Error?</v>
      </c>
    </row>
    <row r="3729" spans="1:4" x14ac:dyDescent="0.2">
      <c r="A3729" s="5">
        <v>3668</v>
      </c>
      <c r="B3729" s="138">
        <f>'Tax Sched 23'!E13</f>
        <v>12017</v>
      </c>
      <c r="D3729" s="2" t="str">
        <f t="shared" si="57"/>
        <v>Error?</v>
      </c>
    </row>
    <row r="3730" spans="1:4" x14ac:dyDescent="0.2">
      <c r="A3730" s="5">
        <v>3669</v>
      </c>
      <c r="B3730" s="138">
        <f>'ICR Computation 30'!E10</f>
        <v>209952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2013172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9554197</v>
      </c>
      <c r="C4122" s="2" t="s">
        <v>594</v>
      </c>
      <c r="D4122" s="2" t="str">
        <f t="shared" si="63"/>
        <v>Error?</v>
      </c>
    </row>
    <row r="4123" spans="1:4" x14ac:dyDescent="0.2">
      <c r="A4123" s="5">
        <v>4062</v>
      </c>
      <c r="B4123" s="138">
        <f>'Acct Summary 7-8'!D10</f>
        <v>379408</v>
      </c>
      <c r="C4123" s="2" t="s">
        <v>594</v>
      </c>
      <c r="D4123" s="2" t="str">
        <f t="shared" si="63"/>
        <v>Error?</v>
      </c>
    </row>
    <row r="4124" spans="1:4" x14ac:dyDescent="0.2">
      <c r="A4124" s="5">
        <v>4063</v>
      </c>
      <c r="B4124" s="138">
        <f>'Acct Summary 7-8'!E10</f>
        <v>269924</v>
      </c>
      <c r="C4124" s="2" t="s">
        <v>594</v>
      </c>
      <c r="D4124" s="2" t="str">
        <f t="shared" si="63"/>
        <v>Error?</v>
      </c>
    </row>
    <row r="4125" spans="1:4" x14ac:dyDescent="0.2">
      <c r="A4125" s="5">
        <v>4064</v>
      </c>
      <c r="B4125" s="138">
        <f>'Acct Summary 7-8'!F10</f>
        <v>723256</v>
      </c>
      <c r="C4125" s="2" t="s">
        <v>594</v>
      </c>
      <c r="D4125" s="2" t="str">
        <f t="shared" si="63"/>
        <v>Error?</v>
      </c>
    </row>
    <row r="4126" spans="1:4" x14ac:dyDescent="0.2">
      <c r="A4126" s="5">
        <v>4065</v>
      </c>
      <c r="B4126" s="138">
        <f>'Acct Summary 7-8'!G10</f>
        <v>119732</v>
      </c>
      <c r="C4126" s="2" t="s">
        <v>594</v>
      </c>
      <c r="D4126" s="2" t="str">
        <f t="shared" si="63"/>
        <v>Error?</v>
      </c>
    </row>
    <row r="4127" spans="1:4" x14ac:dyDescent="0.2">
      <c r="A4127" s="5">
        <v>4066</v>
      </c>
      <c r="B4127" s="138">
        <f>'Acct Summary 7-8'!H10</f>
        <v>961512</v>
      </c>
      <c r="C4127" s="2" t="s">
        <v>594</v>
      </c>
      <c r="D4127" s="2" t="str">
        <f t="shared" si="63"/>
        <v>Error?</v>
      </c>
    </row>
    <row r="4128" spans="1:4" x14ac:dyDescent="0.2">
      <c r="A4128" s="5">
        <v>4067</v>
      </c>
      <c r="B4128" s="138">
        <f>'Acct Summary 7-8'!I10</f>
        <v>11602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11848</v>
      </c>
      <c r="C4130" s="2" t="s">
        <v>594</v>
      </c>
      <c r="D4130" s="2" t="str">
        <f t="shared" si="63"/>
        <v>Error?</v>
      </c>
    </row>
    <row r="4131" spans="1:4" x14ac:dyDescent="0.2">
      <c r="A4131" s="5">
        <v>4070</v>
      </c>
      <c r="B4131" s="138">
        <f>'Acct Summary 7-8'!C18</f>
        <v>2013172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8149026</v>
      </c>
      <c r="C4136" s="2" t="s">
        <v>594</v>
      </c>
      <c r="D4136" s="2" t="str">
        <f t="shared" si="63"/>
        <v>Error?</v>
      </c>
    </row>
    <row r="4137" spans="1:4" x14ac:dyDescent="0.2">
      <c r="A4137" s="5">
        <v>4076</v>
      </c>
      <c r="B4137" s="138">
        <f>'Acct Summary 7-8'!D19</f>
        <v>354316</v>
      </c>
      <c r="C4137" s="2" t="s">
        <v>594</v>
      </c>
      <c r="D4137" s="2" t="str">
        <f t="shared" si="63"/>
        <v>Error?</v>
      </c>
    </row>
    <row r="4138" spans="1:4" x14ac:dyDescent="0.2">
      <c r="A4138" s="5">
        <v>4077</v>
      </c>
      <c r="B4138" s="138">
        <f>'Acct Summary 7-8'!E19</f>
        <v>274316</v>
      </c>
      <c r="C4138" s="2" t="s">
        <v>594</v>
      </c>
      <c r="D4138" s="2" t="str">
        <f t="shared" si="63"/>
        <v>Error?</v>
      </c>
    </row>
    <row r="4139" spans="1:4" x14ac:dyDescent="0.2">
      <c r="A4139" s="5">
        <v>4078</v>
      </c>
      <c r="B4139" s="138">
        <f>'Acct Summary 7-8'!F19</f>
        <v>562352</v>
      </c>
      <c r="C4139" s="2" t="s">
        <v>594</v>
      </c>
      <c r="D4139" s="2" t="str">
        <f t="shared" si="63"/>
        <v>Error?</v>
      </c>
    </row>
    <row r="4140" spans="1:4" x14ac:dyDescent="0.2">
      <c r="A4140" s="5">
        <v>4079</v>
      </c>
      <c r="B4140" s="138">
        <f>'Acct Summary 7-8'!G19</f>
        <v>149333</v>
      </c>
      <c r="C4140" s="2" t="s">
        <v>594</v>
      </c>
      <c r="D4140" s="2" t="str">
        <f t="shared" si="63"/>
        <v>Error?</v>
      </c>
    </row>
    <row r="4141" spans="1:4" x14ac:dyDescent="0.2">
      <c r="A4141" s="5">
        <v>4080</v>
      </c>
      <c r="B4141" s="138">
        <f>'Acct Summary 7-8'!H19</f>
        <v>938320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406308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2384772</v>
      </c>
      <c r="C4171" s="2" t="s">
        <v>594</v>
      </c>
      <c r="D4171" s="2" t="str">
        <f t="shared" si="64"/>
        <v>Error?</v>
      </c>
    </row>
    <row r="4172" spans="1:4" x14ac:dyDescent="0.2">
      <c r="A4172" s="5">
        <v>4111</v>
      </c>
      <c r="B4172" s="138">
        <f>'Short-Term Long-Term Debt 24'!J49</f>
        <v>2195049</v>
      </c>
      <c r="C4172" s="2" t="s">
        <v>594</v>
      </c>
      <c r="D4172" s="2" t="str">
        <f t="shared" si="64"/>
        <v>Error?</v>
      </c>
    </row>
    <row r="4173" spans="1:4" x14ac:dyDescent="0.2">
      <c r="A4173" s="5">
        <v>4112</v>
      </c>
      <c r="B4173" s="138">
        <f>'Short-Term Long-Term Debt 24'!H49</f>
        <v>169113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1895.9299999999998</v>
      </c>
      <c r="C4265" s="2" t="s">
        <v>594</v>
      </c>
      <c r="D4265" s="2" t="str">
        <f t="shared" si="65"/>
        <v>Error?</v>
      </c>
      <c r="E4265" s="128"/>
    </row>
    <row r="4266" spans="1:5" x14ac:dyDescent="0.2">
      <c r="A4266" s="12">
        <v>4205</v>
      </c>
      <c r="B4266" s="138">
        <f>('FP Info 3'!F10)*100000</f>
        <v>473.99</v>
      </c>
      <c r="C4266" s="2" t="s">
        <v>594</v>
      </c>
      <c r="D4266" s="2" t="str">
        <f t="shared" si="65"/>
        <v>Error?</v>
      </c>
      <c r="E4266" s="128"/>
    </row>
    <row r="4267" spans="1:5" x14ac:dyDescent="0.2">
      <c r="A4267" s="12">
        <v>4206</v>
      </c>
      <c r="B4267" s="138">
        <f>('FP Info 3'!H10)*100000</f>
        <v>189.6</v>
      </c>
      <c r="C4267" s="2" t="s">
        <v>594</v>
      </c>
      <c r="D4267" s="2" t="str">
        <f t="shared" si="65"/>
        <v>Error?</v>
      </c>
      <c r="E4267" s="128"/>
    </row>
    <row r="4268" spans="1:5" x14ac:dyDescent="0.2">
      <c r="A4268" s="12">
        <v>4207</v>
      </c>
      <c r="B4268" s="138">
        <f>('FP Info 3'!J10)*100000</f>
        <v>2560</v>
      </c>
      <c r="C4268" s="2" t="s">
        <v>594</v>
      </c>
      <c r="D4268" s="2" t="str">
        <f t="shared" si="65"/>
        <v>Error?</v>
      </c>
    </row>
    <row r="4269" spans="1:5" x14ac:dyDescent="0.2">
      <c r="A4269" s="12">
        <v>4208</v>
      </c>
      <c r="B4269" s="138">
        <f>'FP Info 3'!J16</f>
        <v>2804800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2177542</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8000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8000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193280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193954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19965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47.41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59710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960794</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25326585</v>
      </c>
      <c r="D4995" s="2" t="str">
        <f t="shared" si="77"/>
        <v>Error?</v>
      </c>
    </row>
    <row r="4996" spans="1:4" x14ac:dyDescent="0.2">
      <c r="A4996" s="12">
        <v>4935</v>
      </c>
      <c r="B4996" s="138">
        <f>'FP Info 3'!H31</f>
        <v>3495068.7300000004</v>
      </c>
      <c r="D4996" s="2" t="str">
        <f t="shared" si="77"/>
        <v>Error?</v>
      </c>
    </row>
    <row r="4997" spans="1:4" x14ac:dyDescent="0.2">
      <c r="A4997" s="12">
        <v>4936</v>
      </c>
      <c r="B4997" s="138">
        <f>'FP Info 3'!H37</f>
        <v>2384772</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11341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454065</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465406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90677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90677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6078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6078</v>
      </c>
      <c r="C5090" s="2" t="s">
        <v>594</v>
      </c>
      <c r="D5090" s="2" t="str">
        <f t="shared" si="78"/>
        <v>Error?</v>
      </c>
    </row>
    <row r="5091" spans="1:4" x14ac:dyDescent="0.2">
      <c r="A5091" s="5">
        <v>5030</v>
      </c>
      <c r="B5091" s="138">
        <f>'Revenues 9-14'!C70</f>
        <v>829</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11564</v>
      </c>
      <c r="D5094" s="2" t="str">
        <f t="shared" si="78"/>
        <v>Error?</v>
      </c>
    </row>
    <row r="5095" spans="1:4" x14ac:dyDescent="0.2">
      <c r="A5095" s="5">
        <v>5034</v>
      </c>
      <c r="B5095" s="138">
        <f>'Revenues 9-14'!C74</f>
        <v>6367</v>
      </c>
      <c r="D5095" s="2" t="str">
        <f t="shared" si="78"/>
        <v>Error?</v>
      </c>
    </row>
    <row r="5096" spans="1:4" x14ac:dyDescent="0.2">
      <c r="A5096" s="5">
        <v>5035</v>
      </c>
      <c r="B5096" s="138">
        <f>'Revenues 9-14'!C75</f>
        <v>18760</v>
      </c>
      <c r="C5096" s="2" t="s">
        <v>594</v>
      </c>
      <c r="D5096" s="2" t="str">
        <f t="shared" si="78"/>
        <v>Error?</v>
      </c>
    </row>
    <row r="5097" spans="1:4" x14ac:dyDescent="0.2">
      <c r="A5097" s="5">
        <v>5036</v>
      </c>
      <c r="B5097" s="138">
        <f>'Revenues 9-14'!C77</f>
        <v>7338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7338</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44136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35668</v>
      </c>
      <c r="D5119" s="2" t="str">
        <f t="shared" ref="D5119:D5182" si="79">IF(ISBLANK(B5119),"OK",IF(A5119-B5119=0,"OK","Error?"))</f>
        <v>Error?</v>
      </c>
    </row>
    <row r="5120" spans="1:4" x14ac:dyDescent="0.2">
      <c r="A5120" s="5">
        <v>5059</v>
      </c>
      <c r="B5120" s="138">
        <f>'Revenues 9-14'!C108</f>
        <v>79804</v>
      </c>
      <c r="C5120" s="2" t="s">
        <v>594</v>
      </c>
      <c r="D5120" s="2" t="str">
        <f t="shared" si="79"/>
        <v>Error?</v>
      </c>
    </row>
    <row r="5121" spans="1:4" x14ac:dyDescent="0.2">
      <c r="A5121" s="5">
        <v>5060</v>
      </c>
      <c r="B5121" s="138">
        <f>'Revenues 9-14'!C109</f>
        <v>668063</v>
      </c>
      <c r="C5121" s="2" t="s">
        <v>594</v>
      </c>
      <c r="D5121" s="2" t="str">
        <f t="shared" si="79"/>
        <v>Error?</v>
      </c>
    </row>
    <row r="5122" spans="1:4" x14ac:dyDescent="0.2">
      <c r="A5122" s="5">
        <v>5061</v>
      </c>
      <c r="B5122" s="138">
        <f>'Revenues 9-14'!C111</f>
        <v>46193</v>
      </c>
      <c r="D5122" s="2" t="str">
        <f t="shared" si="79"/>
        <v>Error?</v>
      </c>
    </row>
    <row r="5123" spans="1:4" x14ac:dyDescent="0.2">
      <c r="A5123" s="5">
        <v>5062</v>
      </c>
      <c r="B5123" s="138">
        <f>'Revenues 9-14'!C112</f>
        <v>8604</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54797</v>
      </c>
      <c r="C5125" s="2" t="s">
        <v>594</v>
      </c>
      <c r="D5125" s="2" t="str">
        <f t="shared" si="79"/>
        <v>Error?</v>
      </c>
    </row>
    <row r="5126" spans="1:4" x14ac:dyDescent="0.2">
      <c r="A5126" s="5">
        <v>5065</v>
      </c>
      <c r="B5126" s="138">
        <f>'Revenues 9-14'!C117</f>
        <v>3224620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3224620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37107</v>
      </c>
      <c r="D5134" s="2" t="str">
        <f t="shared" si="79"/>
        <v>Error?</v>
      </c>
    </row>
    <row r="5135" spans="1:4" x14ac:dyDescent="0.2">
      <c r="A5135" s="5">
        <v>5074</v>
      </c>
      <c r="B5135" s="138">
        <f>'Revenues 9-14'!C126</f>
        <v>45646</v>
      </c>
      <c r="D5135" s="2" t="str">
        <f t="shared" si="79"/>
        <v>Error?</v>
      </c>
    </row>
    <row r="5136" spans="1:4" x14ac:dyDescent="0.2">
      <c r="A5136" s="10">
        <v>5075</v>
      </c>
      <c r="D5136" s="2" t="str">
        <f t="shared" si="79"/>
        <v>OK</v>
      </c>
    </row>
    <row r="5137" spans="1:4" x14ac:dyDescent="0.2">
      <c r="A5137" s="5">
        <v>5076</v>
      </c>
      <c r="B5137" s="138">
        <f>'Revenues 9-14'!C127</f>
        <v>6938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89691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1601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6422</v>
      </c>
      <c r="D5167" s="2" t="str">
        <f t="shared" si="79"/>
        <v>Error?</v>
      </c>
    </row>
    <row r="5168" spans="1:4" x14ac:dyDescent="0.2">
      <c r="A5168" s="5">
        <v>5107</v>
      </c>
      <c r="B5168" s="138">
        <f>'Revenues 9-14'!C147</f>
        <v>5390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360499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523313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3747933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219914</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107386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340223</v>
      </c>
      <c r="C5246" s="2" t="s">
        <v>594</v>
      </c>
      <c r="D5246" s="2" t="str">
        <f t="shared" si="80"/>
        <v>Error?</v>
      </c>
    </row>
    <row r="5247" spans="1:4" x14ac:dyDescent="0.2">
      <c r="A5247" s="5">
        <v>5186</v>
      </c>
      <c r="B5247" s="138">
        <f>'Revenues 9-14'!C203</f>
        <v>330548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674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2508090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3070232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3070232</v>
      </c>
      <c r="C5326" s="2" t="s">
        <v>594</v>
      </c>
      <c r="D5326" s="2" t="str">
        <f t="shared" si="82"/>
        <v>Error?</v>
      </c>
    </row>
    <row r="5327" spans="1:4" x14ac:dyDescent="0.2">
      <c r="A5327" s="5">
        <v>5266</v>
      </c>
      <c r="B5327" s="138">
        <f>'Revenues 9-14'!C275</f>
        <v>7541025</v>
      </c>
      <c r="C5327" s="2" t="s">
        <v>594</v>
      </c>
      <c r="D5327" s="2" t="str">
        <f t="shared" si="82"/>
        <v>Error?</v>
      </c>
    </row>
    <row r="5328" spans="1:4" x14ac:dyDescent="0.2">
      <c r="A5328" s="5">
        <v>5267</v>
      </c>
      <c r="B5328" s="138">
        <f>'Revenues 9-14'!D5</f>
        <v>113518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113518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113518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265890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265890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265890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379408</v>
      </c>
      <c r="C5508" s="2" t="s">
        <v>594</v>
      </c>
      <c r="D5508" s="2" t="str">
        <f t="shared" si="85"/>
        <v>Error?</v>
      </c>
    </row>
    <row r="5509" spans="1:4" x14ac:dyDescent="0.2">
      <c r="A5509" s="5">
        <v>5448</v>
      </c>
      <c r="B5509" s="138">
        <f>'Revenues 9-14'!E5</f>
        <v>175499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175499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14425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14425</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189924</v>
      </c>
      <c r="C5527" s="2" t="s">
        <v>594</v>
      </c>
      <c r="D5527" s="2" t="str">
        <f t="shared" si="85"/>
        <v>Error?</v>
      </c>
    </row>
    <row r="5528" spans="1:4" x14ac:dyDescent="0.2">
      <c r="A5528" s="5">
        <v>5467</v>
      </c>
      <c r="B5528" s="138">
        <f>'Revenues 9-14'!E117</f>
        <v>80000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80000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80000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269924</v>
      </c>
      <c r="C5552" s="2" t="s">
        <v>594</v>
      </c>
      <c r="D5552" s="2" t="str">
        <f t="shared" si="85"/>
        <v>Error?</v>
      </c>
    </row>
    <row r="5553" spans="1:4" x14ac:dyDescent="0.2">
      <c r="A5553" s="5">
        <v>5492</v>
      </c>
      <c r="B5553" s="138">
        <f>'Revenues 9-14'!F5</f>
        <v>45407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45407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45407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278000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278000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282992</v>
      </c>
      <c r="D5615" s="2" t="str">
        <f t="shared" si="86"/>
        <v>Error?</v>
      </c>
    </row>
    <row r="5616" spans="1:4" x14ac:dyDescent="0.2">
      <c r="A5616" s="10">
        <v>5555</v>
      </c>
      <c r="D5616" s="2" t="str">
        <f t="shared" si="86"/>
        <v>OK</v>
      </c>
    </row>
    <row r="5617" spans="1:4" x14ac:dyDescent="0.2">
      <c r="A5617" s="5">
        <v>5556</v>
      </c>
      <c r="B5617" s="138">
        <f>'Revenues 9-14'!F152</f>
        <v>116857</v>
      </c>
      <c r="D5617" s="2" t="str">
        <f t="shared" si="86"/>
        <v>Error?</v>
      </c>
    </row>
    <row r="5618" spans="1:4" x14ac:dyDescent="0.2">
      <c r="A5618" s="5">
        <v>5557</v>
      </c>
      <c r="B5618" s="138">
        <f>'Revenues 9-14'!F154</f>
        <v>399849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399849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677849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723256</v>
      </c>
      <c r="C5720" s="2" t="s">
        <v>594</v>
      </c>
      <c r="D5720" s="2" t="str">
        <f t="shared" si="88"/>
        <v>Error?</v>
      </c>
    </row>
    <row r="5721" spans="1:4" x14ac:dyDescent="0.2">
      <c r="A5721" s="5">
        <v>5660</v>
      </c>
      <c r="B5721" s="138">
        <f>'Revenues 9-14'!G5</f>
        <v>64778</v>
      </c>
      <c r="D5721" s="2" t="str">
        <f t="shared" si="88"/>
        <v>Error?</v>
      </c>
    </row>
    <row r="5722" spans="1:4" x14ac:dyDescent="0.2">
      <c r="A5722" s="5">
        <v>5661</v>
      </c>
      <c r="B5722" s="138">
        <f>'Revenues 9-14'!G7</f>
        <v>0</v>
      </c>
      <c r="D5722" s="2" t="str">
        <f t="shared" si="88"/>
        <v>Error?</v>
      </c>
    </row>
    <row r="5723" spans="1:4" x14ac:dyDescent="0.2">
      <c r="A5723" s="5">
        <v>5662</v>
      </c>
      <c r="B5723" s="138">
        <f>'Revenues 9-14'!G8</f>
        <v>41078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105856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13551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13551</v>
      </c>
      <c r="C5730" s="2" t="s">
        <v>594</v>
      </c>
      <c r="D5730" s="2" t="str">
        <f t="shared" si="88"/>
        <v>Error?</v>
      </c>
    </row>
    <row r="5731" spans="1:4" x14ac:dyDescent="0.2">
      <c r="A5731" s="5">
        <v>5670</v>
      </c>
      <c r="B5731" s="138">
        <f>'Revenues 9-14'!G65</f>
        <v>325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325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119732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718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718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960794</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960794</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961512</v>
      </c>
      <c r="C5915" s="2" t="s">
        <v>594</v>
      </c>
      <c r="D5915" s="2" t="str">
        <f t="shared" si="91"/>
        <v>Error?</v>
      </c>
    </row>
    <row r="5916" spans="1:4" x14ac:dyDescent="0.2">
      <c r="A5916" s="5">
        <v>5855</v>
      </c>
      <c r="B5916" s="138">
        <f>'Revenues 9-14'!I5</f>
        <v>11402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11402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11602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11352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11352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496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496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11848</v>
      </c>
      <c r="C6023" s="2" t="s">
        <v>594</v>
      </c>
      <c r="D6023" s="2" t="str">
        <f t="shared" si="93"/>
        <v>Error?</v>
      </c>
    </row>
    <row r="6024" spans="1:5" x14ac:dyDescent="0.2">
      <c r="A6024" s="5">
        <v>5963</v>
      </c>
      <c r="B6024" s="138">
        <f>'Revenues 9-14'!G109</f>
        <v>119732</v>
      </c>
      <c r="C6024" s="2" t="s">
        <v>594</v>
      </c>
      <c r="D6024" s="2" t="str">
        <f t="shared" si="93"/>
        <v>Error?</v>
      </c>
    </row>
    <row r="6025" spans="1:5" x14ac:dyDescent="0.2">
      <c r="A6025" s="5">
        <v>5964</v>
      </c>
      <c r="B6025" s="138">
        <f>'Revenues 9-14'!H109</f>
        <v>718</v>
      </c>
      <c r="C6025" s="2" t="s">
        <v>594</v>
      </c>
      <c r="D6025" s="2" t="str">
        <f t="shared" si="93"/>
        <v>Error?</v>
      </c>
    </row>
    <row r="6026" spans="1:5" x14ac:dyDescent="0.2">
      <c r="A6026" s="5">
        <v>5965</v>
      </c>
      <c r="B6026" s="138">
        <f>'Revenues 9-14'!I109</f>
        <v>11602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11848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32074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370.94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214212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214212</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214212</v>
      </c>
      <c r="D6216" s="2" t="str">
        <f t="shared" si="96"/>
        <v>Error?</v>
      </c>
      <c r="E6216" s="2" t="s">
        <v>199</v>
      </c>
    </row>
    <row r="6217" spans="1:5" x14ac:dyDescent="0.2">
      <c r="A6217">
        <v>6156</v>
      </c>
      <c r="B6217" s="138">
        <f>'Assets-Liab 5-6'!J4</f>
        <v>214212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59969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59969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59969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38204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38204</v>
      </c>
      <c r="D6229" s="2" t="str">
        <f t="shared" si="96"/>
        <v>Error?</v>
      </c>
      <c r="E6229" s="2" t="s">
        <v>199</v>
      </c>
    </row>
    <row r="6230" spans="1:5" x14ac:dyDescent="0.2">
      <c r="A6230">
        <v>6169</v>
      </c>
      <c r="B6230" s="138">
        <f>'Acct Summary 7-8'!J20</f>
        <v>21765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11338</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21765</v>
      </c>
      <c r="D6263" s="2" t="str">
        <f t="shared" si="96"/>
        <v>Error?</v>
      </c>
      <c r="E6263" s="2" t="s">
        <v>199</v>
      </c>
    </row>
    <row r="6264" spans="1:5" x14ac:dyDescent="0.2">
      <c r="A6264">
        <v>6203</v>
      </c>
      <c r="B6264" s="138">
        <f>'Acct Summary 7-8'!J79</f>
        <v>192447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214212</v>
      </c>
      <c r="D6266" s="2" t="str">
        <f t="shared" si="96"/>
        <v>Error?</v>
      </c>
      <c r="E6266" s="2" t="s">
        <v>199</v>
      </c>
    </row>
    <row r="6267" spans="1:5" x14ac:dyDescent="0.2">
      <c r="A6267">
        <v>6206</v>
      </c>
      <c r="B6267" s="138">
        <f>'Acct Summary 7-8'!C82</f>
        <v>1393833</v>
      </c>
      <c r="D6267" s="2" t="str">
        <f t="shared" si="96"/>
        <v>Error?</v>
      </c>
      <c r="E6267" s="2" t="s">
        <v>199</v>
      </c>
    </row>
    <row r="6268" spans="1:5" x14ac:dyDescent="0.2">
      <c r="A6268">
        <v>6207</v>
      </c>
      <c r="B6268" s="138">
        <f>'Acct Summary 7-8'!D82</f>
        <v>25092</v>
      </c>
      <c r="D6268" s="2" t="str">
        <f t="shared" si="96"/>
        <v>Error?</v>
      </c>
      <c r="E6268" s="2" t="s">
        <v>199</v>
      </c>
    </row>
    <row r="6269" spans="1:5" x14ac:dyDescent="0.2">
      <c r="A6269">
        <v>6208</v>
      </c>
      <c r="B6269" s="138">
        <f>'Acct Summary 7-8'!E82</f>
        <v>6946</v>
      </c>
      <c r="D6269" s="2" t="str">
        <f t="shared" si="96"/>
        <v>Error?</v>
      </c>
      <c r="E6269" s="2" t="s">
        <v>199</v>
      </c>
    </row>
    <row r="6270" spans="1:5" x14ac:dyDescent="0.2">
      <c r="A6270">
        <v>6209</v>
      </c>
      <c r="B6270" s="138">
        <f>'Acct Summary 7-8'!F82</f>
        <v>160904</v>
      </c>
      <c r="D6270" s="2" t="str">
        <f t="shared" si="96"/>
        <v>Error?</v>
      </c>
      <c r="E6270" s="2" t="s">
        <v>199</v>
      </c>
    </row>
    <row r="6271" spans="1:5" x14ac:dyDescent="0.2">
      <c r="A6271">
        <v>6210</v>
      </c>
      <c r="B6271" s="138">
        <f>'Acct Summary 7-8'!G82</f>
        <v>-29601</v>
      </c>
      <c r="D6271" s="2" t="str">
        <f t="shared" ref="D6271:D6334" si="97">IF(ISBLANK(B6271),"OK",IF(A6271-B6271=0,"OK","Error?"))</f>
        <v>Error?</v>
      </c>
      <c r="E6271" s="2" t="s">
        <v>199</v>
      </c>
    </row>
    <row r="6272" spans="1:5" x14ac:dyDescent="0.2">
      <c r="A6272">
        <v>6211</v>
      </c>
      <c r="B6272" s="138">
        <f>'Acct Summary 7-8'!H82</f>
        <v>23192</v>
      </c>
      <c r="D6272" s="2" t="str">
        <f t="shared" si="97"/>
        <v>Error?</v>
      </c>
      <c r="E6272" s="2" t="s">
        <v>199</v>
      </c>
    </row>
    <row r="6273" spans="1:5" x14ac:dyDescent="0.2">
      <c r="A6273">
        <v>6212</v>
      </c>
      <c r="B6273" s="138">
        <f>'Acct Summary 7-8'!I82</f>
        <v>11602</v>
      </c>
      <c r="D6273" s="2" t="str">
        <f t="shared" si="97"/>
        <v>Error?</v>
      </c>
      <c r="E6273" s="2" t="s">
        <v>199</v>
      </c>
    </row>
    <row r="6274" spans="1:5" x14ac:dyDescent="0.2">
      <c r="A6274">
        <v>6213</v>
      </c>
      <c r="B6274" s="138">
        <f>'Acct Summary 7-8'!J82</f>
        <v>21765</v>
      </c>
      <c r="D6274" s="2" t="str">
        <f t="shared" si="97"/>
        <v>Error?</v>
      </c>
      <c r="E6274" s="2" t="s">
        <v>199</v>
      </c>
    </row>
    <row r="6275" spans="1:5" x14ac:dyDescent="0.2">
      <c r="A6275">
        <v>6214</v>
      </c>
      <c r="B6275" s="138">
        <f>'Acct Summary 7-8'!K82</f>
        <v>-394460</v>
      </c>
      <c r="D6275" s="2" t="str">
        <f t="shared" si="97"/>
        <v>Error?</v>
      </c>
      <c r="E6275" s="2" t="s">
        <v>199</v>
      </c>
    </row>
    <row r="6276" spans="1:5" x14ac:dyDescent="0.2">
      <c r="A6276">
        <v>6215</v>
      </c>
      <c r="B6276" s="138">
        <f>'Acct Summary 7-8'!C83</f>
        <v>0.61869737501503652</v>
      </c>
      <c r="D6276" s="2" t="str">
        <f t="shared" si="97"/>
        <v>Error?</v>
      </c>
      <c r="E6276" s="2" t="s">
        <v>199</v>
      </c>
    </row>
    <row r="6277" spans="1:5" x14ac:dyDescent="0.2">
      <c r="A6277">
        <v>6216</v>
      </c>
      <c r="B6277" s="138">
        <f>'Acct Summary 7-8'!D83</f>
        <v>9.3124065215051566E-2</v>
      </c>
      <c r="D6277" s="2" t="str">
        <f t="shared" si="97"/>
        <v>Error?</v>
      </c>
      <c r="E6277" s="2" t="s">
        <v>199</v>
      </c>
    </row>
    <row r="6278" spans="1:5" x14ac:dyDescent="0.2">
      <c r="A6278">
        <v>6217</v>
      </c>
      <c r="B6278" s="138">
        <f>'Acct Summary 7-8'!E83</f>
        <v>3.661127011485165E-2</v>
      </c>
      <c r="D6278" s="2" t="str">
        <f t="shared" si="97"/>
        <v>Error?</v>
      </c>
      <c r="E6278" s="2" t="s">
        <v>199</v>
      </c>
    </row>
    <row r="6279" spans="1:5" x14ac:dyDescent="0.2">
      <c r="A6279">
        <v>6218</v>
      </c>
      <c r="B6279" s="138">
        <f>'Acct Summary 7-8'!F83</f>
        <v>0.94552078742470991</v>
      </c>
      <c r="D6279" s="2" t="str">
        <f t="shared" si="97"/>
        <v>Error?</v>
      </c>
      <c r="E6279" s="2" t="s">
        <v>199</v>
      </c>
    </row>
    <row r="6280" spans="1:5" x14ac:dyDescent="0.2">
      <c r="A6280">
        <v>6219</v>
      </c>
      <c r="B6280" s="138">
        <f>'Acct Summary 7-8'!G83</f>
        <v>-0.26936691812796315</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0.10328772245319469</v>
      </c>
      <c r="D6282" s="2" t="str">
        <f t="shared" si="97"/>
        <v>Error?</v>
      </c>
      <c r="E6282" s="2" t="s">
        <v>199</v>
      </c>
    </row>
    <row r="6283" spans="1:5" x14ac:dyDescent="0.2">
      <c r="A6283">
        <v>6222</v>
      </c>
      <c r="B6283" s="138">
        <f>'Acct Summary 7-8'!J83</f>
        <v>0.10160495210352362</v>
      </c>
      <c r="D6283" s="2" t="str">
        <f t="shared" si="97"/>
        <v>Error?</v>
      </c>
      <c r="E6283" s="2" t="s">
        <v>199</v>
      </c>
    </row>
    <row r="6284" spans="1:5" x14ac:dyDescent="0.2">
      <c r="A6284">
        <v>6223</v>
      </c>
      <c r="B6284" s="138">
        <f>'Acct Summary 7-8'!K83</f>
        <v>-30.298794070205084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11338</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59573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59573</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396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396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59969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1601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145775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227407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38204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59969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38204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38204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38204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38204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38204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38204</v>
      </c>
      <c r="D7224" s="2" t="str">
        <f t="shared" si="111"/>
        <v>Error?</v>
      </c>
    </row>
    <row r="7225" spans="1:4" x14ac:dyDescent="0.2">
      <c r="A7225">
        <v>7164</v>
      </c>
      <c r="B7225" s="138">
        <f>'Expenditures 15-22'!K343</f>
        <v>21765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31246</v>
      </c>
      <c r="D7246" s="2" t="str">
        <f t="shared" si="112"/>
        <v>Error?</v>
      </c>
    </row>
    <row r="7247" spans="1:4" x14ac:dyDescent="0.2">
      <c r="A7247">
        <f t="shared" si="113"/>
        <v>7186</v>
      </c>
      <c r="B7247" s="138">
        <f>'Expenditures 15-22'!E7</f>
        <v>12397</v>
      </c>
      <c r="D7247" s="2" t="str">
        <f t="shared" si="112"/>
        <v>Error?</v>
      </c>
    </row>
    <row r="7248" spans="1:4" x14ac:dyDescent="0.2">
      <c r="A7248">
        <f t="shared" si="113"/>
        <v>7187</v>
      </c>
      <c r="B7248" s="138">
        <f>'Expenditures 15-22'!F7</f>
        <v>34823</v>
      </c>
      <c r="D7248" s="2" t="str">
        <f t="shared" si="112"/>
        <v>Error?</v>
      </c>
    </row>
    <row r="7249" spans="1:4" x14ac:dyDescent="0.2">
      <c r="A7249">
        <f t="shared" si="113"/>
        <v>7188</v>
      </c>
      <c r="B7249" s="138">
        <f>'Expenditures 15-22'!G7</f>
        <v>3166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380471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12923</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5390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5390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5390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654262</v>
      </c>
      <c r="D7797" s="2" t="str">
        <f t="shared" si="127"/>
        <v>Error?</v>
      </c>
      <c r="E7797" s="4" t="s">
        <v>2017</v>
      </c>
    </row>
    <row r="7798" spans="1:5" x14ac:dyDescent="0.2">
      <c r="A7798">
        <v>7737</v>
      </c>
      <c r="B7798" s="138">
        <f>'Contracts Paid in CY 29'!F141</f>
        <v>100000</v>
      </c>
      <c r="D7798" s="2" t="str">
        <f t="shared" si="127"/>
        <v>Error?</v>
      </c>
      <c r="E7798" s="4" t="s">
        <v>2017</v>
      </c>
    </row>
    <row r="7799" spans="1:5" x14ac:dyDescent="0.2">
      <c r="A7799">
        <v>7738</v>
      </c>
      <c r="B7799" s="138">
        <f>'Contracts Paid in CY 29'!G141</f>
        <v>554262</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1" t="s">
        <v>1253</v>
      </c>
      <c r="B2" s="2431"/>
      <c r="C2" s="2431"/>
      <c r="D2" s="2431"/>
      <c r="E2" s="2431"/>
      <c r="F2" s="2431"/>
      <c r="G2" s="2431"/>
      <c r="H2" s="2431"/>
      <c r="I2" s="2431"/>
      <c r="J2" s="2431"/>
      <c r="K2" s="2431"/>
      <c r="L2" s="2431"/>
    </row>
    <row r="3" spans="1:29" ht="13.5" customHeight="1" x14ac:dyDescent="0.2">
      <c r="A3" s="2417" t="s">
        <v>1252</v>
      </c>
      <c r="B3" s="2417"/>
      <c r="C3" s="2417"/>
      <c r="D3" s="2417"/>
      <c r="E3" s="2417"/>
      <c r="F3" s="2417"/>
      <c r="G3" s="2417"/>
      <c r="H3" s="2417"/>
      <c r="I3" s="2417"/>
      <c r="J3" s="2417"/>
      <c r="K3" s="2417"/>
      <c r="L3" s="2417"/>
    </row>
    <row r="4" spans="1:29" ht="13.5" customHeight="1" x14ac:dyDescent="0.2">
      <c r="A4" s="2431" t="s">
        <v>1799</v>
      </c>
      <c r="B4" s="2448"/>
      <c r="C4" s="2448"/>
      <c r="D4" s="2448"/>
      <c r="E4" s="2448"/>
      <c r="F4" s="2448"/>
      <c r="G4" s="2448"/>
      <c r="H4" s="2448"/>
      <c r="I4" s="2448"/>
      <c r="J4" s="2448"/>
      <c r="K4" s="2448"/>
      <c r="L4" s="244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1" t="str">
        <f>COVER!A17</f>
        <v>Meridian CUSD 101</v>
      </c>
      <c r="B7" s="2412"/>
      <c r="C7" s="2412"/>
      <c r="D7" s="2449"/>
      <c r="E7" s="2450">
        <f>COVER!A13</f>
        <v>30077101026</v>
      </c>
      <c r="F7" s="2451"/>
      <c r="G7" s="2418" t="str">
        <f>COVER!T23</f>
        <v>066-003889</v>
      </c>
      <c r="H7" s="2419"/>
      <c r="I7" s="2419"/>
      <c r="J7" s="2419"/>
      <c r="K7" s="2419"/>
      <c r="L7" s="242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1"/>
      <c r="B9" s="2422"/>
      <c r="C9" s="2422"/>
      <c r="D9" s="2422"/>
      <c r="E9" s="2422"/>
      <c r="F9" s="2423"/>
      <c r="G9" s="2424" t="str">
        <f>COVER!T13</f>
        <v>Beussink, Hey, Roe &amp; Stroder, LLC</v>
      </c>
      <c r="H9" s="2425"/>
      <c r="I9" s="2425"/>
      <c r="J9" s="2425"/>
      <c r="K9" s="2425"/>
      <c r="L9" s="2426"/>
    </row>
    <row r="10" spans="1:29" ht="13.5" customHeight="1" x14ac:dyDescent="0.2">
      <c r="A10" s="2408" t="str">
        <f>COVER!A38</f>
        <v>Mr. Jonathan Green</v>
      </c>
      <c r="B10" s="2409"/>
      <c r="C10" s="2409"/>
      <c r="D10" s="2409"/>
      <c r="E10" s="2409"/>
      <c r="F10" s="2410"/>
      <c r="G10" s="2424" t="str">
        <f>COVER!T17</f>
        <v>16 South Silver Springs Road</v>
      </c>
      <c r="H10" s="2437"/>
      <c r="I10" s="2437"/>
      <c r="J10" s="2437"/>
      <c r="K10" s="2437"/>
      <c r="L10" s="2438"/>
    </row>
    <row r="11" spans="1:29" ht="13.5" customHeight="1" x14ac:dyDescent="0.2">
      <c r="A11" s="1185" t="s">
        <v>1599</v>
      </c>
      <c r="B11" s="1186"/>
      <c r="C11" s="1187"/>
      <c r="D11" s="1192"/>
      <c r="E11" s="1187"/>
      <c r="F11" s="1191"/>
      <c r="G11" s="2424" t="str">
        <f>COVER!T19</f>
        <v>Cape Girardeau</v>
      </c>
      <c r="H11" s="2437"/>
      <c r="I11" s="2437"/>
      <c r="J11" s="2437"/>
      <c r="K11" s="2437"/>
      <c r="L11" s="2438"/>
    </row>
    <row r="12" spans="1:29" ht="13.5" customHeight="1" x14ac:dyDescent="0.2">
      <c r="A12" s="2442" t="s">
        <v>1598</v>
      </c>
      <c r="B12" s="2443"/>
      <c r="C12" s="2443"/>
      <c r="D12" s="2443"/>
      <c r="E12" s="2443"/>
      <c r="F12" s="2444"/>
      <c r="G12" s="2439"/>
      <c r="H12" s="2440"/>
      <c r="I12" s="2440"/>
      <c r="J12" s="2440"/>
      <c r="K12" s="2440"/>
      <c r="L12" s="2441"/>
    </row>
    <row r="13" spans="1:29" ht="13.5" customHeight="1" x14ac:dyDescent="0.2">
      <c r="A13" s="2424"/>
      <c r="B13" s="2437"/>
      <c r="C13" s="2437"/>
      <c r="D13" s="2437"/>
      <c r="E13" s="2437"/>
      <c r="F13" s="2438"/>
      <c r="G13" s="2432" t="s">
        <v>1600</v>
      </c>
      <c r="H13" s="2433"/>
      <c r="I13" s="2445" t="str">
        <f>COVER!T25</f>
        <v>jstroder@bhrcpas.com</v>
      </c>
      <c r="J13" s="2446"/>
      <c r="K13" s="2446"/>
      <c r="L13" s="2447"/>
    </row>
    <row r="14" spans="1:29" ht="13.5" customHeight="1" x14ac:dyDescent="0.2">
      <c r="A14" s="2424" t="str">
        <f>COVER!A19</f>
        <v>208 Valley Road</v>
      </c>
      <c r="B14" s="2437"/>
      <c r="C14" s="2437"/>
      <c r="D14" s="2437"/>
      <c r="E14" s="2437"/>
      <c r="F14" s="2438"/>
      <c r="G14" s="1196" t="s">
        <v>1247</v>
      </c>
      <c r="H14" s="1194"/>
      <c r="I14" s="1194"/>
      <c r="J14" s="1194"/>
      <c r="K14" s="1194"/>
      <c r="L14" s="1195"/>
    </row>
    <row r="15" spans="1:29" ht="13.5" customHeight="1" x14ac:dyDescent="0.2">
      <c r="A15" s="2424" t="str">
        <f>COVER!A21</f>
        <v>Mounds</v>
      </c>
      <c r="B15" s="2437"/>
      <c r="C15" s="2437"/>
      <c r="D15" s="2437"/>
      <c r="E15" s="2437"/>
      <c r="F15" s="2438"/>
      <c r="G15" s="2434" t="str">
        <f>COVER!T15</f>
        <v>Jeffrey C. Stroder, CPA</v>
      </c>
      <c r="H15" s="2435"/>
      <c r="I15" s="2435"/>
      <c r="J15" s="2435"/>
      <c r="K15" s="2435"/>
      <c r="L15" s="2436"/>
    </row>
    <row r="16" spans="1:29" ht="12.2" customHeight="1" x14ac:dyDescent="0.2">
      <c r="A16" s="2414">
        <f>COVER!A25</f>
        <v>62964</v>
      </c>
      <c r="B16" s="2415"/>
      <c r="C16" s="2415"/>
      <c r="D16" s="2415"/>
      <c r="E16" s="2415"/>
      <c r="F16" s="2416"/>
      <c r="G16" s="2427"/>
      <c r="H16" s="2428"/>
      <c r="I16" s="2428"/>
      <c r="J16" s="2428"/>
      <c r="K16" s="2428"/>
      <c r="L16" s="2429"/>
    </row>
    <row r="17" spans="1:13" ht="12.2" customHeight="1" x14ac:dyDescent="0.2">
      <c r="A17" s="2430"/>
      <c r="B17" s="2415"/>
      <c r="C17" s="2415"/>
      <c r="D17" s="2415"/>
      <c r="E17" s="2415"/>
      <c r="F17" s="2416"/>
      <c r="G17" s="1196" t="s">
        <v>1246</v>
      </c>
      <c r="H17" s="1194"/>
      <c r="I17" s="1194"/>
      <c r="J17" s="1194"/>
      <c r="K17" s="1198" t="s">
        <v>1245</v>
      </c>
      <c r="L17" s="1191"/>
      <c r="M17" s="1184"/>
    </row>
    <row r="18" spans="1:13" ht="12.2" customHeight="1" x14ac:dyDescent="0.2">
      <c r="A18" s="2408"/>
      <c r="B18" s="2409"/>
      <c r="C18" s="2409"/>
      <c r="D18" s="2409"/>
      <c r="E18" s="2409"/>
      <c r="F18" s="2410"/>
      <c r="G18" s="2411" t="str">
        <f>COVER!T21</f>
        <v>573-334-7971</v>
      </c>
      <c r="H18" s="2412"/>
      <c r="I18" s="2412"/>
      <c r="J18" s="2412"/>
      <c r="K18" s="2411" t="str">
        <f>COVER!X21</f>
        <v>573-334-8875</v>
      </c>
      <c r="L18" s="241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verticalCentered="1"/>
  <pageMargins left="1" right="1" top="1" bottom="1" header="0.5"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2" t="str">
        <f>'Single Audit Cover'!A7</f>
        <v>Meridian CUSD 101</v>
      </c>
      <c r="B1" s="2448"/>
      <c r="C1" s="2448"/>
      <c r="D1" s="2448"/>
    </row>
    <row r="2" spans="1:11" s="1215" customFormat="1" ht="12.75" x14ac:dyDescent="0.2">
      <c r="A2" s="2453">
        <f>'Single Audit Cover'!E7</f>
        <v>30077101026</v>
      </c>
      <c r="B2" s="2454"/>
      <c r="C2" s="2454"/>
      <c r="D2" s="2454"/>
    </row>
    <row r="3" spans="1:11" s="1215" customFormat="1" ht="12.75" x14ac:dyDescent="0.2">
      <c r="A3" s="2452" t="s">
        <v>1593</v>
      </c>
      <c r="B3" s="2448"/>
      <c r="C3" s="2448"/>
      <c r="D3" s="244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6" t="str">
        <f>'Single Audit Cover'!A7</f>
        <v>Meridian CUSD 101</v>
      </c>
      <c r="B1" s="2456"/>
      <c r="C1" s="2456"/>
      <c r="D1" s="2456"/>
      <c r="E1" s="2456"/>
    </row>
    <row r="2" spans="1:5" x14ac:dyDescent="0.2">
      <c r="A2" s="2457">
        <f>'Single Audit Cover'!E7</f>
        <v>30077101026</v>
      </c>
      <c r="B2" s="2457"/>
      <c r="C2" s="2457"/>
      <c r="D2" s="2457"/>
      <c r="E2" s="2457"/>
    </row>
    <row r="3" spans="1:5" ht="4.5" customHeight="1" x14ac:dyDescent="0.2"/>
    <row r="4" spans="1:5" x14ac:dyDescent="0.2">
      <c r="A4" s="2456" t="s">
        <v>1307</v>
      </c>
      <c r="B4" s="2456"/>
      <c r="C4" s="2456"/>
      <c r="D4" s="2456"/>
      <c r="E4" s="2456"/>
    </row>
    <row r="5" spans="1:5" x14ac:dyDescent="0.2">
      <c r="A5" s="2459" t="str">
        <f>'Single Audit Cover'!A4</f>
        <v>Year Ending June 30, 2018</v>
      </c>
      <c r="B5" s="2459"/>
      <c r="C5" s="2459"/>
      <c r="D5" s="2459"/>
      <c r="E5" s="2459"/>
    </row>
    <row r="6" spans="1:5" x14ac:dyDescent="0.2">
      <c r="A6" s="2456" t="s">
        <v>1306</v>
      </c>
      <c r="B6" s="2456"/>
      <c r="C6" s="2456"/>
      <c r="D6" s="2456"/>
      <c r="E6" s="2456"/>
    </row>
    <row r="8" spans="1:5" x14ac:dyDescent="0.2">
      <c r="A8" s="1260" t="s">
        <v>1305</v>
      </c>
    </row>
    <row r="10" spans="1:5" x14ac:dyDescent="0.2">
      <c r="A10" s="1261" t="s">
        <v>1304</v>
      </c>
      <c r="B10" s="1262" t="s">
        <v>1303</v>
      </c>
      <c r="C10" s="1262"/>
      <c r="D10" s="1263">
        <f>SUM('Acct Summary 7-8'!C7:K7)</f>
        <v>3070232</v>
      </c>
    </row>
    <row r="11" spans="1:5" ht="18" customHeight="1" x14ac:dyDescent="0.2">
      <c r="A11" s="1261" t="s">
        <v>1302</v>
      </c>
      <c r="B11" s="1262"/>
      <c r="C11" s="1262"/>
    </row>
    <row r="12" spans="1:5" x14ac:dyDescent="0.2">
      <c r="A12" s="1261" t="s">
        <v>1301</v>
      </c>
      <c r="B12" s="1262" t="s">
        <v>1300</v>
      </c>
      <c r="C12" s="1262"/>
      <c r="D12" s="1264">
        <f>SUM('Revenues 9-14'!C112:D112,'Revenues 9-14'!F112:G112)</f>
        <v>8604</v>
      </c>
    </row>
    <row r="13" spans="1:5" x14ac:dyDescent="0.2">
      <c r="A13" s="1261" t="s">
        <v>1299</v>
      </c>
      <c r="B13" s="1262"/>
      <c r="C13" s="1262"/>
    </row>
    <row r="14" spans="1:5" x14ac:dyDescent="0.2">
      <c r="A14" s="1261" t="s">
        <v>1830</v>
      </c>
      <c r="B14" s="1262"/>
      <c r="C14" s="1262"/>
      <c r="D14" s="1264">
        <f>'ICR Computation 30'!E11</f>
        <v>32074</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3110910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8"/>
      <c r="B24" s="2458"/>
      <c r="D24" s="1268"/>
    </row>
    <row r="25" spans="1:4" x14ac:dyDescent="0.2">
      <c r="A25" s="2455"/>
      <c r="B25" s="2455"/>
      <c r="D25" s="1268"/>
    </row>
    <row r="26" spans="1:4" x14ac:dyDescent="0.2">
      <c r="A26" s="2455"/>
      <c r="B26" s="2455"/>
      <c r="D26" s="1268"/>
    </row>
    <row r="27" spans="1:4" x14ac:dyDescent="0.2">
      <c r="A27" s="2455"/>
      <c r="B27" s="2455"/>
      <c r="D27" s="1268"/>
    </row>
    <row r="28" spans="1:4" x14ac:dyDescent="0.2">
      <c r="A28" s="2455"/>
      <c r="B28" s="2455"/>
      <c r="D28" s="1268"/>
    </row>
    <row r="29" spans="1:4" x14ac:dyDescent="0.2">
      <c r="A29" s="2455"/>
      <c r="B29" s="2455"/>
      <c r="D29" s="1268"/>
    </row>
    <row r="30" spans="1:4" x14ac:dyDescent="0.2">
      <c r="A30" s="2455"/>
      <c r="B30" s="2455"/>
      <c r="D30" s="1268"/>
    </row>
    <row r="32" spans="1:4" x14ac:dyDescent="0.2">
      <c r="A32" s="1260" t="s">
        <v>1295</v>
      </c>
      <c r="D32" s="1263">
        <f>SUM(D19:D30)</f>
        <v>3110910</v>
      </c>
    </row>
    <row r="33" spans="1:4" x14ac:dyDescent="0.2">
      <c r="D33" s="1269"/>
    </row>
    <row r="34" spans="1:4" x14ac:dyDescent="0.2">
      <c r="A34" s="317" t="s">
        <v>1294</v>
      </c>
    </row>
    <row r="35" spans="1:4" x14ac:dyDescent="0.2">
      <c r="A35" s="317" t="s">
        <v>1293</v>
      </c>
      <c r="B35" s="1258" t="s">
        <v>1292</v>
      </c>
      <c r="D35" s="1270">
        <v>3110910</v>
      </c>
    </row>
    <row r="37" spans="1:4" x14ac:dyDescent="0.2">
      <c r="A37" s="1260" t="s">
        <v>1291</v>
      </c>
    </row>
    <row r="39" spans="1:4" ht="13.35" customHeight="1" x14ac:dyDescent="0.2">
      <c r="A39" s="1267" t="s">
        <v>1290</v>
      </c>
    </row>
    <row r="40" spans="1:4" x14ac:dyDescent="0.2">
      <c r="A40" s="2455"/>
      <c r="B40" s="2455"/>
      <c r="D40" s="1268"/>
    </row>
    <row r="41" spans="1:4" x14ac:dyDescent="0.2">
      <c r="A41" s="2455"/>
      <c r="B41" s="2455"/>
      <c r="D41" s="1271"/>
    </row>
    <row r="42" spans="1:4" x14ac:dyDescent="0.2">
      <c r="A42" s="2455"/>
      <c r="B42" s="2455"/>
      <c r="D42" s="1271"/>
    </row>
    <row r="43" spans="1:4" x14ac:dyDescent="0.2">
      <c r="A43" s="2455"/>
      <c r="B43" s="2455"/>
      <c r="D43" s="1271"/>
    </row>
    <row r="44" spans="1:4" x14ac:dyDescent="0.2">
      <c r="A44" s="2455"/>
      <c r="B44" s="2455"/>
      <c r="D44" s="1271"/>
    </row>
    <row r="45" spans="1:4" x14ac:dyDescent="0.2">
      <c r="A45" s="2455"/>
      <c r="B45" s="2455"/>
      <c r="D45" s="1271"/>
    </row>
    <row r="47" spans="1:4" x14ac:dyDescent="0.2">
      <c r="B47" s="1272" t="s">
        <v>1289</v>
      </c>
      <c r="C47" s="1272"/>
      <c r="D47" s="1273">
        <f>SUM(D35:D45)</f>
        <v>3110910</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verticalCentered="1"/>
  <pageMargins left="0.75" right="0.75" top="1" bottom="1" header="0.5" footer="0.75"/>
  <pageSetup scale="98"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topLeftCell="A6" zoomScaleNormal="100" workbookViewId="0"/>
  </sheetViews>
  <sheetFormatPr defaultColWidth="33.5703125" defaultRowHeight="12.75" x14ac:dyDescent="0.2"/>
  <cols>
    <col min="1" max="1" width="0.140625" style="317" customWidth="1"/>
    <col min="2" max="2" width="44.71093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7" t="str">
        <f>'Single Audit Cover'!A7</f>
        <v>Meridian CUSD 101</v>
      </c>
      <c r="C1" s="2460"/>
      <c r="D1" s="2460"/>
      <c r="E1" s="2460"/>
      <c r="F1" s="2460"/>
      <c r="G1" s="2460"/>
      <c r="H1" s="2460"/>
      <c r="I1" s="2460"/>
      <c r="J1" s="2460"/>
      <c r="K1" s="2460"/>
      <c r="L1" s="2460"/>
      <c r="M1" s="2460"/>
    </row>
    <row r="2" spans="2:14" ht="15" x14ac:dyDescent="0.2">
      <c r="B2" s="2461">
        <f>'Single Audit Cover'!E7</f>
        <v>30077101026</v>
      </c>
      <c r="C2" s="2461"/>
      <c r="D2" s="2461"/>
      <c r="E2" s="2461"/>
      <c r="F2" s="2461"/>
      <c r="G2" s="2461"/>
      <c r="H2" s="2461"/>
      <c r="I2" s="2461"/>
      <c r="J2" s="2461"/>
      <c r="K2" s="2461"/>
      <c r="L2" s="2461"/>
      <c r="M2" s="2461"/>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2117</v>
      </c>
      <c r="C11" s="1338"/>
      <c r="D11" s="1339"/>
      <c r="E11" s="1340"/>
      <c r="F11" s="1340"/>
      <c r="G11" s="1340"/>
      <c r="H11" s="1340"/>
      <c r="I11" s="1340"/>
      <c r="J11" s="1340"/>
      <c r="K11" s="1340"/>
      <c r="L11" s="1340"/>
      <c r="M11" s="1340"/>
    </row>
    <row r="12" spans="2:14" ht="20.100000000000001" customHeight="1" x14ac:dyDescent="0.2">
      <c r="B12" s="1337" t="s">
        <v>2118</v>
      </c>
      <c r="C12" s="1341"/>
      <c r="D12" s="1342"/>
      <c r="E12" s="1343"/>
      <c r="F12" s="1343"/>
      <c r="G12" s="1343"/>
      <c r="H12" s="1343"/>
      <c r="I12" s="1343"/>
      <c r="J12" s="1343"/>
      <c r="K12" s="1343"/>
      <c r="L12" s="1340"/>
      <c r="M12" s="1343"/>
    </row>
    <row r="13" spans="2:14" ht="20.100000000000001" customHeight="1" x14ac:dyDescent="0.2">
      <c r="B13" s="1337" t="s">
        <v>2163</v>
      </c>
      <c r="C13" s="1341">
        <v>10.553000000000001</v>
      </c>
      <c r="D13" s="1342" t="s">
        <v>2122</v>
      </c>
      <c r="E13" s="1343">
        <v>79739</v>
      </c>
      <c r="F13" s="1343">
        <v>22920</v>
      </c>
      <c r="G13" s="1343">
        <v>79739</v>
      </c>
      <c r="H13" s="1343"/>
      <c r="I13" s="1343">
        <v>22920</v>
      </c>
      <c r="J13" s="1343"/>
      <c r="K13" s="1343"/>
      <c r="L13" s="1340">
        <f t="shared" ref="L13:L26" si="0">+G13+I13+K13</f>
        <v>102659</v>
      </c>
      <c r="M13" s="1343"/>
    </row>
    <row r="14" spans="2:14" ht="20.100000000000001" customHeight="1" x14ac:dyDescent="0.2">
      <c r="B14" s="1337" t="s">
        <v>2163</v>
      </c>
      <c r="C14" s="1341">
        <v>10.553000000000001</v>
      </c>
      <c r="D14" s="1342" t="s">
        <v>2123</v>
      </c>
      <c r="E14" s="1343"/>
      <c r="F14" s="1343">
        <v>84466</v>
      </c>
      <c r="G14" s="1343"/>
      <c r="H14" s="1343"/>
      <c r="I14" s="1343">
        <v>84466</v>
      </c>
      <c r="J14" s="1343"/>
      <c r="K14" s="1343"/>
      <c r="L14" s="1340">
        <f t="shared" si="0"/>
        <v>84466</v>
      </c>
      <c r="M14" s="1343"/>
    </row>
    <row r="15" spans="2:14" ht="20.100000000000001" customHeight="1" x14ac:dyDescent="0.2">
      <c r="B15" s="1337" t="s">
        <v>2119</v>
      </c>
      <c r="C15" s="1341"/>
      <c r="D15" s="1342"/>
      <c r="E15" s="1343">
        <f t="shared" ref="E15:K15" si="1">SUM(E13:E14)</f>
        <v>79739</v>
      </c>
      <c r="F15" s="1343">
        <f t="shared" si="1"/>
        <v>107386</v>
      </c>
      <c r="G15" s="1343">
        <f t="shared" si="1"/>
        <v>79739</v>
      </c>
      <c r="H15" s="1343">
        <f t="shared" si="1"/>
        <v>0</v>
      </c>
      <c r="I15" s="1343">
        <f t="shared" si="1"/>
        <v>107386</v>
      </c>
      <c r="J15" s="1343">
        <f t="shared" si="1"/>
        <v>0</v>
      </c>
      <c r="K15" s="1343">
        <f t="shared" si="1"/>
        <v>0</v>
      </c>
      <c r="L15" s="1340">
        <f t="shared" si="0"/>
        <v>187125</v>
      </c>
      <c r="M15" s="1343">
        <f>SUM(M13:M14)</f>
        <v>0</v>
      </c>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2118</v>
      </c>
      <c r="C17" s="1341"/>
      <c r="D17" s="1342"/>
      <c r="E17" s="1343"/>
      <c r="F17" s="1343"/>
      <c r="G17" s="1343"/>
      <c r="H17" s="1343"/>
      <c r="I17" s="1343"/>
      <c r="J17" s="1343"/>
      <c r="K17" s="1343"/>
      <c r="L17" s="1340"/>
      <c r="M17" s="1343"/>
    </row>
    <row r="18" spans="2:14" ht="20.100000000000001" customHeight="1" x14ac:dyDescent="0.2">
      <c r="B18" s="1337" t="s">
        <v>2164</v>
      </c>
      <c r="C18" s="1341">
        <v>10.555</v>
      </c>
      <c r="D18" s="1342" t="s">
        <v>2124</v>
      </c>
      <c r="E18" s="1343">
        <v>32511</v>
      </c>
      <c r="F18" s="1343"/>
      <c r="G18" s="1343">
        <v>32511</v>
      </c>
      <c r="H18" s="1343"/>
      <c r="I18" s="1343"/>
      <c r="J18" s="1343"/>
      <c r="K18" s="1343"/>
      <c r="L18" s="1340">
        <f t="shared" si="0"/>
        <v>32511</v>
      </c>
      <c r="M18" s="1343"/>
    </row>
    <row r="19" spans="2:14" ht="20.100000000000001" customHeight="1" x14ac:dyDescent="0.2">
      <c r="B19" s="1337" t="s">
        <v>2164</v>
      </c>
      <c r="C19" s="1341">
        <v>10.555</v>
      </c>
      <c r="D19" s="1342" t="s">
        <v>2125</v>
      </c>
      <c r="E19" s="1343"/>
      <c r="F19" s="1343">
        <v>24142</v>
      </c>
      <c r="G19" s="1343"/>
      <c r="H19" s="1343"/>
      <c r="I19" s="1343">
        <v>24142</v>
      </c>
      <c r="J19" s="1343"/>
      <c r="K19" s="1343"/>
      <c r="L19" s="1340">
        <f t="shared" si="0"/>
        <v>24142</v>
      </c>
      <c r="M19" s="1343"/>
    </row>
    <row r="20" spans="2:14" ht="20.100000000000001" customHeight="1" x14ac:dyDescent="0.2">
      <c r="B20" s="1337" t="s">
        <v>2165</v>
      </c>
      <c r="C20" s="1341">
        <v>10.555</v>
      </c>
      <c r="D20" s="1342" t="s">
        <v>2124</v>
      </c>
      <c r="E20" s="1343">
        <v>5054</v>
      </c>
      <c r="F20" s="1343"/>
      <c r="G20" s="1343">
        <v>5054</v>
      </c>
      <c r="H20" s="1343"/>
      <c r="I20" s="1343"/>
      <c r="J20" s="1343"/>
      <c r="K20" s="1343"/>
      <c r="L20" s="1340">
        <f t="shared" si="0"/>
        <v>5054</v>
      </c>
      <c r="M20" s="1343"/>
    </row>
    <row r="21" spans="2:14" ht="20.100000000000001" customHeight="1" x14ac:dyDescent="0.2">
      <c r="B21" s="1337" t="s">
        <v>2165</v>
      </c>
      <c r="C21" s="1341">
        <v>10.555</v>
      </c>
      <c r="D21" s="1342" t="s">
        <v>2125</v>
      </c>
      <c r="E21" s="1343"/>
      <c r="F21" s="1343">
        <v>7932</v>
      </c>
      <c r="G21" s="1343"/>
      <c r="H21" s="1343"/>
      <c r="I21" s="1343">
        <v>7932</v>
      </c>
      <c r="J21" s="1343"/>
      <c r="K21" s="1343"/>
      <c r="L21" s="1340">
        <f t="shared" si="0"/>
        <v>7932</v>
      </c>
      <c r="M21" s="1343"/>
    </row>
    <row r="22" spans="2:14" ht="20.100000000000001" customHeight="1" x14ac:dyDescent="0.2">
      <c r="B22" s="1337" t="s">
        <v>2166</v>
      </c>
      <c r="C22" s="1341">
        <v>10.555</v>
      </c>
      <c r="D22" s="1342" t="s">
        <v>2126</v>
      </c>
      <c r="E22" s="1343">
        <v>182533</v>
      </c>
      <c r="F22" s="1343">
        <v>46758</v>
      </c>
      <c r="G22" s="1343">
        <v>182533</v>
      </c>
      <c r="H22" s="1343"/>
      <c r="I22" s="1343">
        <v>46758</v>
      </c>
      <c r="J22" s="1343"/>
      <c r="K22" s="1343"/>
      <c r="L22" s="1340">
        <f t="shared" si="0"/>
        <v>229291</v>
      </c>
      <c r="M22" s="1343"/>
    </row>
    <row r="23" spans="2:14" ht="20.100000000000001" customHeight="1" x14ac:dyDescent="0.2">
      <c r="B23" s="1337" t="s">
        <v>2166</v>
      </c>
      <c r="C23" s="1341">
        <v>10.555</v>
      </c>
      <c r="D23" s="1342" t="s">
        <v>2127</v>
      </c>
      <c r="E23" s="1343"/>
      <c r="F23" s="1343">
        <v>173156</v>
      </c>
      <c r="G23" s="1343"/>
      <c r="H23" s="1343"/>
      <c r="I23" s="1343">
        <v>173156</v>
      </c>
      <c r="J23" s="1343"/>
      <c r="K23" s="1343"/>
      <c r="L23" s="1340">
        <f t="shared" si="0"/>
        <v>173156</v>
      </c>
      <c r="M23" s="1343"/>
    </row>
    <row r="24" spans="2:14" ht="20.100000000000001" customHeight="1" x14ac:dyDescent="0.2">
      <c r="B24" s="1337" t="s">
        <v>2120</v>
      </c>
      <c r="C24" s="1341"/>
      <c r="D24" s="1342"/>
      <c r="E24" s="1343">
        <f t="shared" ref="E24:M24" si="2">SUM(E18:E23)</f>
        <v>220098</v>
      </c>
      <c r="F24" s="1343">
        <f t="shared" si="2"/>
        <v>251988</v>
      </c>
      <c r="G24" s="1343">
        <f t="shared" si="2"/>
        <v>220098</v>
      </c>
      <c r="H24" s="1343">
        <f t="shared" si="2"/>
        <v>0</v>
      </c>
      <c r="I24" s="1343">
        <f t="shared" si="2"/>
        <v>251988</v>
      </c>
      <c r="J24" s="1343">
        <f t="shared" si="2"/>
        <v>0</v>
      </c>
      <c r="K24" s="1343">
        <f t="shared" si="2"/>
        <v>0</v>
      </c>
      <c r="L24" s="1343">
        <f t="shared" si="2"/>
        <v>472086</v>
      </c>
      <c r="M24" s="1343">
        <f t="shared" si="2"/>
        <v>0</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t="s">
        <v>2121</v>
      </c>
      <c r="C26" s="1341"/>
      <c r="D26" s="1342"/>
      <c r="E26" s="1343">
        <f t="shared" ref="E26:K26" si="3">E24+E15</f>
        <v>299837</v>
      </c>
      <c r="F26" s="1343">
        <f t="shared" si="3"/>
        <v>359374</v>
      </c>
      <c r="G26" s="1343">
        <f t="shared" si="3"/>
        <v>299837</v>
      </c>
      <c r="H26" s="1343">
        <f t="shared" si="3"/>
        <v>0</v>
      </c>
      <c r="I26" s="1343">
        <f t="shared" si="3"/>
        <v>359374</v>
      </c>
      <c r="J26" s="1343">
        <f t="shared" si="3"/>
        <v>0</v>
      </c>
      <c r="K26" s="1343">
        <f t="shared" si="3"/>
        <v>0</v>
      </c>
      <c r="L26" s="1340">
        <f t="shared" si="0"/>
        <v>659211</v>
      </c>
      <c r="M26" s="1343">
        <f>M24+M15</f>
        <v>0</v>
      </c>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verticalCentered="1"/>
  <pageMargins left="1" right="1" top="1" bottom="1" header="0.25" footer="0.75"/>
  <pageSetup scale="66"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view="pageBreakPreview" topLeftCell="A8" zoomScale="60" zoomScaleNormal="100" workbookViewId="0"/>
  </sheetViews>
  <sheetFormatPr defaultColWidth="33.5703125" defaultRowHeight="12.75" x14ac:dyDescent="0.2"/>
  <cols>
    <col min="1" max="1" width="0.140625" style="317" customWidth="1"/>
    <col min="2" max="2" width="40.57031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7" t="str">
        <f>'Single Audit Cover'!A7</f>
        <v>Meridian CUSD 101</v>
      </c>
      <c r="C1" s="2460"/>
      <c r="D1" s="2460"/>
      <c r="E1" s="2460"/>
      <c r="F1" s="2460"/>
      <c r="G1" s="2460"/>
      <c r="H1" s="2460"/>
      <c r="I1" s="2460"/>
      <c r="J1" s="2460"/>
      <c r="K1" s="2460"/>
      <c r="L1" s="2460"/>
      <c r="M1" s="2460"/>
    </row>
    <row r="2" spans="2:14" ht="15" x14ac:dyDescent="0.2">
      <c r="B2" s="2461">
        <f>'Single Audit Cover'!E7</f>
        <v>30077101026</v>
      </c>
      <c r="C2" s="2461"/>
      <c r="D2" s="2461"/>
      <c r="E2" s="2461"/>
      <c r="F2" s="2461"/>
      <c r="G2" s="2461"/>
      <c r="H2" s="2461"/>
      <c r="I2" s="2461"/>
      <c r="J2" s="2461"/>
      <c r="K2" s="2461"/>
      <c r="L2" s="2461"/>
      <c r="M2" s="2461"/>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2117</v>
      </c>
      <c r="C11" s="1338"/>
      <c r="D11" s="1339"/>
      <c r="E11" s="1340"/>
      <c r="F11" s="1340"/>
      <c r="G11" s="1340"/>
      <c r="H11" s="1340"/>
      <c r="I11" s="1340"/>
      <c r="J11" s="1340"/>
      <c r="K11" s="1340"/>
      <c r="L11" s="1340"/>
      <c r="M11" s="1340"/>
    </row>
    <row r="12" spans="2:14" ht="20.100000000000001" customHeight="1" x14ac:dyDescent="0.2">
      <c r="B12" s="1337" t="s">
        <v>2118</v>
      </c>
      <c r="C12" s="1341"/>
      <c r="D12" s="1342"/>
      <c r="E12" s="1343"/>
      <c r="F12" s="1343"/>
      <c r="G12" s="1343"/>
      <c r="H12" s="1343"/>
      <c r="I12" s="1343"/>
      <c r="J12" s="1343"/>
      <c r="K12" s="1343"/>
      <c r="L12" s="1340"/>
      <c r="M12" s="1343"/>
    </row>
    <row r="13" spans="2:14" ht="20.100000000000001" customHeight="1" x14ac:dyDescent="0.2">
      <c r="B13" s="1337" t="s">
        <v>2128</v>
      </c>
      <c r="C13" s="1341">
        <v>10.582000000000001</v>
      </c>
      <c r="D13" s="1342" t="s">
        <v>2129</v>
      </c>
      <c r="E13" s="1343"/>
      <c r="F13" s="1343">
        <v>12923</v>
      </c>
      <c r="G13" s="1343"/>
      <c r="H13" s="1343"/>
      <c r="I13" s="1343">
        <v>12923</v>
      </c>
      <c r="J13" s="1343"/>
      <c r="K13" s="1343"/>
      <c r="L13" s="1340">
        <f t="shared" ref="L13:L27" si="0">+G13+I13+K13</f>
        <v>12923</v>
      </c>
      <c r="M13" s="1343"/>
    </row>
    <row r="14" spans="2:14" ht="20.100000000000001" customHeight="1" x14ac:dyDescent="0.2">
      <c r="B14" s="1337" t="s">
        <v>2130</v>
      </c>
      <c r="C14" s="1341"/>
      <c r="D14" s="1342"/>
      <c r="E14" s="1343">
        <f t="shared" ref="E14:K14" si="1">E13</f>
        <v>0</v>
      </c>
      <c r="F14" s="1343">
        <f t="shared" si="1"/>
        <v>12923</v>
      </c>
      <c r="G14" s="1343">
        <f t="shared" si="1"/>
        <v>0</v>
      </c>
      <c r="H14" s="1343">
        <f t="shared" si="1"/>
        <v>0</v>
      </c>
      <c r="I14" s="1343">
        <f t="shared" si="1"/>
        <v>12923</v>
      </c>
      <c r="J14" s="1343">
        <f t="shared" si="1"/>
        <v>0</v>
      </c>
      <c r="K14" s="1343">
        <f t="shared" si="1"/>
        <v>0</v>
      </c>
      <c r="L14" s="1340">
        <f t="shared" si="0"/>
        <v>12923</v>
      </c>
      <c r="M14" s="1343">
        <f>M13</f>
        <v>0</v>
      </c>
    </row>
    <row r="15" spans="2:14" ht="20.100000000000001"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337" t="s">
        <v>2131</v>
      </c>
      <c r="C16" s="1341"/>
      <c r="D16" s="1342"/>
      <c r="E16" s="1343">
        <f>E14+' SEFA-1'!E26</f>
        <v>299837</v>
      </c>
      <c r="F16" s="1343">
        <f>F14+' SEFA-1'!F26</f>
        <v>372297</v>
      </c>
      <c r="G16" s="1343">
        <f>G14+' SEFA-1'!G26</f>
        <v>299837</v>
      </c>
      <c r="H16" s="1343">
        <f>H14+' SEFA-1'!H26</f>
        <v>0</v>
      </c>
      <c r="I16" s="1343">
        <f>I14+' SEFA-1'!I26</f>
        <v>372297</v>
      </c>
      <c r="J16" s="1343">
        <f>J14+' SEFA-1'!J26</f>
        <v>0</v>
      </c>
      <c r="K16" s="1343">
        <f>K14+' SEFA-1'!K26</f>
        <v>0</v>
      </c>
      <c r="L16" s="1340">
        <f t="shared" si="0"/>
        <v>672134</v>
      </c>
      <c r="M16" s="1343">
        <f>M14+' SEFA-1'!M26</f>
        <v>0</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2132</v>
      </c>
      <c r="C18" s="1341"/>
      <c r="D18" s="1342"/>
      <c r="E18" s="1343"/>
      <c r="F18" s="1343"/>
      <c r="G18" s="1343"/>
      <c r="H18" s="1343"/>
      <c r="I18" s="1343"/>
      <c r="J18" s="1343"/>
      <c r="K18" s="1343"/>
      <c r="L18" s="1340"/>
      <c r="M18" s="1343"/>
    </row>
    <row r="19" spans="2:14" ht="20.100000000000001" customHeight="1" x14ac:dyDescent="0.2">
      <c r="B19" s="1337" t="s">
        <v>2118</v>
      </c>
      <c r="C19" s="1341"/>
      <c r="D19" s="1342"/>
      <c r="E19" s="1343"/>
      <c r="F19" s="1343"/>
      <c r="G19" s="1343"/>
      <c r="H19" s="1343"/>
      <c r="I19" s="1343"/>
      <c r="J19" s="1343"/>
      <c r="K19" s="1343"/>
      <c r="L19" s="1340"/>
      <c r="M19" s="1343"/>
    </row>
    <row r="20" spans="2:14" ht="20.100000000000001" customHeight="1" x14ac:dyDescent="0.2">
      <c r="B20" s="1337" t="s">
        <v>2133</v>
      </c>
      <c r="C20" s="1341">
        <v>84.01</v>
      </c>
      <c r="D20" s="1342" t="s">
        <v>2134</v>
      </c>
      <c r="E20" s="1343">
        <v>315806</v>
      </c>
      <c r="F20" s="1343">
        <v>137604</v>
      </c>
      <c r="G20" s="1343">
        <v>439047</v>
      </c>
      <c r="H20" s="1343"/>
      <c r="I20" s="1343">
        <v>14363</v>
      </c>
      <c r="J20" s="1343"/>
      <c r="K20" s="1343"/>
      <c r="L20" s="1340">
        <f t="shared" si="0"/>
        <v>453410</v>
      </c>
      <c r="M20" s="1343">
        <v>453410</v>
      </c>
    </row>
    <row r="21" spans="2:14" ht="20.100000000000001" customHeight="1" x14ac:dyDescent="0.2">
      <c r="B21" s="1337" t="s">
        <v>2133</v>
      </c>
      <c r="C21" s="1341">
        <v>84.01</v>
      </c>
      <c r="D21" s="1342" t="s">
        <v>2207</v>
      </c>
      <c r="E21" s="1343"/>
      <c r="F21" s="1343">
        <v>192944</v>
      </c>
      <c r="G21" s="1343"/>
      <c r="H21" s="1343"/>
      <c r="I21" s="1343">
        <v>278192</v>
      </c>
      <c r="J21" s="1343"/>
      <c r="K21" s="1343"/>
      <c r="L21" s="1340">
        <f t="shared" si="0"/>
        <v>278192</v>
      </c>
      <c r="M21" s="1343">
        <v>409499</v>
      </c>
    </row>
    <row r="22" spans="2:14" ht="20.100000000000001" customHeight="1" x14ac:dyDescent="0.2">
      <c r="B22" s="1337" t="s">
        <v>2135</v>
      </c>
      <c r="C22" s="1341"/>
      <c r="D22" s="1342"/>
      <c r="E22" s="1343">
        <f t="shared" ref="E22:K22" si="2">SUM(E20:E21)</f>
        <v>315806</v>
      </c>
      <c r="F22" s="1343">
        <f t="shared" si="2"/>
        <v>330548</v>
      </c>
      <c r="G22" s="1343">
        <f t="shared" si="2"/>
        <v>439047</v>
      </c>
      <c r="H22" s="1343">
        <f t="shared" si="2"/>
        <v>0</v>
      </c>
      <c r="I22" s="1343">
        <f t="shared" si="2"/>
        <v>292555</v>
      </c>
      <c r="J22" s="1343">
        <f t="shared" si="2"/>
        <v>0</v>
      </c>
      <c r="K22" s="1343">
        <f t="shared" si="2"/>
        <v>0</v>
      </c>
      <c r="L22" s="1340">
        <f t="shared" si="0"/>
        <v>731602</v>
      </c>
      <c r="M22" s="1343">
        <f>SUM(M20:M21)</f>
        <v>862909</v>
      </c>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2118</v>
      </c>
      <c r="C24" s="1341"/>
      <c r="D24" s="1342"/>
      <c r="E24" s="1343"/>
      <c r="F24" s="1343"/>
      <c r="G24" s="1343"/>
      <c r="H24" s="1343"/>
      <c r="I24" s="1343"/>
      <c r="J24" s="1343"/>
      <c r="K24" s="1343"/>
      <c r="L24" s="1340"/>
      <c r="M24" s="1343"/>
    </row>
    <row r="25" spans="2:14" ht="20.100000000000001" customHeight="1" x14ac:dyDescent="0.2">
      <c r="B25" s="1337" t="s">
        <v>2136</v>
      </c>
      <c r="C25" s="1341">
        <v>84.287000000000006</v>
      </c>
      <c r="D25" s="1342" t="s">
        <v>2137</v>
      </c>
      <c r="E25" s="1343">
        <v>63700</v>
      </c>
      <c r="F25" s="1343">
        <v>165126</v>
      </c>
      <c r="G25" s="1343">
        <v>148841</v>
      </c>
      <c r="H25" s="1343"/>
      <c r="I25" s="1343">
        <v>79985</v>
      </c>
      <c r="J25" s="1343"/>
      <c r="K25" s="1343"/>
      <c r="L25" s="1340">
        <f t="shared" ref="L25:L26" si="3">+G25+I25+K25</f>
        <v>228826</v>
      </c>
      <c r="M25" s="1343">
        <v>270000</v>
      </c>
    </row>
    <row r="26" spans="2:14" ht="20.100000000000001" customHeight="1" x14ac:dyDescent="0.2">
      <c r="B26" s="1337" t="s">
        <v>2136</v>
      </c>
      <c r="C26" s="1341">
        <v>84.287000000000006</v>
      </c>
      <c r="D26" s="1342" t="s">
        <v>2138</v>
      </c>
      <c r="E26" s="1343"/>
      <c r="F26" s="1343">
        <v>28154</v>
      </c>
      <c r="G26" s="1343"/>
      <c r="H26" s="1343"/>
      <c r="I26" s="1343">
        <v>168814</v>
      </c>
      <c r="J26" s="1343"/>
      <c r="K26" s="1343"/>
      <c r="L26" s="1340">
        <f t="shared" si="3"/>
        <v>168814</v>
      </c>
      <c r="M26" s="1343">
        <v>270000</v>
      </c>
    </row>
    <row r="27" spans="2:14" ht="20.100000000000001" customHeight="1" x14ac:dyDescent="0.2">
      <c r="B27" s="1337" t="s">
        <v>2139</v>
      </c>
      <c r="C27" s="1341"/>
      <c r="D27" s="1342"/>
      <c r="E27" s="1343">
        <f t="shared" ref="E27:K27" si="4">E25+E26</f>
        <v>63700</v>
      </c>
      <c r="F27" s="1343">
        <f t="shared" si="4"/>
        <v>193280</v>
      </c>
      <c r="G27" s="1343">
        <f t="shared" si="4"/>
        <v>148841</v>
      </c>
      <c r="H27" s="1343">
        <f t="shared" si="4"/>
        <v>0</v>
      </c>
      <c r="I27" s="1343">
        <f t="shared" si="4"/>
        <v>248799</v>
      </c>
      <c r="J27" s="1343">
        <f t="shared" si="4"/>
        <v>0</v>
      </c>
      <c r="K27" s="1343">
        <f t="shared" si="4"/>
        <v>0</v>
      </c>
      <c r="L27" s="1340">
        <f t="shared" si="0"/>
        <v>397640</v>
      </c>
      <c r="M27" s="1343">
        <f>M25+M26</f>
        <v>540000</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1230</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3" t="s">
        <v>1731</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3" t="s">
        <v>331</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t="s">
        <v>2220</v>
      </c>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1390</v>
      </c>
      <c r="B70" s="2096"/>
      <c r="C70" s="2096"/>
      <c r="D70" s="2096"/>
      <c r="E70" s="2097"/>
      <c r="F70" s="2097"/>
      <c r="G70" s="2097"/>
      <c r="H70" s="2097"/>
      <c r="I70" s="209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1387</v>
      </c>
      <c r="B83" s="2098"/>
      <c r="C83" s="2098"/>
      <c r="D83" s="209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c r="D114" s="208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1397</v>
      </c>
      <c r="D117" s="2091"/>
      <c r="E117" s="2092"/>
      <c r="F117" s="2092"/>
      <c r="G117" s="2092"/>
      <c r="H117" s="2092"/>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rintOptions horizontalCentered="1"/>
  <pageMargins left="0.75" right="0.75" top="1" bottom="0.5" header="0.4" footer="0.35"/>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view="pageBreakPreview" topLeftCell="A7" zoomScale="60" zoomScaleNormal="100" workbookViewId="0"/>
  </sheetViews>
  <sheetFormatPr defaultColWidth="33.5703125" defaultRowHeight="12.75" x14ac:dyDescent="0.2"/>
  <cols>
    <col min="1" max="1" width="0.140625" style="317" customWidth="1"/>
    <col min="2" max="2" width="38.14062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7" t="str">
        <f>'Single Audit Cover'!A7</f>
        <v>Meridian CUSD 101</v>
      </c>
      <c r="C1" s="2460"/>
      <c r="D1" s="2460"/>
      <c r="E1" s="2460"/>
      <c r="F1" s="2460"/>
      <c r="G1" s="2460"/>
      <c r="H1" s="2460"/>
      <c r="I1" s="2460"/>
      <c r="J1" s="2460"/>
      <c r="K1" s="2460"/>
      <c r="L1" s="2460"/>
      <c r="M1" s="2460"/>
    </row>
    <row r="2" spans="2:14" ht="15" x14ac:dyDescent="0.2">
      <c r="B2" s="2461">
        <f>'Single Audit Cover'!E7</f>
        <v>30077101026</v>
      </c>
      <c r="C2" s="2461"/>
      <c r="D2" s="2461"/>
      <c r="E2" s="2461"/>
      <c r="F2" s="2461"/>
      <c r="G2" s="2461"/>
      <c r="H2" s="2461"/>
      <c r="I2" s="2461"/>
      <c r="J2" s="2461"/>
      <c r="K2" s="2461"/>
      <c r="L2" s="2461"/>
      <c r="M2" s="2461"/>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2117</v>
      </c>
      <c r="C11" s="1338"/>
      <c r="D11" s="1339"/>
      <c r="E11" s="1340"/>
      <c r="F11" s="1340"/>
      <c r="G11" s="1340"/>
      <c r="H11" s="1340"/>
      <c r="I11" s="1340"/>
      <c r="J11" s="1340"/>
      <c r="K11" s="1340"/>
      <c r="L11" s="1340"/>
      <c r="M11" s="1340"/>
    </row>
    <row r="12" spans="2:14" ht="20.100000000000001" customHeight="1" x14ac:dyDescent="0.2">
      <c r="B12" s="1337" t="s">
        <v>2118</v>
      </c>
      <c r="C12" s="1341"/>
      <c r="D12" s="1342"/>
      <c r="E12" s="1343"/>
      <c r="F12" s="1343"/>
      <c r="G12" s="1343"/>
      <c r="H12" s="1343"/>
      <c r="I12" s="1343"/>
      <c r="J12" s="1343"/>
      <c r="K12" s="1343"/>
      <c r="L12" s="1340"/>
      <c r="M12" s="1343"/>
    </row>
    <row r="13" spans="2:14" ht="20.100000000000001" customHeight="1" x14ac:dyDescent="0.2">
      <c r="B13" s="1337" t="s">
        <v>2140</v>
      </c>
      <c r="C13" s="1341">
        <v>84.358000000000004</v>
      </c>
      <c r="D13" s="1342" t="s">
        <v>2141</v>
      </c>
      <c r="E13" s="1343"/>
      <c r="F13" s="1343">
        <v>8000</v>
      </c>
      <c r="G13" s="1343"/>
      <c r="H13" s="1343"/>
      <c r="I13" s="1343">
        <v>8645</v>
      </c>
      <c r="J13" s="1343"/>
      <c r="K13" s="1343"/>
      <c r="L13" s="1340">
        <f t="shared" ref="L13:L24" si="0">+G13+I13+K13</f>
        <v>8645</v>
      </c>
      <c r="M13" s="1343">
        <v>8645</v>
      </c>
    </row>
    <row r="14" spans="2:14" ht="20.100000000000001" customHeight="1" x14ac:dyDescent="0.2">
      <c r="B14" s="1337" t="s">
        <v>2142</v>
      </c>
      <c r="C14" s="1341"/>
      <c r="D14" s="1342"/>
      <c r="E14" s="1343">
        <f t="shared" ref="E14:K14" si="1">E13</f>
        <v>0</v>
      </c>
      <c r="F14" s="1343">
        <f t="shared" si="1"/>
        <v>8000</v>
      </c>
      <c r="G14" s="1343">
        <f t="shared" si="1"/>
        <v>0</v>
      </c>
      <c r="H14" s="1343">
        <f t="shared" si="1"/>
        <v>0</v>
      </c>
      <c r="I14" s="1343">
        <f t="shared" si="1"/>
        <v>8645</v>
      </c>
      <c r="J14" s="1343">
        <f t="shared" si="1"/>
        <v>0</v>
      </c>
      <c r="K14" s="1343">
        <f t="shared" si="1"/>
        <v>0</v>
      </c>
      <c r="L14" s="1340">
        <f t="shared" si="0"/>
        <v>8645</v>
      </c>
      <c r="M14" s="1343">
        <f>M13</f>
        <v>8645</v>
      </c>
    </row>
    <row r="15" spans="2:14" ht="20.100000000000001"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337" t="s">
        <v>2118</v>
      </c>
      <c r="C16" s="1341"/>
      <c r="D16" s="1342"/>
      <c r="E16" s="1343"/>
      <c r="F16" s="1343"/>
      <c r="G16" s="1343"/>
      <c r="H16" s="1343"/>
      <c r="I16" s="1343"/>
      <c r="J16" s="1343"/>
      <c r="K16" s="1343"/>
      <c r="L16" s="1340">
        <f t="shared" si="0"/>
        <v>0</v>
      </c>
      <c r="M16" s="1343"/>
    </row>
    <row r="17" spans="2:14" ht="20.100000000000001" customHeight="1" x14ac:dyDescent="0.2">
      <c r="B17" s="1337" t="s">
        <v>2143</v>
      </c>
      <c r="C17" s="1341">
        <v>84.367000000000004</v>
      </c>
      <c r="D17" s="1342" t="s">
        <v>2144</v>
      </c>
      <c r="E17" s="1343">
        <v>61073</v>
      </c>
      <c r="F17" s="1343">
        <v>3403</v>
      </c>
      <c r="G17" s="1343">
        <v>64676</v>
      </c>
      <c r="H17" s="1343"/>
      <c r="I17" s="1343"/>
      <c r="J17" s="1343"/>
      <c r="K17" s="1343"/>
      <c r="L17" s="1340">
        <f t="shared" si="0"/>
        <v>64676</v>
      </c>
      <c r="M17" s="1343">
        <v>64540</v>
      </c>
    </row>
    <row r="18" spans="2:14" ht="20.100000000000001" customHeight="1" x14ac:dyDescent="0.2">
      <c r="B18" s="1337" t="s">
        <v>2143</v>
      </c>
      <c r="C18" s="1341">
        <v>84.367000000000004</v>
      </c>
      <c r="D18" s="1342" t="s">
        <v>2145</v>
      </c>
      <c r="E18" s="1343"/>
      <c r="F18" s="1343">
        <v>16562</v>
      </c>
      <c r="G18" s="1343"/>
      <c r="H18" s="1343"/>
      <c r="I18" s="1343">
        <v>26876</v>
      </c>
      <c r="J18" s="1343"/>
      <c r="K18" s="1343">
        <v>3720</v>
      </c>
      <c r="L18" s="1340">
        <f t="shared" si="0"/>
        <v>30596</v>
      </c>
      <c r="M18" s="1343">
        <v>39946</v>
      </c>
    </row>
    <row r="19" spans="2:14" ht="20.100000000000001" customHeight="1" x14ac:dyDescent="0.2">
      <c r="B19" s="1337" t="s">
        <v>2146</v>
      </c>
      <c r="C19" s="1341"/>
      <c r="D19" s="1342"/>
      <c r="E19" s="1343">
        <f t="shared" ref="E19:K19" si="2">E17+E18</f>
        <v>61073</v>
      </c>
      <c r="F19" s="1343">
        <f t="shared" si="2"/>
        <v>19965</v>
      </c>
      <c r="G19" s="1343">
        <f t="shared" si="2"/>
        <v>64676</v>
      </c>
      <c r="H19" s="1343">
        <f t="shared" si="2"/>
        <v>0</v>
      </c>
      <c r="I19" s="1343">
        <f t="shared" si="2"/>
        <v>26876</v>
      </c>
      <c r="J19" s="1343">
        <f t="shared" si="2"/>
        <v>0</v>
      </c>
      <c r="K19" s="1343">
        <f t="shared" si="2"/>
        <v>3720</v>
      </c>
      <c r="L19" s="1340">
        <f t="shared" si="0"/>
        <v>95272</v>
      </c>
      <c r="M19" s="1343">
        <f>M17+M18</f>
        <v>104486</v>
      </c>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t="s">
        <v>2118</v>
      </c>
      <c r="C21" s="1341"/>
      <c r="D21" s="1342"/>
      <c r="E21" s="1343"/>
      <c r="F21" s="1343"/>
      <c r="G21" s="1343"/>
      <c r="H21" s="1343"/>
      <c r="I21" s="1343"/>
      <c r="J21" s="1343"/>
      <c r="K21" s="1343"/>
      <c r="L21" s="1340"/>
      <c r="M21" s="1343"/>
    </row>
    <row r="22" spans="2:14" ht="20.100000000000001" customHeight="1" x14ac:dyDescent="0.2">
      <c r="B22" s="1337" t="s">
        <v>2147</v>
      </c>
      <c r="C22" s="1341">
        <v>84.376999999999995</v>
      </c>
      <c r="D22" s="1342" t="s">
        <v>2148</v>
      </c>
      <c r="E22" s="1343">
        <v>856788</v>
      </c>
      <c r="F22" s="1343">
        <v>1650274</v>
      </c>
      <c r="G22" s="1343">
        <v>1715717</v>
      </c>
      <c r="H22" s="1343"/>
      <c r="I22" s="1343">
        <v>791345</v>
      </c>
      <c r="J22" s="1343"/>
      <c r="K22" s="1343"/>
      <c r="L22" s="1340">
        <f t="shared" si="0"/>
        <v>2507062</v>
      </c>
      <c r="M22" s="1343">
        <v>2611495</v>
      </c>
    </row>
    <row r="23" spans="2:14" ht="20.100000000000001" customHeight="1" x14ac:dyDescent="0.2">
      <c r="B23" s="1337" t="s">
        <v>2147</v>
      </c>
      <c r="C23" s="1341">
        <v>84.376999999999995</v>
      </c>
      <c r="D23" s="1342" t="s">
        <v>2149</v>
      </c>
      <c r="E23" s="1343"/>
      <c r="F23" s="1343">
        <v>527268</v>
      </c>
      <c r="G23" s="1343"/>
      <c r="H23" s="1343"/>
      <c r="I23" s="1343">
        <v>943486</v>
      </c>
      <c r="J23" s="1343"/>
      <c r="K23" s="1343">
        <v>6713</v>
      </c>
      <c r="L23" s="1340">
        <f t="shared" si="0"/>
        <v>950199</v>
      </c>
      <c r="M23" s="1343">
        <v>1104433</v>
      </c>
    </row>
    <row r="24" spans="2:14" ht="20.100000000000001" customHeight="1" x14ac:dyDescent="0.2">
      <c r="B24" s="1337" t="s">
        <v>2150</v>
      </c>
      <c r="C24" s="1341"/>
      <c r="D24" s="1342"/>
      <c r="E24" s="1343">
        <f t="shared" ref="E24:K24" si="3">E22+E23</f>
        <v>856788</v>
      </c>
      <c r="F24" s="1343">
        <f t="shared" si="3"/>
        <v>2177542</v>
      </c>
      <c r="G24" s="1343">
        <f t="shared" si="3"/>
        <v>1715717</v>
      </c>
      <c r="H24" s="1343">
        <f t="shared" si="3"/>
        <v>0</v>
      </c>
      <c r="I24" s="1343">
        <f t="shared" si="3"/>
        <v>1734831</v>
      </c>
      <c r="J24" s="1343">
        <f t="shared" si="3"/>
        <v>0</v>
      </c>
      <c r="K24" s="1343">
        <f t="shared" si="3"/>
        <v>6713</v>
      </c>
      <c r="L24" s="1340">
        <f t="shared" si="0"/>
        <v>3457261</v>
      </c>
      <c r="M24" s="1343">
        <f>M22+M23</f>
        <v>3715928</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3"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topLeftCell="A8" zoomScaleNormal="100" workbookViewId="0"/>
  </sheetViews>
  <sheetFormatPr defaultColWidth="33.5703125" defaultRowHeight="12.75" x14ac:dyDescent="0.2"/>
  <cols>
    <col min="1" max="1" width="0.140625" style="317" customWidth="1"/>
    <col min="2" max="2" width="41.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7" t="str">
        <f>'Single Audit Cover'!A7</f>
        <v>Meridian CUSD 101</v>
      </c>
      <c r="C1" s="2460"/>
      <c r="D1" s="2460"/>
      <c r="E1" s="2460"/>
      <c r="F1" s="2460"/>
      <c r="G1" s="2460"/>
      <c r="H1" s="2460"/>
      <c r="I1" s="2460"/>
      <c r="J1" s="2460"/>
      <c r="K1" s="2460"/>
      <c r="L1" s="2460"/>
      <c r="M1" s="2460"/>
    </row>
    <row r="2" spans="2:14" ht="15" x14ac:dyDescent="0.2">
      <c r="B2" s="2461">
        <f>'Single Audit Cover'!E7</f>
        <v>30077101026</v>
      </c>
      <c r="C2" s="2461"/>
      <c r="D2" s="2461"/>
      <c r="E2" s="2461"/>
      <c r="F2" s="2461"/>
      <c r="G2" s="2461"/>
      <c r="H2" s="2461"/>
      <c r="I2" s="2461"/>
      <c r="J2" s="2461"/>
      <c r="K2" s="2461"/>
      <c r="L2" s="2461"/>
      <c r="M2" s="2461"/>
      <c r="N2" s="1302"/>
    </row>
    <row r="3" spans="2:14" ht="15" x14ac:dyDescent="0.2">
      <c r="B3" s="2462" t="s">
        <v>1281</v>
      </c>
      <c r="C3" s="2462"/>
      <c r="D3" s="2462"/>
      <c r="E3" s="2462"/>
      <c r="F3" s="2462"/>
      <c r="G3" s="2462"/>
      <c r="H3" s="2462"/>
      <c r="I3" s="2462"/>
      <c r="J3" s="2462"/>
      <c r="K3" s="2462"/>
      <c r="L3" s="2462"/>
      <c r="M3" s="2462"/>
      <c r="N3" s="1302"/>
    </row>
    <row r="4" spans="2:14" ht="15" x14ac:dyDescent="0.2">
      <c r="B4" s="2463" t="str">
        <f>'Single Audit Cover'!A4</f>
        <v>Year Ending June 30, 2018</v>
      </c>
      <c r="C4" s="2463"/>
      <c r="D4" s="2463"/>
      <c r="E4" s="2463"/>
      <c r="F4" s="2463"/>
      <c r="G4" s="2463"/>
      <c r="H4" s="2463"/>
      <c r="I4" s="2463"/>
      <c r="J4" s="2463"/>
      <c r="K4" s="2463"/>
      <c r="L4" s="2463"/>
      <c r="M4" s="246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2117</v>
      </c>
      <c r="C11" s="1338"/>
      <c r="D11" s="1339"/>
      <c r="E11" s="1340"/>
      <c r="F11" s="1340"/>
      <c r="G11" s="1340"/>
      <c r="H11" s="1340"/>
      <c r="I11" s="1340"/>
      <c r="J11" s="1340"/>
      <c r="K11" s="1340"/>
      <c r="L11" s="1340"/>
      <c r="M11" s="1340"/>
    </row>
    <row r="12" spans="2:14" ht="20.100000000000001" customHeight="1" x14ac:dyDescent="0.2">
      <c r="B12" s="1337" t="s">
        <v>2118</v>
      </c>
      <c r="C12" s="1341"/>
      <c r="D12" s="1342"/>
      <c r="E12" s="1343"/>
      <c r="F12" s="1343"/>
      <c r="G12" s="1343"/>
      <c r="H12" s="1343"/>
      <c r="I12" s="1343"/>
      <c r="J12" s="1343"/>
      <c r="K12" s="1343"/>
      <c r="L12" s="1340"/>
      <c r="M12" s="1343"/>
    </row>
    <row r="13" spans="2:14" ht="20.100000000000001" customHeight="1" x14ac:dyDescent="0.2">
      <c r="B13" s="1337" t="s">
        <v>2151</v>
      </c>
      <c r="C13" s="1341">
        <v>84.424000000000007</v>
      </c>
      <c r="D13" s="1342" t="s">
        <v>2152</v>
      </c>
      <c r="E13" s="1343"/>
      <c r="F13" s="1343">
        <v>674</v>
      </c>
      <c r="G13" s="1343"/>
      <c r="H13" s="1343"/>
      <c r="I13" s="1343">
        <v>4870</v>
      </c>
      <c r="J13" s="1343"/>
      <c r="K13" s="1343">
        <v>5134</v>
      </c>
      <c r="L13" s="1340">
        <f t="shared" ref="L13:L27" si="0">+G13+I13+K13</f>
        <v>10004</v>
      </c>
      <c r="M13" s="1343">
        <v>16634</v>
      </c>
    </row>
    <row r="14" spans="2:14" ht="20.100000000000001" customHeight="1" x14ac:dyDescent="0.2">
      <c r="B14" s="1337" t="s">
        <v>2153</v>
      </c>
      <c r="C14" s="1341"/>
      <c r="D14" s="1342"/>
      <c r="E14" s="1343">
        <f t="shared" ref="E14:K14" si="1">E13</f>
        <v>0</v>
      </c>
      <c r="F14" s="1343">
        <f t="shared" si="1"/>
        <v>674</v>
      </c>
      <c r="G14" s="1343">
        <f t="shared" si="1"/>
        <v>0</v>
      </c>
      <c r="H14" s="1343">
        <f t="shared" si="1"/>
        <v>0</v>
      </c>
      <c r="I14" s="1343">
        <f t="shared" si="1"/>
        <v>4870</v>
      </c>
      <c r="J14" s="1343">
        <f t="shared" si="1"/>
        <v>0</v>
      </c>
      <c r="K14" s="1343">
        <f t="shared" si="1"/>
        <v>5134</v>
      </c>
      <c r="L14" s="1340">
        <f t="shared" si="0"/>
        <v>10004</v>
      </c>
      <c r="M14" s="1343">
        <f>M13</f>
        <v>16634</v>
      </c>
    </row>
    <row r="15" spans="2:14" ht="20.100000000000001"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337" t="s">
        <v>2154</v>
      </c>
      <c r="C16" s="1341"/>
      <c r="D16" s="1342"/>
      <c r="E16" s="1343">
        <f>E14+'SEFA-3'!E24+'SEFA-3'!E19+'SEFA-3'!E14+'SEFA-2'!E27+'SEFA-2'!E22</f>
        <v>1297367</v>
      </c>
      <c r="F16" s="1343">
        <f>F14+'SEFA-3'!F24+'SEFA-3'!F19+'SEFA-3'!F14+'SEFA-2'!F27+'SEFA-2'!F22</f>
        <v>2730009</v>
      </c>
      <c r="G16" s="1343">
        <f>G14+'SEFA-3'!G24+'SEFA-3'!G19+'SEFA-3'!G14+'SEFA-2'!G27+'SEFA-2'!G22</f>
        <v>2368281</v>
      </c>
      <c r="H16" s="1343">
        <f>H14+'SEFA-3'!H24+'SEFA-3'!H19+'SEFA-3'!H14+'SEFA-2'!H27+'SEFA-2'!H22</f>
        <v>0</v>
      </c>
      <c r="I16" s="1343">
        <f>I14+'SEFA-3'!I24+'SEFA-3'!I19+'SEFA-3'!I14+'SEFA-2'!I27+'SEFA-2'!I22</f>
        <v>2316576</v>
      </c>
      <c r="J16" s="1343">
        <f>J14+'SEFA-3'!J24+'SEFA-3'!J19+'SEFA-3'!J14+'SEFA-2'!J27+'SEFA-2'!J22</f>
        <v>0</v>
      </c>
      <c r="K16" s="1343">
        <f>K14+'SEFA-3'!K24+'SEFA-3'!K19+'SEFA-3'!K14+'SEFA-2'!K27+'SEFA-2'!K22</f>
        <v>15567</v>
      </c>
      <c r="L16" s="1340">
        <f t="shared" si="0"/>
        <v>4700424</v>
      </c>
      <c r="M16" s="1343">
        <f>M14+'SEFA-3'!M24+'SEFA-3'!M19+'SEFA-3'!M14+'SEFA-2'!M27+'SEFA-2'!M22</f>
        <v>5248602</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2155</v>
      </c>
      <c r="C18" s="1341"/>
      <c r="D18" s="1342"/>
      <c r="E18" s="1343"/>
      <c r="F18" s="1343"/>
      <c r="G18" s="1343"/>
      <c r="H18" s="1343"/>
      <c r="I18" s="1343"/>
      <c r="J18" s="1343"/>
      <c r="K18" s="1343"/>
      <c r="L18" s="1340"/>
      <c r="M18" s="1343"/>
    </row>
    <row r="19" spans="2:14" ht="20.100000000000001" customHeight="1" x14ac:dyDescent="0.2">
      <c r="B19" s="1337" t="s">
        <v>2156</v>
      </c>
      <c r="C19" s="1341"/>
      <c r="D19" s="1342"/>
      <c r="E19" s="1343"/>
      <c r="F19" s="1343"/>
      <c r="G19" s="1343"/>
      <c r="H19" s="1343"/>
      <c r="I19" s="1343"/>
      <c r="J19" s="1343"/>
      <c r="K19" s="1343"/>
      <c r="L19" s="1340"/>
      <c r="M19" s="1343"/>
    </row>
    <row r="20" spans="2:14" ht="20.100000000000001" customHeight="1" x14ac:dyDescent="0.2">
      <c r="B20" s="1337" t="s">
        <v>2157</v>
      </c>
      <c r="C20" s="1341"/>
      <c r="D20" s="1342"/>
      <c r="E20" s="1343"/>
      <c r="F20" s="1343"/>
      <c r="G20" s="1343"/>
      <c r="H20" s="1343"/>
      <c r="I20" s="1343"/>
      <c r="J20" s="1343"/>
      <c r="K20" s="1343"/>
      <c r="L20" s="1340"/>
      <c r="M20" s="1343"/>
    </row>
    <row r="21" spans="2:14" ht="20.100000000000001" customHeight="1" x14ac:dyDescent="0.2">
      <c r="B21" s="1337" t="s">
        <v>2158</v>
      </c>
      <c r="C21" s="1341">
        <v>93.778000000000006</v>
      </c>
      <c r="D21" s="1342" t="s">
        <v>2159</v>
      </c>
      <c r="E21" s="1343">
        <v>4332</v>
      </c>
      <c r="F21" s="1343">
        <v>3615</v>
      </c>
      <c r="G21" s="1343">
        <v>7947</v>
      </c>
      <c r="H21" s="1343"/>
      <c r="I21" s="1343"/>
      <c r="J21" s="1343"/>
      <c r="K21" s="1343"/>
      <c r="L21" s="1340">
        <f t="shared" si="0"/>
        <v>7947</v>
      </c>
      <c r="M21" s="1343"/>
    </row>
    <row r="22" spans="2:14" ht="20.100000000000001" customHeight="1" x14ac:dyDescent="0.2">
      <c r="B22" s="1337" t="s">
        <v>2158</v>
      </c>
      <c r="C22" s="1341">
        <v>93.778000000000006</v>
      </c>
      <c r="D22" s="1342" t="s">
        <v>2160</v>
      </c>
      <c r="E22" s="1343"/>
      <c r="F22" s="1343">
        <v>4989</v>
      </c>
      <c r="G22" s="1343"/>
      <c r="H22" s="1343"/>
      <c r="I22" s="1343">
        <v>7822</v>
      </c>
      <c r="J22" s="1343"/>
      <c r="K22" s="1343"/>
      <c r="L22" s="1340">
        <f t="shared" si="0"/>
        <v>7822</v>
      </c>
      <c r="M22" s="1343"/>
    </row>
    <row r="23" spans="2:14" ht="20.100000000000001" customHeight="1" x14ac:dyDescent="0.2">
      <c r="B23" s="1337" t="s">
        <v>2161</v>
      </c>
      <c r="C23" s="1341"/>
      <c r="D23" s="1342"/>
      <c r="E23" s="1343">
        <f t="shared" ref="E23:K23" si="2">SUM(E21:E22)</f>
        <v>4332</v>
      </c>
      <c r="F23" s="1343">
        <f t="shared" si="2"/>
        <v>8604</v>
      </c>
      <c r="G23" s="1343">
        <f t="shared" si="2"/>
        <v>7947</v>
      </c>
      <c r="H23" s="1343">
        <f t="shared" si="2"/>
        <v>0</v>
      </c>
      <c r="I23" s="1343">
        <f t="shared" si="2"/>
        <v>7822</v>
      </c>
      <c r="J23" s="1343">
        <f t="shared" si="2"/>
        <v>0</v>
      </c>
      <c r="K23" s="1343">
        <f t="shared" si="2"/>
        <v>0</v>
      </c>
      <c r="L23" s="1340">
        <f t="shared" si="0"/>
        <v>15769</v>
      </c>
      <c r="M23" s="1343">
        <f>SUM(M21:M22)</f>
        <v>0</v>
      </c>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t="s">
        <v>2155</v>
      </c>
      <c r="C25" s="1341"/>
      <c r="D25" s="1342"/>
      <c r="E25" s="1343">
        <f t="shared" ref="E25:K25" si="3">E23</f>
        <v>4332</v>
      </c>
      <c r="F25" s="1343">
        <f t="shared" si="3"/>
        <v>8604</v>
      </c>
      <c r="G25" s="1343">
        <f t="shared" si="3"/>
        <v>7947</v>
      </c>
      <c r="H25" s="1343">
        <f t="shared" si="3"/>
        <v>0</v>
      </c>
      <c r="I25" s="1343">
        <f t="shared" si="3"/>
        <v>7822</v>
      </c>
      <c r="J25" s="1343">
        <f t="shared" si="3"/>
        <v>0</v>
      </c>
      <c r="K25" s="1343">
        <f t="shared" si="3"/>
        <v>0</v>
      </c>
      <c r="L25" s="1340">
        <f t="shared" si="0"/>
        <v>15769</v>
      </c>
      <c r="M25" s="1343">
        <f>M23</f>
        <v>0</v>
      </c>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t="s">
        <v>2162</v>
      </c>
      <c r="C27" s="1341"/>
      <c r="D27" s="1342"/>
      <c r="E27" s="1343">
        <f>E25+E16+'SEFA-2'!E16</f>
        <v>1601536</v>
      </c>
      <c r="F27" s="1343">
        <f>F25+F16+'SEFA-2'!F16</f>
        <v>3110910</v>
      </c>
      <c r="G27" s="1343">
        <f>G25+G16+'SEFA-2'!G16</f>
        <v>2676065</v>
      </c>
      <c r="H27" s="1343">
        <f>H25+H16+'SEFA-2'!H16</f>
        <v>0</v>
      </c>
      <c r="I27" s="1343">
        <f>I25+I16+'SEFA-2'!I16</f>
        <v>2696695</v>
      </c>
      <c r="J27" s="1343">
        <f>J25+J16+'SEFA-2'!J16</f>
        <v>0</v>
      </c>
      <c r="K27" s="1343">
        <f>K25+K16+'SEFA-2'!K16</f>
        <v>15567</v>
      </c>
      <c r="L27" s="1340">
        <f t="shared" si="0"/>
        <v>5388327</v>
      </c>
      <c r="M27" s="1343">
        <f>M25+M16+'SEFA-2'!M16</f>
        <v>5248602</v>
      </c>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 right="0.7" top="0.75" bottom="0.75" header="0.3" footer="0.3"/>
  <pageSetup scale="7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Meridian CUSD 101</v>
      </c>
      <c r="B1" s="2465"/>
      <c r="C1" s="2465"/>
      <c r="D1" s="2465"/>
      <c r="E1" s="2465"/>
      <c r="F1" s="2465"/>
    </row>
    <row r="2" spans="1:7" ht="13.5" customHeight="1" x14ac:dyDescent="0.2">
      <c r="A2" s="2461">
        <f>'Single Audit Cover'!E7</f>
        <v>30077101026</v>
      </c>
      <c r="B2" s="2461"/>
      <c r="C2" s="2461"/>
      <c r="D2" s="2461"/>
      <c r="E2" s="2461"/>
      <c r="F2" s="2461"/>
      <c r="G2" s="1275"/>
    </row>
    <row r="3" spans="1:7" ht="15.75" customHeight="1" x14ac:dyDescent="0.2">
      <c r="A3" s="2466" t="s">
        <v>1333</v>
      </c>
      <c r="B3" s="2466"/>
      <c r="C3" s="2466"/>
      <c r="D3" s="2466"/>
      <c r="E3" s="2466"/>
      <c r="F3" s="2466"/>
    </row>
    <row r="4" spans="1:7" ht="13.5" customHeight="1" x14ac:dyDescent="0.2">
      <c r="A4" s="2467" t="str">
        <f>'Single Audit Cover'!A4</f>
        <v>Year Ending June 30, 2018</v>
      </c>
      <c r="B4" s="2467"/>
      <c r="C4" s="2467"/>
      <c r="D4" s="2467"/>
      <c r="E4" s="2467"/>
      <c r="F4" s="2467"/>
    </row>
    <row r="5" spans="1:7" ht="8.25" customHeight="1" x14ac:dyDescent="0.2">
      <c r="C5" s="317"/>
      <c r="D5" s="317"/>
    </row>
    <row r="6" spans="1:7" ht="13.5" customHeight="1" x14ac:dyDescent="0.2">
      <c r="A6" s="1276" t="s">
        <v>1831</v>
      </c>
      <c r="C6" s="317"/>
      <c r="D6" s="317"/>
    </row>
    <row r="7" spans="1:7" ht="60.95" customHeight="1" x14ac:dyDescent="0.2">
      <c r="A7" s="2464" t="s">
        <v>2212</v>
      </c>
      <c r="B7" s="2464"/>
      <c r="C7" s="2464"/>
      <c r="D7" s="2464"/>
      <c r="E7" s="2464"/>
      <c r="F7" s="2464"/>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1.75" customHeight="1" x14ac:dyDescent="0.2">
      <c r="A13" s="2464" t="s">
        <v>2167</v>
      </c>
      <c r="B13" s="2464"/>
      <c r="C13" s="2464"/>
      <c r="D13" s="2464"/>
      <c r="E13" s="2464"/>
      <c r="F13" s="2464"/>
    </row>
    <row r="14" spans="1:7" ht="9.75" customHeight="1" x14ac:dyDescent="0.2">
      <c r="C14" s="1260"/>
      <c r="D14" s="1260"/>
    </row>
    <row r="15" spans="1:7" ht="13.5" customHeight="1" x14ac:dyDescent="0.2">
      <c r="C15" s="1871" t="s">
        <v>1332</v>
      </c>
      <c r="D15" s="2469" t="s">
        <v>1331</v>
      </c>
      <c r="E15" s="2469"/>
      <c r="F15" s="2469"/>
    </row>
    <row r="16" spans="1:7" ht="13.5" customHeight="1" x14ac:dyDescent="0.2">
      <c r="A16" s="1282"/>
      <c r="B16" s="1276" t="s">
        <v>1330</v>
      </c>
      <c r="C16" s="1871" t="s">
        <v>1329</v>
      </c>
      <c r="D16" s="2470" t="s">
        <v>1670</v>
      </c>
      <c r="E16" s="2470"/>
      <c r="F16" s="2470"/>
    </row>
    <row r="17" spans="1:6" ht="20.45" customHeight="1" x14ac:dyDescent="0.2">
      <c r="A17" s="1283"/>
      <c r="B17" s="1284" t="s">
        <v>2168</v>
      </c>
      <c r="C17" s="1285"/>
      <c r="D17" s="2468"/>
      <c r="E17" s="2468"/>
      <c r="F17" s="2468"/>
    </row>
    <row r="18" spans="1:6" ht="20.65" customHeight="1" x14ac:dyDescent="0.2">
      <c r="A18" s="1283"/>
      <c r="B18" s="1284"/>
      <c r="C18" s="1285"/>
      <c r="D18" s="2468"/>
      <c r="E18" s="2468"/>
      <c r="F18" s="2468"/>
    </row>
    <row r="19" spans="1:6" ht="20.65" customHeight="1" x14ac:dyDescent="0.2">
      <c r="A19" s="1283"/>
      <c r="B19" s="1284"/>
      <c r="C19" s="1285"/>
      <c r="D19" s="2468"/>
      <c r="E19" s="2468"/>
      <c r="F19" s="2468"/>
    </row>
    <row r="20" spans="1:6" ht="20.65" customHeight="1" x14ac:dyDescent="0.2">
      <c r="A20" s="1283"/>
      <c r="B20" s="1284"/>
      <c r="C20" s="1285"/>
      <c r="D20" s="2468"/>
      <c r="E20" s="2468"/>
      <c r="F20" s="2468"/>
    </row>
    <row r="21" spans="1:6" ht="20.65" customHeight="1" x14ac:dyDescent="0.2">
      <c r="A21" s="1283"/>
      <c r="B21" s="1284"/>
      <c r="C21" s="1285"/>
      <c r="D21" s="2468"/>
      <c r="E21" s="2468"/>
      <c r="F21" s="2468"/>
    </row>
    <row r="22" spans="1:6" ht="20.65" customHeight="1" x14ac:dyDescent="0.2">
      <c r="A22" s="1283"/>
      <c r="B22" s="1284"/>
      <c r="C22" s="1285"/>
      <c r="D22" s="2468"/>
      <c r="E22" s="2468"/>
      <c r="F22" s="2468"/>
    </row>
    <row r="23" spans="1:6" ht="20.65" customHeight="1" x14ac:dyDescent="0.2">
      <c r="A23" s="1283"/>
      <c r="B23" s="1284"/>
      <c r="C23" s="1285"/>
      <c r="D23" s="2468"/>
      <c r="E23" s="2468"/>
      <c r="F23" s="2468"/>
    </row>
    <row r="24" spans="1:6" ht="20.65" customHeight="1" x14ac:dyDescent="0.2">
      <c r="A24" s="1283"/>
      <c r="B24" s="1284"/>
      <c r="C24" s="1285"/>
      <c r="D24" s="2468"/>
      <c r="E24" s="2468"/>
      <c r="F24" s="2468"/>
    </row>
    <row r="25" spans="1:6" ht="20.65" customHeight="1" x14ac:dyDescent="0.2">
      <c r="A25" s="1283"/>
      <c r="B25" s="1284"/>
      <c r="C25" s="1285"/>
      <c r="D25" s="2468"/>
      <c r="E25" s="2468"/>
      <c r="F25" s="2468"/>
    </row>
    <row r="26" spans="1:6" ht="20.65" customHeight="1" x14ac:dyDescent="0.2">
      <c r="A26" s="1283"/>
      <c r="B26" s="1284"/>
      <c r="C26" s="1285"/>
      <c r="D26" s="2468"/>
      <c r="E26" s="2468"/>
      <c r="F26" s="2468"/>
    </row>
    <row r="27" spans="1:6" ht="20.65" customHeight="1" x14ac:dyDescent="0.2">
      <c r="A27" s="1283"/>
      <c r="B27" s="1284"/>
      <c r="C27" s="1285"/>
      <c r="D27" s="2468"/>
      <c r="E27" s="2468"/>
      <c r="F27" s="2468"/>
    </row>
    <row r="28" spans="1:6" ht="20.65" customHeight="1" x14ac:dyDescent="0.2">
      <c r="A28" s="1283"/>
      <c r="B28" s="1284"/>
      <c r="C28" s="1285"/>
      <c r="D28" s="2468"/>
      <c r="E28" s="2468"/>
      <c r="F28" s="2468"/>
    </row>
    <row r="29" spans="1:6" ht="20.65" customHeight="1" x14ac:dyDescent="0.2">
      <c r="A29" s="1283"/>
      <c r="B29" s="1284"/>
      <c r="C29" s="1285"/>
      <c r="D29" s="2468"/>
      <c r="E29" s="2468"/>
      <c r="F29" s="246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2" t="s">
        <v>2169</v>
      </c>
      <c r="B32" s="2472"/>
      <c r="C32" s="2472"/>
      <c r="D32" s="2472"/>
      <c r="E32" s="2472"/>
      <c r="F32" s="2472"/>
    </row>
    <row r="33" spans="1:6" ht="13.5" customHeight="1" x14ac:dyDescent="0.2">
      <c r="A33" s="328" t="s">
        <v>1509</v>
      </c>
      <c r="B33" s="328"/>
      <c r="C33" s="1288">
        <v>32074</v>
      </c>
      <c r="D33" s="1928"/>
      <c r="E33" s="1286"/>
    </row>
    <row r="34" spans="1:6" ht="13.5" customHeight="1" x14ac:dyDescent="0.2">
      <c r="A34" s="328" t="s">
        <v>1946</v>
      </c>
      <c r="B34" s="328"/>
      <c r="C34" s="1289">
        <v>0</v>
      </c>
      <c r="D34" s="1928" t="s">
        <v>1671</v>
      </c>
      <c r="E34" s="2473">
        <f>+C33+C34</f>
        <v>32074</v>
      </c>
      <c r="F34" s="2474"/>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75" t="s">
        <v>1672</v>
      </c>
      <c r="C49" s="2475"/>
      <c r="D49" s="2475"/>
      <c r="E49" s="1399"/>
    </row>
    <row r="50" spans="1:5" s="1300" customFormat="1" ht="3.75" customHeight="1" x14ac:dyDescent="0.2">
      <c r="A50" s="1299"/>
      <c r="B50" s="1870"/>
      <c r="C50" s="1870"/>
      <c r="D50" s="1870"/>
      <c r="E50" s="1399"/>
    </row>
    <row r="51" spans="1:5" s="1300" customFormat="1" ht="20.25" customHeight="1" x14ac:dyDescent="0.2">
      <c r="A51" s="1301">
        <v>6</v>
      </c>
      <c r="B51" s="2471" t="s">
        <v>1632</v>
      </c>
      <c r="C51" s="2471"/>
      <c r="D51" s="2471"/>
    </row>
    <row r="52" spans="1:5" ht="14.25" customHeight="1" x14ac:dyDescent="0.2">
      <c r="A52" s="1301"/>
      <c r="B52" s="2471"/>
      <c r="C52" s="2471"/>
      <c r="D52" s="247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verticalCentered="1"/>
  <pageMargins left="1" right="1" top="1" bottom="1" header="0.75" footer="0.75"/>
  <pageSetup scale="78"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6"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0" t="str">
        <f>'Single Audit Cover'!A7</f>
        <v>Meridian CUSD 101</v>
      </c>
      <c r="C1" s="2481"/>
      <c r="D1" s="2481"/>
      <c r="E1" s="2481"/>
      <c r="F1" s="2481"/>
      <c r="G1" s="2481"/>
      <c r="H1" s="2481"/>
      <c r="I1" s="2481"/>
      <c r="J1" s="1422"/>
    </row>
    <row r="2" spans="2:10" s="317" customFormat="1" ht="12.75" customHeight="1" x14ac:dyDescent="0.2">
      <c r="B2" s="2482">
        <f>'Single Audit Cover'!E7</f>
        <v>30077101026</v>
      </c>
      <c r="C2" s="2483"/>
      <c r="D2" s="2483"/>
      <c r="E2" s="2483"/>
      <c r="F2" s="2483"/>
      <c r="G2" s="2483"/>
      <c r="H2" s="2483"/>
      <c r="I2" s="2483"/>
      <c r="J2" s="1422"/>
    </row>
    <row r="3" spans="2:10" s="317" customFormat="1" ht="12.75" customHeight="1" x14ac:dyDescent="0.2">
      <c r="B3" s="2484" t="s">
        <v>1347</v>
      </c>
      <c r="C3" s="2485"/>
      <c r="D3" s="2485"/>
      <c r="E3" s="2485"/>
      <c r="F3" s="2485"/>
      <c r="G3" s="2485"/>
      <c r="H3" s="2485"/>
      <c r="I3" s="2485"/>
      <c r="J3" s="1423"/>
    </row>
    <row r="4" spans="2:10" s="317" customFormat="1" ht="12.75" customHeight="1" x14ac:dyDescent="0.2">
      <c r="B4" s="2484" t="str">
        <f>'Single Audit Cover'!A4</f>
        <v>Year Ending June 30, 2018</v>
      </c>
      <c r="C4" s="2485"/>
      <c r="D4" s="2485"/>
      <c r="E4" s="2485"/>
      <c r="F4" s="2485"/>
      <c r="G4" s="2485"/>
      <c r="H4" s="2485"/>
      <c r="I4" s="248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4" t="s">
        <v>1346</v>
      </c>
      <c r="C7" s="2485"/>
      <c r="D7" s="2485"/>
      <c r="E7" s="2485"/>
      <c r="F7" s="2485"/>
      <c r="G7" s="2485"/>
      <c r="H7" s="2485"/>
      <c r="I7" s="248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6" t="s">
        <v>1226</v>
      </c>
      <c r="D11" s="248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t="s">
        <v>2074</v>
      </c>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t="s">
        <v>2074</v>
      </c>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t="s">
        <v>2074</v>
      </c>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t="s">
        <v>2074</v>
      </c>
      <c r="F27" s="1300" t="s">
        <v>940</v>
      </c>
      <c r="G27" s="1438"/>
      <c r="H27" s="1300" t="s">
        <v>1338</v>
      </c>
      <c r="I27" s="1300"/>
    </row>
    <row r="28" spans="2:9" s="317" customFormat="1" ht="12.75" customHeight="1" x14ac:dyDescent="0.2">
      <c r="B28" s="1368"/>
      <c r="C28" s="1282"/>
      <c r="D28" s="2494" t="s">
        <v>2173</v>
      </c>
      <c r="E28" s="2494"/>
      <c r="F28" s="2494"/>
      <c r="G28" s="2494"/>
      <c r="H28" s="2494"/>
      <c r="I28" s="2494"/>
    </row>
    <row r="29" spans="2:9" s="317" customFormat="1" ht="12.75" customHeight="1" x14ac:dyDescent="0.2">
      <c r="B29" s="1368" t="s">
        <v>1337</v>
      </c>
      <c r="C29" s="1282"/>
      <c r="D29" s="2487" t="s">
        <v>2174</v>
      </c>
      <c r="E29" s="2487"/>
      <c r="F29" s="2487"/>
      <c r="G29" s="2487"/>
      <c r="H29" s="2487"/>
      <c r="I29" s="2487"/>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2074</v>
      </c>
      <c r="F33" s="1300" t="s">
        <v>940</v>
      </c>
      <c r="G33" s="1438"/>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8" t="s">
        <v>1851</v>
      </c>
      <c r="D37" s="2489"/>
      <c r="E37" s="2489"/>
      <c r="F37" s="2490"/>
      <c r="G37" s="2488" t="s">
        <v>1674</v>
      </c>
      <c r="H37" s="2489"/>
      <c r="I37" s="2490"/>
    </row>
    <row r="38" spans="2:9" ht="16.5" customHeight="1" x14ac:dyDescent="0.2">
      <c r="B38" s="1444" t="s">
        <v>2170</v>
      </c>
      <c r="C38" s="2476" t="s">
        <v>2171</v>
      </c>
      <c r="D38" s="2477"/>
      <c r="E38" s="2477"/>
      <c r="F38" s="2478"/>
      <c r="G38" s="2491">
        <v>359374</v>
      </c>
      <c r="H38" s="2492"/>
      <c r="I38" s="2493"/>
    </row>
    <row r="39" spans="2:9" ht="16.5" customHeight="1" x14ac:dyDescent="0.2">
      <c r="B39" s="1444">
        <v>84.376999999999995</v>
      </c>
      <c r="C39" s="2476" t="s">
        <v>2172</v>
      </c>
      <c r="D39" s="2477"/>
      <c r="E39" s="2477"/>
      <c r="F39" s="2478"/>
      <c r="G39" s="2479">
        <v>1734831</v>
      </c>
      <c r="H39" s="2479"/>
      <c r="I39" s="2479"/>
    </row>
    <row r="40" spans="2:9" ht="16.5" customHeight="1" x14ac:dyDescent="0.2">
      <c r="B40" s="1444"/>
      <c r="C40" s="2476"/>
      <c r="D40" s="2477"/>
      <c r="E40" s="2477"/>
      <c r="F40" s="2478"/>
      <c r="G40" s="2479"/>
      <c r="H40" s="2479"/>
      <c r="I40" s="2479"/>
    </row>
    <row r="41" spans="2:9" ht="16.5" customHeight="1" x14ac:dyDescent="0.2">
      <c r="B41" s="1444"/>
      <c r="C41" s="2476"/>
      <c r="D41" s="2477"/>
      <c r="E41" s="2477"/>
      <c r="F41" s="2478"/>
      <c r="G41" s="2479"/>
      <c r="H41" s="2479"/>
      <c r="I41" s="2479"/>
    </row>
    <row r="42" spans="2:9" ht="16.5" customHeight="1" x14ac:dyDescent="0.2">
      <c r="B42" s="1444"/>
      <c r="C42" s="2476"/>
      <c r="D42" s="2477"/>
      <c r="E42" s="2477"/>
      <c r="F42" s="2478"/>
      <c r="G42" s="2479"/>
      <c r="H42" s="2479"/>
      <c r="I42" s="2479"/>
    </row>
    <row r="43" spans="2:9" ht="16.5" customHeight="1" x14ac:dyDescent="0.2">
      <c r="B43" s="1444"/>
      <c r="C43" s="2495" t="s">
        <v>1675</v>
      </c>
      <c r="D43" s="2496"/>
      <c r="E43" s="2496"/>
      <c r="F43" s="2497"/>
      <c r="G43" s="2498">
        <f>SUM(G38:I42)</f>
        <v>2094205</v>
      </c>
      <c r="H43" s="2498"/>
      <c r="I43" s="2498"/>
    </row>
    <row r="44" spans="2:9" ht="12.75" customHeight="1" x14ac:dyDescent="0.2"/>
    <row r="45" spans="2:9" ht="12.75" customHeight="1" x14ac:dyDescent="0.2">
      <c r="B45" s="1435" t="s">
        <v>1949</v>
      </c>
      <c r="D45" s="2499">
        <v>2696695</v>
      </c>
      <c r="E45" s="2500"/>
    </row>
    <row r="46" spans="2:9" ht="5.25" customHeight="1" x14ac:dyDescent="0.2">
      <c r="B46" s="1445"/>
      <c r="D46" s="1446"/>
      <c r="E46" s="1447"/>
    </row>
    <row r="47" spans="2:9" ht="12.75" customHeight="1" x14ac:dyDescent="0.2">
      <c r="B47" s="1300" t="s">
        <v>1676</v>
      </c>
      <c r="C47" s="1300"/>
      <c r="D47" s="1448">
        <f>+G43/D45</f>
        <v>0.77658207546645064</v>
      </c>
      <c r="E47" s="1449"/>
      <c r="F47" s="1450"/>
      <c r="I47" s="1451"/>
    </row>
    <row r="48" spans="2:9" ht="9.9499999999999993" customHeight="1" x14ac:dyDescent="0.2"/>
    <row r="49" spans="1:9" x14ac:dyDescent="0.2">
      <c r="B49" s="1368" t="s">
        <v>1335</v>
      </c>
      <c r="C49" s="1282"/>
      <c r="D49" s="1282"/>
      <c r="E49" s="2501">
        <v>750000</v>
      </c>
      <c r="F49" s="2501"/>
      <c r="G49" s="2501"/>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4">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 ref="D28:I28"/>
  </mergeCells>
  <printOptions horizontalCentered="1" verticalCentered="1"/>
  <pageMargins left="1" right="1" top="1" bottom="1" header="0.51" footer="0.28999999999999998"/>
  <pageSetup scale="83" firstPageNumber="40" orientation="portrait" useFirstPageNumber="1" r:id="rId1"/>
  <headerFooter alignWithMargins="0">
    <oddHeader>&amp;L&amp;8Page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Meridian CUSD 101</v>
      </c>
      <c r="C1" s="2480"/>
      <c r="D1" s="2480"/>
      <c r="E1" s="2480"/>
      <c r="F1" s="2480"/>
      <c r="G1" s="2480"/>
      <c r="H1" s="2480"/>
      <c r="I1" s="2480"/>
      <c r="J1" s="2480"/>
      <c r="K1" s="2480"/>
      <c r="L1" s="1374"/>
      <c r="M1" s="1374"/>
    </row>
    <row r="2" spans="1:13" ht="12" customHeight="1" x14ac:dyDescent="0.2">
      <c r="B2" s="2482">
        <f>'Single Audit Cover'!E7</f>
        <v>30077101026</v>
      </c>
      <c r="C2" s="2482"/>
      <c r="D2" s="2482"/>
      <c r="E2" s="2482"/>
      <c r="F2" s="2482"/>
      <c r="G2" s="2482"/>
      <c r="H2" s="2482"/>
      <c r="I2" s="2482"/>
      <c r="J2" s="2482"/>
      <c r="K2" s="2482"/>
      <c r="L2" s="1375"/>
      <c r="M2" s="1376"/>
    </row>
    <row r="3" spans="1:13" ht="10.35" customHeight="1" x14ac:dyDescent="0.2">
      <c r="B3" s="2504" t="s">
        <v>1347</v>
      </c>
      <c r="C3" s="2504"/>
      <c r="D3" s="2504"/>
      <c r="E3" s="2504"/>
      <c r="F3" s="2504"/>
      <c r="G3" s="2504"/>
      <c r="H3" s="2504"/>
      <c r="I3" s="2504"/>
      <c r="J3" s="2504"/>
      <c r="K3" s="2504"/>
      <c r="L3" s="1377"/>
      <c r="M3" s="1377"/>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5" t="s">
        <v>1363</v>
      </c>
      <c r="C7" s="2505"/>
      <c r="D7" s="2506"/>
      <c r="E7" s="2506"/>
      <c r="F7" s="2506"/>
      <c r="G7" s="2506"/>
      <c r="H7" s="2506"/>
      <c r="I7" s="2506"/>
      <c r="J7" s="2506"/>
      <c r="K7" s="250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1</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3" t="s">
        <v>2175</v>
      </c>
      <c r="C14" s="2503"/>
      <c r="D14" s="2503"/>
      <c r="E14" s="2503"/>
      <c r="F14" s="2503"/>
      <c r="G14" s="2503"/>
      <c r="H14" s="2503"/>
      <c r="I14" s="2503"/>
      <c r="J14" s="2503"/>
      <c r="K14" s="250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3" t="s">
        <v>2213</v>
      </c>
      <c r="C17" s="2503"/>
      <c r="D17" s="2503"/>
      <c r="E17" s="2503"/>
      <c r="F17" s="2503"/>
      <c r="G17" s="2503"/>
      <c r="H17" s="2503"/>
      <c r="I17" s="2503"/>
      <c r="J17" s="2503"/>
      <c r="K17" s="250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7" t="s">
        <v>2217</v>
      </c>
      <c r="C20" s="2507"/>
      <c r="D20" s="2503"/>
      <c r="E20" s="2503"/>
      <c r="F20" s="2503"/>
      <c r="G20" s="2503"/>
      <c r="H20" s="2503"/>
      <c r="I20" s="2503"/>
      <c r="J20" s="2503"/>
      <c r="K20" s="250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3" t="s">
        <v>2177</v>
      </c>
      <c r="C23" s="2503"/>
      <c r="D23" s="2503"/>
      <c r="E23" s="2503"/>
      <c r="F23" s="2503"/>
      <c r="G23" s="2503"/>
      <c r="H23" s="2503"/>
      <c r="I23" s="2503"/>
      <c r="J23" s="2503"/>
      <c r="K23" s="250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3" t="s">
        <v>2176</v>
      </c>
      <c r="C26" s="2503"/>
      <c r="D26" s="2503"/>
      <c r="E26" s="2503"/>
      <c r="F26" s="2503"/>
      <c r="G26" s="2503"/>
      <c r="H26" s="2503"/>
      <c r="I26" s="2503"/>
      <c r="J26" s="2503"/>
      <c r="K26" s="250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2" t="s">
        <v>2218</v>
      </c>
      <c r="C29" s="2502"/>
      <c r="D29" s="2503"/>
      <c r="E29" s="2503"/>
      <c r="F29" s="2503"/>
      <c r="G29" s="2503"/>
      <c r="H29" s="2503"/>
      <c r="I29" s="2503"/>
      <c r="J29" s="2503"/>
      <c r="K29" s="250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2" t="s">
        <v>2221</v>
      </c>
      <c r="C32" s="2502"/>
      <c r="D32" s="2503"/>
      <c r="E32" s="2503"/>
      <c r="F32" s="2503"/>
      <c r="G32" s="2503"/>
      <c r="H32" s="2503"/>
      <c r="I32" s="2503"/>
      <c r="J32" s="2503"/>
      <c r="K32" s="250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verticalCentered="1"/>
  <pageMargins left="1" right="1" top="1" bottom="1" header="0.5" footer="0.31"/>
  <pageSetup scale="84"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0" t="str">
        <f>'Single Audit Cover'!A7</f>
        <v>Meridian CUSD 101</v>
      </c>
      <c r="C1" s="2480"/>
      <c r="D1" s="2480"/>
      <c r="E1" s="2480"/>
      <c r="F1" s="2480"/>
      <c r="G1" s="2480"/>
      <c r="H1" s="2480"/>
      <c r="I1" s="2480"/>
      <c r="J1" s="2480"/>
      <c r="K1" s="2480"/>
      <c r="L1" s="1374"/>
      <c r="M1" s="1374"/>
    </row>
    <row r="2" spans="1:13" ht="12" customHeight="1" x14ac:dyDescent="0.2">
      <c r="B2" s="2482">
        <f>'Single Audit Cover'!E7</f>
        <v>30077101026</v>
      </c>
      <c r="C2" s="2482"/>
      <c r="D2" s="2482"/>
      <c r="E2" s="2482"/>
      <c r="F2" s="2482"/>
      <c r="G2" s="2482"/>
      <c r="H2" s="2482"/>
      <c r="I2" s="2482"/>
      <c r="J2" s="2482"/>
      <c r="K2" s="2482"/>
      <c r="L2" s="1375"/>
      <c r="M2" s="1376"/>
    </row>
    <row r="3" spans="1:13" ht="10.35" customHeight="1" x14ac:dyDescent="0.2">
      <c r="B3" s="2504" t="s">
        <v>1347</v>
      </c>
      <c r="C3" s="2504"/>
      <c r="D3" s="2504"/>
      <c r="E3" s="2504"/>
      <c r="F3" s="2504"/>
      <c r="G3" s="2504"/>
      <c r="H3" s="2504"/>
      <c r="I3" s="2504"/>
      <c r="J3" s="2504"/>
      <c r="K3" s="2504"/>
      <c r="L3" s="1955"/>
      <c r="M3" s="1955"/>
    </row>
    <row r="4" spans="1:13" ht="14.25" customHeight="1" x14ac:dyDescent="0.2">
      <c r="B4" s="2505" t="str">
        <f>'Single Audit Cover'!A4</f>
        <v>Year Ending June 30, 2018</v>
      </c>
      <c r="C4" s="2505"/>
      <c r="D4" s="2505"/>
      <c r="E4" s="2505"/>
      <c r="F4" s="2505"/>
      <c r="G4" s="2505"/>
      <c r="H4" s="2505"/>
      <c r="I4" s="2505"/>
      <c r="J4" s="2505"/>
      <c r="K4" s="250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5" t="s">
        <v>1363</v>
      </c>
      <c r="C7" s="2505"/>
      <c r="D7" s="2506"/>
      <c r="E7" s="2506"/>
      <c r="F7" s="2506"/>
      <c r="G7" s="2506"/>
      <c r="H7" s="2506"/>
      <c r="I7" s="2506"/>
      <c r="J7" s="2506"/>
      <c r="K7" s="250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2</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3" t="s">
        <v>2178</v>
      </c>
      <c r="C14" s="2503"/>
      <c r="D14" s="2503"/>
      <c r="E14" s="2503"/>
      <c r="F14" s="2503"/>
      <c r="G14" s="2503"/>
      <c r="H14" s="2503"/>
      <c r="I14" s="2503"/>
      <c r="J14" s="2503"/>
      <c r="K14" s="250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3" t="s">
        <v>2179</v>
      </c>
      <c r="C17" s="2503"/>
      <c r="D17" s="2503"/>
      <c r="E17" s="2503"/>
      <c r="F17" s="2503"/>
      <c r="G17" s="2503"/>
      <c r="H17" s="2503"/>
      <c r="I17" s="2503"/>
      <c r="J17" s="2503"/>
      <c r="K17" s="2503"/>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7" t="s">
        <v>2180</v>
      </c>
      <c r="C20" s="2507"/>
      <c r="D20" s="2503"/>
      <c r="E20" s="2503"/>
      <c r="F20" s="2503"/>
      <c r="G20" s="2503"/>
      <c r="H20" s="2503"/>
      <c r="I20" s="2503"/>
      <c r="J20" s="2503"/>
      <c r="K20" s="250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3" t="s">
        <v>2181</v>
      </c>
      <c r="C23" s="2503"/>
      <c r="D23" s="2503"/>
      <c r="E23" s="2503"/>
      <c r="F23" s="2503"/>
      <c r="G23" s="2503"/>
      <c r="H23" s="2503"/>
      <c r="I23" s="2503"/>
      <c r="J23" s="2503"/>
      <c r="K23" s="250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3" t="s">
        <v>2182</v>
      </c>
      <c r="C26" s="2503"/>
      <c r="D26" s="2503"/>
      <c r="E26" s="2503"/>
      <c r="F26" s="2503"/>
      <c r="G26" s="2503"/>
      <c r="H26" s="2503"/>
      <c r="I26" s="2503"/>
      <c r="J26" s="2503"/>
      <c r="K26" s="250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55.5" customHeight="1" x14ac:dyDescent="0.2">
      <c r="B29" s="2502" t="s">
        <v>2183</v>
      </c>
      <c r="C29" s="2502"/>
      <c r="D29" s="2503"/>
      <c r="E29" s="2503"/>
      <c r="F29" s="2503"/>
      <c r="G29" s="2503"/>
      <c r="H29" s="2503"/>
      <c r="I29" s="2503"/>
      <c r="J29" s="2503"/>
      <c r="K29" s="250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2" t="s">
        <v>2222</v>
      </c>
      <c r="C32" s="2502"/>
      <c r="D32" s="2503"/>
      <c r="E32" s="2503"/>
      <c r="F32" s="2503"/>
      <c r="G32" s="2503"/>
      <c r="H32" s="2503"/>
      <c r="I32" s="2503"/>
      <c r="J32" s="2503"/>
      <c r="K32" s="250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7" right="0.7" top="0.75" bottom="0.75" header="0.3" footer="0.3"/>
  <pageSetup scale="9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Meridian CUSD 101</v>
      </c>
      <c r="C1" s="2508"/>
      <c r="D1" s="2508"/>
      <c r="E1" s="2508"/>
      <c r="F1" s="2508"/>
      <c r="G1" s="2508"/>
      <c r="H1" s="2508"/>
      <c r="I1" s="2508"/>
      <c r="J1" s="2508"/>
      <c r="K1" s="2508"/>
      <c r="L1" s="1465"/>
    </row>
    <row r="2" spans="1:12" ht="12.75" customHeight="1" x14ac:dyDescent="0.2">
      <c r="B2" s="2509">
        <f>'Single Audit Cover'!E7</f>
        <v>30077101026</v>
      </c>
      <c r="C2" s="2509"/>
      <c r="D2" s="2509"/>
      <c r="E2" s="2509"/>
      <c r="F2" s="2509"/>
      <c r="G2" s="2509"/>
      <c r="H2" s="2509"/>
      <c r="I2" s="2509"/>
      <c r="J2" s="2509"/>
      <c r="K2" s="2509"/>
      <c r="L2" s="1466"/>
    </row>
    <row r="3" spans="1:12" ht="12.75" customHeight="1" x14ac:dyDescent="0.2">
      <c r="B3" s="2504" t="s">
        <v>1347</v>
      </c>
      <c r="C3" s="2504"/>
      <c r="D3" s="2504"/>
      <c r="E3" s="2504"/>
      <c r="F3" s="2504"/>
      <c r="G3" s="2504"/>
      <c r="H3" s="2504"/>
      <c r="I3" s="2504"/>
      <c r="J3" s="2504"/>
      <c r="K3" s="2504"/>
      <c r="L3" s="1377"/>
    </row>
    <row r="4" spans="1:12" ht="12.75" customHeight="1" x14ac:dyDescent="0.2">
      <c r="B4" s="2504" t="str">
        <f>'Single Audit Cover'!A4</f>
        <v>Year Ending June 30, 2018</v>
      </c>
      <c r="C4" s="2504"/>
      <c r="D4" s="2504"/>
      <c r="E4" s="2504"/>
      <c r="F4" s="2504"/>
      <c r="G4" s="2504"/>
      <c r="H4" s="2504"/>
      <c r="I4" s="2504"/>
      <c r="J4" s="2504"/>
      <c r="K4" s="2504"/>
      <c r="L4" s="1377"/>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3</v>
      </c>
      <c r="E8" s="322"/>
      <c r="F8" s="1384" t="s">
        <v>1362</v>
      </c>
      <c r="G8" s="1469" t="s">
        <v>2074</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t="s">
        <v>2184</v>
      </c>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1" t="s">
        <v>2185</v>
      </c>
      <c r="E14" s="2511"/>
      <c r="F14" s="2511"/>
      <c r="H14" s="1475" t="s">
        <v>1370</v>
      </c>
      <c r="I14" s="2512" t="s">
        <v>2170</v>
      </c>
      <c r="J14" s="2512"/>
      <c r="K14" s="251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2" t="s">
        <v>2186</v>
      </c>
      <c r="E16" s="2512"/>
      <c r="F16" s="2512"/>
      <c r="G16" s="2512"/>
      <c r="H16" s="2512"/>
      <c r="I16" s="2512"/>
      <c r="J16" s="2512"/>
      <c r="K16" s="2512"/>
      <c r="L16" s="322"/>
    </row>
    <row r="17" spans="2:12" ht="13.5" customHeight="1" x14ac:dyDescent="0.2">
      <c r="B17" s="1387" t="s">
        <v>1368</v>
      </c>
      <c r="C17" s="1387"/>
      <c r="D17" s="2513" t="s">
        <v>2187</v>
      </c>
      <c r="E17" s="2513"/>
      <c r="F17" s="2513"/>
      <c r="G17" s="2513"/>
      <c r="H17" s="2513"/>
      <c r="I17" s="2513"/>
      <c r="J17" s="2513"/>
      <c r="K17" s="251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9.75" customHeight="1" x14ac:dyDescent="0.2">
      <c r="B20" s="2503" t="s">
        <v>2214</v>
      </c>
      <c r="C20" s="2503"/>
      <c r="D20" s="2503"/>
      <c r="E20" s="2503"/>
      <c r="F20" s="2503"/>
      <c r="G20" s="2503"/>
      <c r="H20" s="2503"/>
      <c r="I20" s="2503"/>
      <c r="J20" s="2503"/>
      <c r="K20" s="250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03" t="s">
        <v>2188</v>
      </c>
      <c r="C23" s="2503"/>
      <c r="D23" s="2503"/>
      <c r="E23" s="2503"/>
      <c r="F23" s="2503"/>
      <c r="G23" s="2503"/>
      <c r="H23" s="2503"/>
      <c r="I23" s="2503"/>
      <c r="J23" s="2503"/>
      <c r="K23" s="250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3" t="s">
        <v>2189</v>
      </c>
      <c r="C26" s="2503"/>
      <c r="D26" s="2503"/>
      <c r="E26" s="2503"/>
      <c r="F26" s="2503"/>
      <c r="G26" s="2503"/>
      <c r="H26" s="2503"/>
      <c r="I26" s="2503"/>
      <c r="J26" s="2503"/>
      <c r="K26" s="250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3" t="s">
        <v>2215</v>
      </c>
      <c r="C29" s="2503"/>
      <c r="D29" s="2503"/>
      <c r="E29" s="2503"/>
      <c r="F29" s="2503"/>
      <c r="G29" s="2503"/>
      <c r="H29" s="2503"/>
      <c r="I29" s="2503"/>
      <c r="J29" s="2503"/>
      <c r="K29" s="250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3" t="s">
        <v>2190</v>
      </c>
      <c r="C32" s="2503"/>
      <c r="D32" s="2503"/>
      <c r="E32" s="2503"/>
      <c r="F32" s="2503"/>
      <c r="G32" s="2503"/>
      <c r="H32" s="2503"/>
      <c r="I32" s="2503"/>
      <c r="J32" s="2503"/>
      <c r="K32" s="250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3" t="s">
        <v>2216</v>
      </c>
      <c r="C35" s="2503"/>
      <c r="D35" s="2503"/>
      <c r="E35" s="2503"/>
      <c r="F35" s="2503"/>
      <c r="G35" s="2503"/>
      <c r="H35" s="2503"/>
      <c r="I35" s="2503"/>
      <c r="J35" s="2503"/>
      <c r="K35" s="250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9.75" customHeight="1" x14ac:dyDescent="0.2">
      <c r="B38" s="2503" t="s">
        <v>2219</v>
      </c>
      <c r="C38" s="2503"/>
      <c r="D38" s="2503"/>
      <c r="E38" s="2503"/>
      <c r="F38" s="2503"/>
      <c r="G38" s="2503"/>
      <c r="H38" s="2503"/>
      <c r="I38" s="2503"/>
      <c r="J38" s="2503"/>
      <c r="K38" s="250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3" t="s">
        <v>2223</v>
      </c>
      <c r="C41" s="2503"/>
      <c r="D41" s="2503"/>
      <c r="E41" s="2503"/>
      <c r="F41" s="2503"/>
      <c r="G41" s="2503"/>
      <c r="H41" s="2503"/>
      <c r="I41" s="2503"/>
      <c r="J41" s="2503"/>
      <c r="K41" s="250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verticalCentered="1"/>
  <pageMargins left="1" right="1" top="1" bottom="1" header="0.5" footer="0.18"/>
  <pageSetup scale="85"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zoomScaleNormal="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Meridian CUSD 101</v>
      </c>
      <c r="C1" s="2508"/>
      <c r="D1" s="2508"/>
      <c r="E1" s="2508"/>
      <c r="F1" s="2508"/>
      <c r="G1" s="2508"/>
      <c r="H1" s="2508"/>
      <c r="I1" s="2508"/>
      <c r="J1" s="2508"/>
      <c r="K1" s="2508"/>
      <c r="L1" s="1465"/>
    </row>
    <row r="2" spans="1:12" ht="12.75" customHeight="1" x14ac:dyDescent="0.2">
      <c r="B2" s="2509">
        <f>'Single Audit Cover'!E7</f>
        <v>30077101026</v>
      </c>
      <c r="C2" s="2509"/>
      <c r="D2" s="2509"/>
      <c r="E2" s="2509"/>
      <c r="F2" s="2509"/>
      <c r="G2" s="2509"/>
      <c r="H2" s="2509"/>
      <c r="I2" s="2509"/>
      <c r="J2" s="2509"/>
      <c r="K2" s="2509"/>
      <c r="L2" s="1466"/>
    </row>
    <row r="3" spans="1:12" ht="12.75" customHeight="1" x14ac:dyDescent="0.2">
      <c r="B3" s="2504" t="s">
        <v>1347</v>
      </c>
      <c r="C3" s="2504"/>
      <c r="D3" s="2504"/>
      <c r="E3" s="2504"/>
      <c r="F3" s="2504"/>
      <c r="G3" s="2504"/>
      <c r="H3" s="2504"/>
      <c r="I3" s="2504"/>
      <c r="J3" s="2504"/>
      <c r="K3" s="2504"/>
      <c r="L3" s="1955"/>
    </row>
    <row r="4" spans="1:12" ht="12.75" customHeight="1" x14ac:dyDescent="0.2">
      <c r="B4" s="2504" t="str">
        <f>'Single Audit Cover'!A4</f>
        <v>Year Ending June 30, 2018</v>
      </c>
      <c r="C4" s="2504"/>
      <c r="D4" s="2504"/>
      <c r="E4" s="2504"/>
      <c r="F4" s="2504"/>
      <c r="G4" s="2504"/>
      <c r="H4" s="2504"/>
      <c r="I4" s="2504"/>
      <c r="J4" s="2504"/>
      <c r="K4" s="2504"/>
      <c r="L4" s="1955"/>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4</v>
      </c>
      <c r="E8" s="322"/>
      <c r="F8" s="1384" t="s">
        <v>1362</v>
      </c>
      <c r="G8" s="1469" t="s">
        <v>2074</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7" t="s">
        <v>2191</v>
      </c>
      <c r="G12" s="2487"/>
      <c r="H12" s="2487"/>
      <c r="I12" s="2487"/>
      <c r="J12" s="2487"/>
      <c r="K12" s="248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1" t="s">
        <v>2185</v>
      </c>
      <c r="E14" s="2511"/>
      <c r="F14" s="2511"/>
      <c r="H14" s="1475" t="s">
        <v>1370</v>
      </c>
      <c r="I14" s="2512" t="s">
        <v>2170</v>
      </c>
      <c r="J14" s="2512"/>
      <c r="K14" s="251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2" t="s">
        <v>2186</v>
      </c>
      <c r="E16" s="2512"/>
      <c r="F16" s="2512"/>
      <c r="G16" s="2512"/>
      <c r="H16" s="2512"/>
      <c r="I16" s="2512"/>
      <c r="J16" s="2512"/>
      <c r="K16" s="2512"/>
      <c r="L16" s="322"/>
    </row>
    <row r="17" spans="2:12" ht="13.5" customHeight="1" x14ac:dyDescent="0.2">
      <c r="B17" s="1387" t="s">
        <v>1368</v>
      </c>
      <c r="C17" s="1387"/>
      <c r="D17" s="2513" t="s">
        <v>2187</v>
      </c>
      <c r="E17" s="2513"/>
      <c r="F17" s="2513"/>
      <c r="G17" s="2513"/>
      <c r="H17" s="2513"/>
      <c r="I17" s="2513"/>
      <c r="J17" s="2513"/>
      <c r="K17" s="251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3" t="s">
        <v>2192</v>
      </c>
      <c r="C20" s="2503"/>
      <c r="D20" s="2503"/>
      <c r="E20" s="2503"/>
      <c r="F20" s="2503"/>
      <c r="G20" s="2503"/>
      <c r="H20" s="2503"/>
      <c r="I20" s="2503"/>
      <c r="J20" s="2503"/>
      <c r="K20" s="250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03" t="s">
        <v>2193</v>
      </c>
      <c r="C23" s="2503"/>
      <c r="D23" s="2503"/>
      <c r="E23" s="2503"/>
      <c r="F23" s="2503"/>
      <c r="G23" s="2503"/>
      <c r="H23" s="2503"/>
      <c r="I23" s="2503"/>
      <c r="J23" s="2503"/>
      <c r="K23" s="250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03" t="s">
        <v>2189</v>
      </c>
      <c r="C26" s="2503"/>
      <c r="D26" s="2503"/>
      <c r="E26" s="2503"/>
      <c r="F26" s="2503"/>
      <c r="G26" s="2503"/>
      <c r="H26" s="2503"/>
      <c r="I26" s="2503"/>
      <c r="J26" s="2503"/>
      <c r="K26" s="250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03" t="s">
        <v>2194</v>
      </c>
      <c r="C29" s="2503"/>
      <c r="D29" s="2503"/>
      <c r="E29" s="2503"/>
      <c r="F29" s="2503"/>
      <c r="G29" s="2503"/>
      <c r="H29" s="2503"/>
      <c r="I29" s="2503"/>
      <c r="J29" s="2503"/>
      <c r="K29" s="250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3" t="s">
        <v>2195</v>
      </c>
      <c r="C32" s="2503"/>
      <c r="D32" s="2503"/>
      <c r="E32" s="2503"/>
      <c r="F32" s="2503"/>
      <c r="G32" s="2503"/>
      <c r="H32" s="2503"/>
      <c r="I32" s="2503"/>
      <c r="J32" s="2503"/>
      <c r="K32" s="250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3" t="s">
        <v>2196</v>
      </c>
      <c r="C35" s="2503"/>
      <c r="D35" s="2503"/>
      <c r="E35" s="2503"/>
      <c r="F35" s="2503"/>
      <c r="G35" s="2503"/>
      <c r="H35" s="2503"/>
      <c r="I35" s="2503"/>
      <c r="J35" s="2503"/>
      <c r="K35" s="250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3" t="s">
        <v>2197</v>
      </c>
      <c r="C38" s="2503"/>
      <c r="D38" s="2503"/>
      <c r="E38" s="2503"/>
      <c r="F38" s="2503"/>
      <c r="G38" s="2503"/>
      <c r="H38" s="2503"/>
      <c r="I38" s="2503"/>
      <c r="J38" s="2503"/>
      <c r="K38" s="250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03" t="s">
        <v>2224</v>
      </c>
      <c r="C41" s="2503"/>
      <c r="D41" s="2503"/>
      <c r="E41" s="2503"/>
      <c r="F41" s="2503"/>
      <c r="G41" s="2503"/>
      <c r="H41" s="2503"/>
      <c r="I41" s="2503"/>
      <c r="J41" s="2503"/>
      <c r="K41" s="250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7" right="0.7" top="0.75" bottom="0.75" header="0.3" footer="0.3"/>
  <pageSetup scale="91"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0" t="str">
        <f>'Single Audit Cover'!A7</f>
        <v>Meridian CUSD 101</v>
      </c>
      <c r="C1" s="2480"/>
      <c r="D1" s="2480"/>
      <c r="E1" s="1491"/>
    </row>
    <row r="2" spans="2:5" s="1282" customFormat="1" ht="12.75" customHeight="1" x14ac:dyDescent="0.2">
      <c r="B2" s="2482">
        <f>'Single Audit Cover'!E7</f>
        <v>30077101026</v>
      </c>
      <c r="C2" s="2482"/>
      <c r="D2" s="2482"/>
      <c r="E2" s="1492"/>
    </row>
    <row r="3" spans="2:5" ht="12.75" customHeight="1" x14ac:dyDescent="0.2">
      <c r="B3" s="2504" t="s">
        <v>1866</v>
      </c>
      <c r="C3" s="2504"/>
      <c r="D3" s="2504"/>
      <c r="E3" s="1274"/>
    </row>
    <row r="4" spans="2:5" s="1282" customFormat="1" ht="12.75" customHeight="1" x14ac:dyDescent="0.2">
      <c r="B4" s="2514" t="str">
        <f>'Single Audit Cover'!A4</f>
        <v>Year Ending June 30, 2018</v>
      </c>
      <c r="C4" s="2514"/>
      <c r="D4" s="2514"/>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2198</v>
      </c>
      <c r="C8" s="324" t="s">
        <v>2199</v>
      </c>
      <c r="D8" s="324" t="s">
        <v>2202</v>
      </c>
      <c r="E8" s="324"/>
    </row>
    <row r="9" spans="2:5" ht="13.5" customHeight="1" x14ac:dyDescent="0.2">
      <c r="B9" s="1497"/>
      <c r="C9" s="323" t="s">
        <v>2200</v>
      </c>
      <c r="D9" s="323"/>
      <c r="E9" s="323"/>
    </row>
    <row r="10" spans="2:5" ht="13.5" customHeight="1" x14ac:dyDescent="0.2">
      <c r="B10" s="1496"/>
      <c r="C10" s="323" t="s">
        <v>2201</v>
      </c>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rintOptions horizontalCentered="1" verticalCentered="1"/>
  <pageMargins left="1" right="1" top="1" bottom="1" header="0.5" footer="0.75"/>
  <pageSetup scale="85"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404</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25326585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1.8959299999999998E-2</v>
      </c>
      <c r="E10" s="356" t="s">
        <v>1062</v>
      </c>
      <c r="F10" s="355">
        <v>4.7399E-3</v>
      </c>
      <c r="G10" s="356" t="s">
        <v>1062</v>
      </c>
      <c r="H10" s="355">
        <v>1.8959999999999999E-3</v>
      </c>
      <c r="I10" s="356" t="s">
        <v>1063</v>
      </c>
      <c r="J10" s="1754">
        <f>ROUND(D10+F10+H10,5)</f>
        <v>2.5600000000000001E-2</v>
      </c>
      <c r="K10" s="222"/>
      <c r="L10" s="355">
        <v>4.7409999999999998E-4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8655291</v>
      </c>
      <c r="E16" s="356"/>
      <c r="F16" s="1755">
        <f>SUM('Acct Summary 7-8'!C17,'Acct Summary 7-8'!D17,'Acct Summary 7-8'!F17)</f>
        <v>7052522</v>
      </c>
      <c r="G16" s="356"/>
      <c r="H16" s="1755">
        <f>SUM(D16-F16)</f>
        <v>1602769</v>
      </c>
      <c r="I16" s="222"/>
      <c r="J16" s="1755">
        <f>SUM('Acct Summary 7-8'!C81,'Acct Summary 7-8'!D81,'Acct Summary 7-8'!F81,'Acct Summary 7-8'!I81)</f>
        <v>2804800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3495068.7300000004</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2384772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verticalCentered="1"/>
  <pageMargins left="0.75" right="0.75" top="0.59" bottom="1" header="0.35" footer="0.75"/>
  <pageSetup scale="80"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8" zoomScale="110" zoomScaleNormal="110" workbookViewId="0">
      <selection sqref="A1:F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577</v>
      </c>
      <c r="B2" s="2128"/>
      <c r="C2" s="2128"/>
      <c r="D2" s="2128"/>
      <c r="E2" s="2128"/>
      <c r="F2" s="2128"/>
      <c r="G2" s="2128"/>
      <c r="H2" s="2128"/>
      <c r="I2" s="2128"/>
      <c r="J2" s="2128"/>
      <c r="K2" s="2128"/>
      <c r="L2" s="2128"/>
      <c r="M2" s="2128"/>
      <c r="N2" s="2128"/>
      <c r="O2" s="2128"/>
      <c r="P2" s="2128"/>
      <c r="Q2" s="2128"/>
      <c r="R2" s="2128"/>
    </row>
    <row r="3" spans="1:18" ht="12.75" x14ac:dyDescent="0.2">
      <c r="A3" s="2129" t="s">
        <v>1480</v>
      </c>
      <c r="B3" s="2129"/>
      <c r="C3" s="2129"/>
      <c r="D3" s="2129"/>
      <c r="E3" s="2129"/>
      <c r="F3" s="2129"/>
      <c r="G3" s="2129"/>
      <c r="H3" s="2129"/>
      <c r="I3" s="2129"/>
      <c r="J3" s="2129"/>
      <c r="K3" s="2129"/>
      <c r="L3" s="2129"/>
      <c r="M3" s="2129"/>
      <c r="N3" s="2129"/>
      <c r="O3" s="2129"/>
      <c r="P3" s="2129"/>
      <c r="Q3" s="2129"/>
      <c r="R3" s="2129"/>
    </row>
    <row r="4" spans="1:18" x14ac:dyDescent="0.2">
      <c r="A4" s="2130" t="s">
        <v>1635</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Meridian CUSD 101</v>
      </c>
      <c r="E7" s="391"/>
      <c r="G7" s="252"/>
      <c r="H7" s="387"/>
      <c r="I7" s="387"/>
      <c r="J7" s="387"/>
      <c r="K7" s="387"/>
      <c r="L7" s="329"/>
      <c r="M7" s="329"/>
      <c r="N7" s="329"/>
      <c r="O7" s="329"/>
      <c r="P7" s="329"/>
    </row>
    <row r="8" spans="1:18" ht="12.75" x14ac:dyDescent="0.2">
      <c r="A8" s="329"/>
      <c r="B8" s="329"/>
      <c r="C8" s="389" t="s">
        <v>1187</v>
      </c>
      <c r="D8" s="392">
        <f>COVER!A13</f>
        <v>30077101026</v>
      </c>
      <c r="E8" s="393"/>
      <c r="G8" s="329"/>
      <c r="H8" s="329"/>
      <c r="I8" s="329"/>
      <c r="J8" s="329"/>
      <c r="K8" s="329"/>
      <c r="L8" s="329"/>
      <c r="M8" s="329"/>
      <c r="N8" s="329"/>
      <c r="O8" s="329"/>
      <c r="P8" s="329"/>
    </row>
    <row r="9" spans="1:18" ht="12.75" x14ac:dyDescent="0.2">
      <c r="A9" s="329"/>
      <c r="B9" s="329"/>
      <c r="C9" s="389" t="s">
        <v>737</v>
      </c>
      <c r="D9" s="394" t="str">
        <f>COVER!A15</f>
        <v>Pulaski</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2804800</v>
      </c>
      <c r="I12" s="404"/>
      <c r="J12" s="404"/>
      <c r="K12" s="405">
        <f>TRUNC((H12/H13*100000),5)/100000</f>
        <v>0.32448117190000003</v>
      </c>
      <c r="L12" s="406"/>
      <c r="M12" s="360" t="s">
        <v>1206</v>
      </c>
      <c r="N12" s="360"/>
      <c r="O12" s="407">
        <v>0.35</v>
      </c>
      <c r="P12" s="218"/>
      <c r="Q12" s="218"/>
    </row>
    <row r="13" spans="1:18" s="408" customFormat="1" ht="12.75" x14ac:dyDescent="0.2">
      <c r="A13" s="218"/>
      <c r="B13" s="401"/>
      <c r="C13" s="2126" t="s">
        <v>1391</v>
      </c>
      <c r="D13" s="2127"/>
      <c r="E13" s="218"/>
      <c r="F13" s="409" t="s">
        <v>826</v>
      </c>
      <c r="G13" s="402"/>
      <c r="H13" s="403">
        <f>SUM('Acct Summary 7-8'!C8+'Acct Summary 7-8'!D8+'Acct Summary 7-8'!F8+'Acct Summary 7-8'!I8)+H14</f>
        <v>8643953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-11338</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7052522</v>
      </c>
      <c r="I17" s="404"/>
      <c r="J17" s="416"/>
      <c r="K17" s="405">
        <f>TRUNC((H17/H18*100000),5)/100000</f>
        <v>0.81589083140000007</v>
      </c>
      <c r="L17" s="406"/>
      <c r="M17" s="417" t="s">
        <v>1233</v>
      </c>
      <c r="O17" s="418" t="str">
        <f>IF(AND(O16="2", J20 &gt; 2),"1",IF(AND(O16 = "1", J20 &gt; 2),"2",IF(AND(O16="1", J20 &gt;1),"1","0")))</f>
        <v>0</v>
      </c>
      <c r="P17" s="218"/>
    </row>
    <row r="18" spans="1:18" s="408" customFormat="1" ht="11.25" x14ac:dyDescent="0.2">
      <c r="A18" s="218"/>
      <c r="B18" s="401"/>
      <c r="C18" s="2126" t="s">
        <v>1384</v>
      </c>
      <c r="D18" s="2127"/>
      <c r="E18" s="218"/>
      <c r="F18" s="419" t="s">
        <v>827</v>
      </c>
      <c r="G18" s="402"/>
      <c r="H18" s="403">
        <f>SUM('Acct Summary 7-8'!C8+'Acct Summary 7-8'!D8+'Acct Summary 7-8'!F8+'Acct Summary 7-8'!I8)+H19</f>
        <v>8643953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-11338</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3" t="s">
        <v>1479</v>
      </c>
      <c r="D24" s="2123"/>
      <c r="E24" s="218"/>
      <c r="F24" s="218" t="s">
        <v>465</v>
      </c>
      <c r="G24" s="402"/>
      <c r="H24" s="403">
        <f>SUM('Assets-Liab 5-6'!C4+'Assets-Liab 5-6'!D4+'Assets-Liab 5-6'!F4+'Assets-Liab 5-6'!I4+'Assets-Liab 5-6'!C5+'Assets-Liab 5-6'!D5+'Assets-Liab 5-6'!F5+'Assets-Liab 5-6'!I5)</f>
        <v>2794671</v>
      </c>
      <c r="I24" s="422"/>
      <c r="J24" s="422"/>
      <c r="K24" s="423">
        <f>TRUNC(((H24/H25*100000)/100000),2)</f>
        <v>142.65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19590.338889999999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551106.48959999997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2384772</v>
      </c>
      <c r="I32" s="420"/>
      <c r="J32" s="420"/>
      <c r="K32" s="423">
        <f>TRUNC(100-((((H32/H33*100))*100)/100),2)</f>
        <v>31.76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3495068.7300000004</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ageMargins left="1" right="1" top="1" bottom="1" header="0.19" footer="0.4"/>
  <pageSetup scale="72"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sqref="A1:F1"/>
      <selection pane="bottomLeft" sqref="A1:F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3" t="s">
        <v>1030</v>
      </c>
      <c r="B3" s="2134"/>
      <c r="C3" s="1581"/>
      <c r="D3" s="1582"/>
      <c r="E3" s="1582"/>
      <c r="F3" s="1582"/>
      <c r="G3" s="1582"/>
      <c r="H3" s="1582"/>
      <c r="I3" s="1582"/>
      <c r="J3" s="1582"/>
      <c r="K3" s="1582"/>
      <c r="L3" s="1582"/>
      <c r="M3" s="1583"/>
      <c r="N3" s="1584"/>
    </row>
    <row r="4" spans="1:14" ht="13.5" customHeight="1" x14ac:dyDescent="0.2">
      <c r="A4" s="463" t="s">
        <v>1750</v>
      </c>
      <c r="B4" s="464"/>
      <c r="C4" s="465">
        <v>2242722</v>
      </c>
      <c r="D4" s="466">
        <v>269447</v>
      </c>
      <c r="E4" s="466">
        <v>189723</v>
      </c>
      <c r="F4" s="466">
        <v>170175</v>
      </c>
      <c r="G4" s="466">
        <v>109891</v>
      </c>
      <c r="H4" s="466"/>
      <c r="I4" s="466">
        <v>112327</v>
      </c>
      <c r="J4" s="467">
        <v>214212</v>
      </c>
      <c r="K4" s="466">
        <v>13019</v>
      </c>
      <c r="L4" s="466">
        <v>42869</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10129</v>
      </c>
      <c r="D12" s="466"/>
      <c r="E12" s="466"/>
      <c r="F12" s="466"/>
      <c r="G12" s="466"/>
      <c r="H12" s="466"/>
      <c r="I12" s="466"/>
      <c r="J12" s="467"/>
      <c r="K12" s="466"/>
      <c r="L12" s="466"/>
      <c r="M12" s="469"/>
      <c r="N12" s="469"/>
    </row>
    <row r="13" spans="1:14" ht="13.5" customHeight="1" thickBot="1" x14ac:dyDescent="0.25">
      <c r="A13" s="1758" t="s">
        <v>665</v>
      </c>
      <c r="B13" s="1731"/>
      <c r="C13" s="1759">
        <f>SUM(C4:C12)</f>
        <v>2252851</v>
      </c>
      <c r="D13" s="1759">
        <f t="shared" ref="D13:L13" si="0">SUM(D4:D12)</f>
        <v>269447</v>
      </c>
      <c r="E13" s="1759">
        <f t="shared" si="0"/>
        <v>189723</v>
      </c>
      <c r="F13" s="1759">
        <f t="shared" si="0"/>
        <v>170175</v>
      </c>
      <c r="G13" s="1759">
        <f t="shared" si="0"/>
        <v>109891</v>
      </c>
      <c r="H13" s="1759">
        <f t="shared" si="0"/>
        <v>0</v>
      </c>
      <c r="I13" s="1759">
        <f t="shared" si="0"/>
        <v>112327</v>
      </c>
      <c r="J13" s="1759">
        <f t="shared" si="0"/>
        <v>214212</v>
      </c>
      <c r="K13" s="1759">
        <f t="shared" si="0"/>
        <v>13019</v>
      </c>
      <c r="L13" s="1759">
        <f t="shared" si="0"/>
        <v>42869</v>
      </c>
      <c r="M13" s="468"/>
      <c r="N13" s="469"/>
    </row>
    <row r="14" spans="1:14" ht="18" customHeight="1" thickTop="1" x14ac:dyDescent="0.2">
      <c r="A14" s="2135" t="s">
        <v>149</v>
      </c>
      <c r="B14" s="213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57109</v>
      </c>
      <c r="N16" s="484"/>
    </row>
    <row r="17" spans="1:14" s="485" customFormat="1" ht="12.75" customHeight="1" x14ac:dyDescent="0.2">
      <c r="A17" s="482" t="s">
        <v>1470</v>
      </c>
      <c r="B17" s="483">
        <v>230</v>
      </c>
      <c r="C17" s="477"/>
      <c r="D17" s="477"/>
      <c r="E17" s="477"/>
      <c r="F17" s="477"/>
      <c r="G17" s="477"/>
      <c r="H17" s="477"/>
      <c r="I17" s="477"/>
      <c r="J17" s="477"/>
      <c r="K17" s="477"/>
      <c r="L17" s="477"/>
      <c r="M17" s="467">
        <v>12747021</v>
      </c>
      <c r="N17" s="484"/>
    </row>
    <row r="18" spans="1:14" s="485" customFormat="1" ht="12.75" customHeight="1" x14ac:dyDescent="0.2">
      <c r="A18" s="482" t="s">
        <v>1471</v>
      </c>
      <c r="B18" s="483">
        <v>240</v>
      </c>
      <c r="C18" s="477"/>
      <c r="D18" s="477"/>
      <c r="E18" s="477"/>
      <c r="F18" s="477"/>
      <c r="G18" s="477"/>
      <c r="H18" s="477"/>
      <c r="I18" s="477"/>
      <c r="J18" s="477"/>
      <c r="K18" s="477"/>
      <c r="L18" s="477"/>
      <c r="M18" s="467">
        <v>1178567</v>
      </c>
      <c r="N18" s="484"/>
    </row>
    <row r="19" spans="1:14" s="485" customFormat="1" ht="12.75" customHeight="1" x14ac:dyDescent="0.2">
      <c r="A19" s="482" t="s">
        <v>1472</v>
      </c>
      <c r="B19" s="483">
        <v>250</v>
      </c>
      <c r="C19" s="477"/>
      <c r="D19" s="477"/>
      <c r="E19" s="477"/>
      <c r="F19" s="477"/>
      <c r="G19" s="477"/>
      <c r="H19" s="477"/>
      <c r="I19" s="477"/>
      <c r="J19" s="477"/>
      <c r="K19" s="477"/>
      <c r="L19" s="477"/>
      <c r="M19" s="467">
        <v>3769426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189723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2195049</v>
      </c>
    </row>
    <row r="23" spans="1:14" ht="13.5" customHeight="1" thickBot="1" x14ac:dyDescent="0.25">
      <c r="A23" s="1758" t="s">
        <v>664</v>
      </c>
      <c r="B23" s="1763"/>
      <c r="C23" s="468"/>
      <c r="D23" s="468"/>
      <c r="E23" s="468"/>
      <c r="F23" s="468"/>
      <c r="G23" s="468"/>
      <c r="H23" s="468"/>
      <c r="I23" s="468"/>
      <c r="J23" s="468"/>
      <c r="K23" s="468"/>
      <c r="L23" s="468"/>
      <c r="M23" s="1710">
        <f>SUM(M15:M22)</f>
        <v>17752123</v>
      </c>
      <c r="N23" s="1710">
        <f>SUM(N21:N22)</f>
        <v>2384772</v>
      </c>
    </row>
    <row r="24" spans="1:14" ht="18" customHeight="1" thickTop="1" x14ac:dyDescent="0.2">
      <c r="A24" s="2137" t="s">
        <v>619</v>
      </c>
      <c r="B24" s="213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42869</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42869</v>
      </c>
      <c r="M34" s="468"/>
      <c r="N34" s="480"/>
    </row>
    <row r="35" spans="1:14" ht="18" customHeight="1" thickTop="1" x14ac:dyDescent="0.2">
      <c r="A35" s="2139" t="s">
        <v>550</v>
      </c>
      <c r="B35" s="214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2384772</v>
      </c>
    </row>
    <row r="37" spans="1:14" ht="13.5" thickBot="1" x14ac:dyDescent="0.25">
      <c r="A37" s="1758" t="s">
        <v>674</v>
      </c>
      <c r="B37" s="1763"/>
      <c r="C37" s="477"/>
      <c r="D37" s="477"/>
      <c r="E37" s="477"/>
      <c r="F37" s="477"/>
      <c r="G37" s="477"/>
      <c r="H37" s="477"/>
      <c r="I37" s="477"/>
      <c r="J37" s="477"/>
      <c r="K37" s="477"/>
      <c r="L37" s="480"/>
      <c r="M37" s="468"/>
      <c r="N37" s="1710">
        <f>SUM(N36:N36)</f>
        <v>2384772</v>
      </c>
    </row>
    <row r="38" spans="1:14" s="329" customFormat="1" ht="13.5" customHeight="1" thickTop="1" x14ac:dyDescent="0.2">
      <c r="A38" s="496" t="s">
        <v>440</v>
      </c>
      <c r="B38" s="483">
        <v>714</v>
      </c>
      <c r="C38" s="466"/>
      <c r="D38" s="466"/>
      <c r="E38" s="466">
        <v>189723</v>
      </c>
      <c r="F38" s="466"/>
      <c r="G38" s="466">
        <v>109891</v>
      </c>
      <c r="H38" s="466"/>
      <c r="I38" s="466"/>
      <c r="J38" s="467">
        <v>214212</v>
      </c>
      <c r="K38" s="466">
        <v>13019</v>
      </c>
      <c r="L38" s="481"/>
      <c r="M38" s="497"/>
      <c r="N38" s="497"/>
    </row>
    <row r="39" spans="1:14" s="329" customFormat="1" ht="13.5" customHeight="1" x14ac:dyDescent="0.2">
      <c r="A39" s="496" t="s">
        <v>360</v>
      </c>
      <c r="B39" s="483">
        <v>730</v>
      </c>
      <c r="C39" s="466">
        <v>2252851</v>
      </c>
      <c r="D39" s="466">
        <v>269447</v>
      </c>
      <c r="E39" s="466"/>
      <c r="F39" s="466">
        <v>170175</v>
      </c>
      <c r="G39" s="466"/>
      <c r="H39" s="466"/>
      <c r="I39" s="466">
        <v>112327</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17752123</v>
      </c>
      <c r="N40" s="497"/>
    </row>
    <row r="41" spans="1:14" ht="13.5" customHeight="1" thickBot="1" x14ac:dyDescent="0.25">
      <c r="A41" s="1758" t="s">
        <v>676</v>
      </c>
      <c r="B41" s="1728"/>
      <c r="C41" s="1710">
        <f>(SUM(C34,C37,C38,C39))</f>
        <v>2252851</v>
      </c>
      <c r="D41" s="1710">
        <f t="shared" ref="D41:L41" si="2">SUM(D34,D37,D38:D39)</f>
        <v>269447</v>
      </c>
      <c r="E41" s="1710">
        <f t="shared" si="2"/>
        <v>189723</v>
      </c>
      <c r="F41" s="1710">
        <f t="shared" si="2"/>
        <v>170175</v>
      </c>
      <c r="G41" s="1710">
        <f t="shared" si="2"/>
        <v>109891</v>
      </c>
      <c r="H41" s="1710">
        <f t="shared" si="2"/>
        <v>0</v>
      </c>
      <c r="I41" s="1710">
        <f t="shared" si="2"/>
        <v>112327</v>
      </c>
      <c r="J41" s="1710">
        <f t="shared" si="2"/>
        <v>214212</v>
      </c>
      <c r="K41" s="1710">
        <f t="shared" si="2"/>
        <v>13019</v>
      </c>
      <c r="L41" s="1710">
        <f t="shared" si="2"/>
        <v>42869</v>
      </c>
      <c r="M41" s="1710">
        <f>SUM(M40)</f>
        <v>17752123</v>
      </c>
      <c r="N41" s="1710">
        <f>SUM(N37)</f>
        <v>2384772</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orizontalCentered="1" headings="1" gridLinesSet="0"/>
  <pageMargins left="1" right="0.3" top="1.5" bottom="0.5" header="0.78" footer="0.3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1" activePane="bottomLeft" state="frozenSplit"/>
      <selection sqref="A1:F1"/>
      <selection pane="bottomLeft" sqref="A1:F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2155" t="s">
        <v>1579</v>
      </c>
      <c r="B4" s="2156"/>
      <c r="C4" s="1764">
        <f>'Revenues 9-14'!C109</f>
        <v>668063</v>
      </c>
      <c r="D4" s="1764">
        <f>'Revenues 9-14'!D109</f>
        <v>113518</v>
      </c>
      <c r="E4" s="1764">
        <f>'Revenues 9-14'!E109</f>
        <v>189924</v>
      </c>
      <c r="F4" s="1764">
        <f>'Revenues 9-14'!F109</f>
        <v>45407</v>
      </c>
      <c r="G4" s="1764">
        <f>'Revenues 9-14'!G109</f>
        <v>119732</v>
      </c>
      <c r="H4" s="1764">
        <f>'Revenues 9-14'!H109</f>
        <v>718</v>
      </c>
      <c r="I4" s="1764">
        <f>'Revenues 9-14'!I109</f>
        <v>11602</v>
      </c>
      <c r="J4" s="1764">
        <f>'Revenues 9-14'!J109</f>
        <v>59969</v>
      </c>
      <c r="K4" s="1764">
        <f>'Revenues 9-14'!K109</f>
        <v>11848</v>
      </c>
      <c r="L4" s="347"/>
    </row>
    <row r="5" spans="1:13" ht="15.75" customHeight="1" x14ac:dyDescent="0.2">
      <c r="A5" s="1598" t="s">
        <v>1580</v>
      </c>
      <c r="B5" s="1599">
        <v>2000</v>
      </c>
      <c r="C5" s="1765">
        <f>'Revenues 9-14'!C114</f>
        <v>54797</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3747933</v>
      </c>
      <c r="D6" s="1765">
        <f>'Revenues 9-14'!D173</f>
        <v>265890</v>
      </c>
      <c r="E6" s="1765">
        <f>'Revenues 9-14'!E173</f>
        <v>80000</v>
      </c>
      <c r="F6" s="1765">
        <f>'Revenues 9-14'!F173</f>
        <v>677849</v>
      </c>
      <c r="G6" s="1765">
        <f>'Revenues 9-14'!G173</f>
        <v>0</v>
      </c>
      <c r="H6" s="1765">
        <f>'Revenues 9-14'!H173</f>
        <v>960794</v>
      </c>
      <c r="I6" s="1765">
        <f>'Revenues 9-14'!I173</f>
        <v>0</v>
      </c>
      <c r="J6" s="1765">
        <f>'Revenues 9-14'!J173</f>
        <v>0</v>
      </c>
      <c r="K6" s="1765">
        <f>'Revenues 9-14'!K173</f>
        <v>0</v>
      </c>
      <c r="L6" s="347"/>
      <c r="M6" s="513"/>
    </row>
    <row r="7" spans="1:13" ht="15.75" customHeight="1" x14ac:dyDescent="0.2">
      <c r="A7" s="1598" t="s">
        <v>1582</v>
      </c>
      <c r="B7" s="1600">
        <v>4000</v>
      </c>
      <c r="C7" s="1765">
        <f>'Revenues 9-14'!C274</f>
        <v>3070232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7541025</v>
      </c>
      <c r="D8" s="1710">
        <f t="shared" ref="D8:K8" si="0">SUM(D4:D7)</f>
        <v>379408</v>
      </c>
      <c r="E8" s="1710">
        <f t="shared" si="0"/>
        <v>269924</v>
      </c>
      <c r="F8" s="1710">
        <f t="shared" si="0"/>
        <v>723256</v>
      </c>
      <c r="G8" s="1710">
        <f t="shared" si="0"/>
        <v>119732</v>
      </c>
      <c r="H8" s="1710">
        <f t="shared" si="0"/>
        <v>961512</v>
      </c>
      <c r="I8" s="1710">
        <f t="shared" si="0"/>
        <v>11602</v>
      </c>
      <c r="J8" s="1710">
        <f t="shared" si="0"/>
        <v>59969</v>
      </c>
      <c r="K8" s="1710">
        <f t="shared" si="0"/>
        <v>11848</v>
      </c>
      <c r="L8" s="347"/>
    </row>
    <row r="9" spans="1:13" ht="15.75" thickTop="1" x14ac:dyDescent="0.2">
      <c r="A9" s="514" t="s">
        <v>1752</v>
      </c>
      <c r="B9" s="515">
        <v>3998</v>
      </c>
      <c r="C9" s="481">
        <v>2013172</v>
      </c>
      <c r="D9" s="516"/>
      <c r="E9" s="481"/>
      <c r="F9" s="481"/>
      <c r="G9" s="517"/>
      <c r="H9" s="481"/>
      <c r="I9" s="509" t="s">
        <v>1231</v>
      </c>
      <c r="J9" s="478"/>
      <c r="K9" s="481"/>
      <c r="L9" s="347"/>
    </row>
    <row r="10" spans="1:13" s="519" customFormat="1" ht="13.5" thickBot="1" x14ac:dyDescent="0.25">
      <c r="A10" s="1758" t="s">
        <v>1235</v>
      </c>
      <c r="B10" s="1731"/>
      <c r="C10" s="1710">
        <f>SUM(C8:C9)</f>
        <v>9554197</v>
      </c>
      <c r="D10" s="1710">
        <f t="shared" ref="D10:K10" si="1">SUM(D8:D9)</f>
        <v>379408</v>
      </c>
      <c r="E10" s="1710">
        <f t="shared" si="1"/>
        <v>269924</v>
      </c>
      <c r="F10" s="1710">
        <f t="shared" si="1"/>
        <v>723256</v>
      </c>
      <c r="G10" s="1710">
        <f t="shared" si="1"/>
        <v>119732</v>
      </c>
      <c r="H10" s="1710">
        <f t="shared" si="1"/>
        <v>961512</v>
      </c>
      <c r="I10" s="1710">
        <f t="shared" si="1"/>
        <v>11602</v>
      </c>
      <c r="J10" s="1710">
        <f t="shared" si="1"/>
        <v>59969</v>
      </c>
      <c r="K10" s="1710">
        <f t="shared" si="1"/>
        <v>11848</v>
      </c>
      <c r="L10" s="518"/>
    </row>
    <row r="11" spans="1:13" s="519" customFormat="1" ht="16.7" customHeight="1" thickTop="1" x14ac:dyDescent="0.2">
      <c r="A11" s="2135" t="s">
        <v>1238</v>
      </c>
      <c r="B11" s="2136"/>
      <c r="C11" s="1592"/>
      <c r="D11" s="1593"/>
      <c r="E11" s="1593"/>
      <c r="F11" s="1593"/>
      <c r="G11" s="1593"/>
      <c r="H11" s="1593"/>
      <c r="I11" s="1593"/>
      <c r="J11" s="1593"/>
      <c r="K11" s="1594"/>
      <c r="L11" s="518"/>
    </row>
    <row r="12" spans="1:13" ht="15.75" customHeight="1" x14ac:dyDescent="0.2">
      <c r="A12" s="1598" t="s">
        <v>476</v>
      </c>
      <c r="B12" s="1600">
        <v>1000</v>
      </c>
      <c r="C12" s="1764">
        <f>'Expenditures 15-22'!K33</f>
        <v>3288599</v>
      </c>
      <c r="D12" s="520" t="s">
        <v>1231</v>
      </c>
      <c r="E12" s="468" t="s">
        <v>1231</v>
      </c>
      <c r="F12" s="468" t="s">
        <v>1231</v>
      </c>
      <c r="G12" s="1764">
        <f>'Expenditures 15-22'!K229</f>
        <v>52803</v>
      </c>
      <c r="H12" s="521"/>
      <c r="I12" s="468" t="s">
        <v>1231</v>
      </c>
      <c r="J12" s="468" t="s">
        <v>1231</v>
      </c>
      <c r="K12" s="521" t="s">
        <v>1231</v>
      </c>
      <c r="L12" s="347"/>
    </row>
    <row r="13" spans="1:13" ht="15.75" customHeight="1" x14ac:dyDescent="0.2">
      <c r="A13" s="1598" t="s">
        <v>477</v>
      </c>
      <c r="B13" s="1600">
        <v>2000</v>
      </c>
      <c r="C13" s="1765">
        <f>'Expenditures 15-22'!K74</f>
        <v>2536966</v>
      </c>
      <c r="D13" s="1765">
        <f>'Expenditures 15-22'!K129</f>
        <v>354213</v>
      </c>
      <c r="E13" s="469" t="s">
        <v>1231</v>
      </c>
      <c r="F13" s="1765">
        <f>'Expenditures 15-22'!K184</f>
        <v>562352</v>
      </c>
      <c r="G13" s="1765">
        <f>'Expenditures 15-22'!K279</f>
        <v>96530</v>
      </c>
      <c r="H13" s="1765">
        <f>'Expenditures 15-22'!K303</f>
        <v>938320</v>
      </c>
      <c r="I13" s="468" t="s">
        <v>1231</v>
      </c>
      <c r="J13" s="1765">
        <f>'Expenditures 15-22'!K330</f>
        <v>38204</v>
      </c>
      <c r="K13" s="1769">
        <f>'Expenditures 15-22'!K352</f>
        <v>406308</v>
      </c>
      <c r="L13" s="347"/>
    </row>
    <row r="14" spans="1:13" ht="15.75" customHeight="1" x14ac:dyDescent="0.2">
      <c r="A14" s="1598" t="s">
        <v>469</v>
      </c>
      <c r="B14" s="1600">
        <v>3000</v>
      </c>
      <c r="C14" s="1765">
        <f>'Expenditures 15-22'!K75</f>
        <v>67448</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242841</v>
      </c>
      <c r="D15" s="1765">
        <f>'Expenditures 15-22'!K139</f>
        <v>103</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274316</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6135854</v>
      </c>
      <c r="D17" s="1710">
        <f t="shared" si="2"/>
        <v>354316</v>
      </c>
      <c r="E17" s="1710">
        <f t="shared" si="2"/>
        <v>274316</v>
      </c>
      <c r="F17" s="1710">
        <f t="shared" si="2"/>
        <v>562352</v>
      </c>
      <c r="G17" s="1710">
        <f t="shared" si="2"/>
        <v>149333</v>
      </c>
      <c r="H17" s="1710">
        <f t="shared" si="2"/>
        <v>938320</v>
      </c>
      <c r="I17" s="468"/>
      <c r="J17" s="1710">
        <f>SUM(J12:J16)</f>
        <v>38204</v>
      </c>
      <c r="K17" s="1710">
        <f>SUM(K12:K16)</f>
        <v>406308</v>
      </c>
      <c r="L17" s="347"/>
    </row>
    <row r="18" spans="1:12" ht="15" customHeight="1" thickTop="1" x14ac:dyDescent="0.2">
      <c r="A18" s="1766" t="s">
        <v>1753</v>
      </c>
      <c r="B18" s="1767">
        <v>4180</v>
      </c>
      <c r="C18" s="1764">
        <f t="shared" ref="C18:H18" si="3">C9</f>
        <v>2013172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8149026</v>
      </c>
      <c r="D19" s="1710">
        <f t="shared" si="4"/>
        <v>354316</v>
      </c>
      <c r="E19" s="1710">
        <f t="shared" si="4"/>
        <v>274316</v>
      </c>
      <c r="F19" s="1710">
        <f t="shared" si="4"/>
        <v>562352</v>
      </c>
      <c r="G19" s="1710">
        <f t="shared" si="4"/>
        <v>149333</v>
      </c>
      <c r="H19" s="1710">
        <f t="shared" si="4"/>
        <v>938320</v>
      </c>
      <c r="I19" s="468"/>
      <c r="J19" s="1710">
        <f>SUM(J17:J18)</f>
        <v>38204</v>
      </c>
      <c r="K19" s="1710">
        <f>SUM(K17:K18)</f>
        <v>406308</v>
      </c>
      <c r="L19" s="347"/>
    </row>
    <row r="20" spans="1:12" ht="16.5" thickTop="1" thickBot="1" x14ac:dyDescent="0.25">
      <c r="A20" s="2143" t="s">
        <v>1754</v>
      </c>
      <c r="B20" s="2144"/>
      <c r="C20" s="1768">
        <f>C8-C17</f>
        <v>1405171</v>
      </c>
      <c r="D20" s="1768">
        <f t="shared" ref="D20:K20" si="5">D8-D17</f>
        <v>25092</v>
      </c>
      <c r="E20" s="1768">
        <f t="shared" si="5"/>
        <v>-4392</v>
      </c>
      <c r="F20" s="1768">
        <f t="shared" si="5"/>
        <v>160904</v>
      </c>
      <c r="G20" s="1768">
        <f t="shared" si="5"/>
        <v>-29601</v>
      </c>
      <c r="H20" s="1768">
        <f t="shared" si="5"/>
        <v>23192</v>
      </c>
      <c r="I20" s="1768">
        <f t="shared" si="5"/>
        <v>11602</v>
      </c>
      <c r="J20" s="1768">
        <f t="shared" si="5"/>
        <v>21765</v>
      </c>
      <c r="K20" s="1768">
        <f t="shared" si="5"/>
        <v>-394460</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11338</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5">
        <f>SUM(C24:C43)</f>
        <v>0</v>
      </c>
      <c r="D44" s="1725">
        <f t="shared" ref="D44:K44" si="6">SUM(D24:D43)</f>
        <v>0</v>
      </c>
      <c r="E44" s="1725">
        <f t="shared" si="6"/>
        <v>11338</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v>11338</v>
      </c>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63" t="s">
        <v>460</v>
      </c>
      <c r="B76" s="2164"/>
      <c r="C76" s="1725">
        <f t="shared" ref="C76:K76" si="7">SUM(C47:C75)</f>
        <v>11338</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65" t="s">
        <v>1239</v>
      </c>
      <c r="B77" s="2166"/>
      <c r="C77" s="1725">
        <f t="shared" ref="C77:K77" si="8">C44-C76</f>
        <v>-11338</v>
      </c>
      <c r="D77" s="1725">
        <f t="shared" si="8"/>
        <v>0</v>
      </c>
      <c r="E77" s="1725">
        <f t="shared" si="8"/>
        <v>11338</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69" t="s">
        <v>618</v>
      </c>
      <c r="B78" s="2170"/>
      <c r="C78" s="1724">
        <f t="shared" ref="C78:K78" si="9">C20+C77</f>
        <v>1393833</v>
      </c>
      <c r="D78" s="1724">
        <f t="shared" si="9"/>
        <v>25092</v>
      </c>
      <c r="E78" s="1724">
        <f t="shared" si="9"/>
        <v>6946</v>
      </c>
      <c r="F78" s="1724">
        <f t="shared" si="9"/>
        <v>160904</v>
      </c>
      <c r="G78" s="1724">
        <f t="shared" si="9"/>
        <v>-29601</v>
      </c>
      <c r="H78" s="1724">
        <f t="shared" si="9"/>
        <v>23192</v>
      </c>
      <c r="I78" s="1724">
        <f t="shared" si="9"/>
        <v>11602</v>
      </c>
      <c r="J78" s="1724">
        <f t="shared" si="9"/>
        <v>21765</v>
      </c>
      <c r="K78" s="1724">
        <f t="shared" si="9"/>
        <v>-394460</v>
      </c>
      <c r="L78" s="533"/>
    </row>
    <row r="79" spans="1:12" ht="13.5" thickTop="1" x14ac:dyDescent="0.2">
      <c r="A79" s="1516" t="s">
        <v>2070</v>
      </c>
      <c r="B79" s="534"/>
      <c r="C79" s="478">
        <v>859018</v>
      </c>
      <c r="D79" s="535">
        <v>244355</v>
      </c>
      <c r="E79" s="535">
        <v>182777</v>
      </c>
      <c r="F79" s="535">
        <v>9271</v>
      </c>
      <c r="G79" s="535">
        <v>139492</v>
      </c>
      <c r="H79" s="535">
        <v>-23192</v>
      </c>
      <c r="I79" s="535">
        <v>100725</v>
      </c>
      <c r="J79" s="535">
        <v>192447</v>
      </c>
      <c r="K79" s="535">
        <v>407479</v>
      </c>
      <c r="L79" s="347"/>
    </row>
    <row r="80" spans="1:12" x14ac:dyDescent="0.2">
      <c r="A80" s="2145" t="s">
        <v>1895</v>
      </c>
      <c r="B80" s="2146"/>
      <c r="C80" s="467"/>
      <c r="D80" s="467"/>
      <c r="E80" s="467"/>
      <c r="F80" s="467"/>
      <c r="G80" s="467"/>
      <c r="H80" s="467"/>
      <c r="I80" s="467"/>
      <c r="J80" s="467"/>
      <c r="K80" s="467"/>
      <c r="L80" s="347"/>
    </row>
    <row r="81" spans="1:12" ht="13.5" thickBot="1" x14ac:dyDescent="0.25">
      <c r="A81" s="2167" t="s">
        <v>2071</v>
      </c>
      <c r="B81" s="2168"/>
      <c r="C81" s="1710">
        <f>(SUM(C78:C80))</f>
        <v>2252851</v>
      </c>
      <c r="D81" s="1710">
        <f>SUM(D78:D80)</f>
        <v>269447</v>
      </c>
      <c r="E81" s="1710">
        <f t="shared" ref="E81:K81" si="10">SUM(E78:E80)</f>
        <v>189723</v>
      </c>
      <c r="F81" s="1710">
        <f t="shared" si="10"/>
        <v>170175</v>
      </c>
      <c r="G81" s="1710">
        <f t="shared" si="10"/>
        <v>109891</v>
      </c>
      <c r="H81" s="1710">
        <f t="shared" si="10"/>
        <v>0</v>
      </c>
      <c r="I81" s="1710">
        <f t="shared" si="10"/>
        <v>112327</v>
      </c>
      <c r="J81" s="1710">
        <f t="shared" si="10"/>
        <v>214212</v>
      </c>
      <c r="K81" s="1710">
        <f t="shared" si="10"/>
        <v>13019</v>
      </c>
      <c r="L81" s="347"/>
    </row>
    <row r="82" spans="1:12" ht="0.75" customHeight="1" thickTop="1" thickBot="1" x14ac:dyDescent="0.25">
      <c r="A82" s="536" t="s">
        <v>361</v>
      </c>
      <c r="B82" s="537"/>
      <c r="C82" s="538">
        <f>(C81-C79)</f>
        <v>1393833</v>
      </c>
      <c r="D82" s="538">
        <f t="shared" ref="D82:K82" si="11">(D81-D79)</f>
        <v>25092</v>
      </c>
      <c r="E82" s="538">
        <f t="shared" si="11"/>
        <v>6946</v>
      </c>
      <c r="F82" s="538">
        <f t="shared" si="11"/>
        <v>160904</v>
      </c>
      <c r="G82" s="538">
        <f t="shared" si="11"/>
        <v>-29601</v>
      </c>
      <c r="H82" s="538">
        <f t="shared" si="11"/>
        <v>23192</v>
      </c>
      <c r="I82" s="538">
        <f t="shared" si="11"/>
        <v>11602</v>
      </c>
      <c r="J82" s="538">
        <f t="shared" si="11"/>
        <v>21765</v>
      </c>
      <c r="K82" s="538">
        <f t="shared" si="11"/>
        <v>-394460</v>
      </c>
    </row>
    <row r="83" spans="1:12" ht="14.25" hidden="1" thickTop="1" thickBot="1" x14ac:dyDescent="0.25">
      <c r="A83" s="539" t="s">
        <v>362</v>
      </c>
      <c r="B83" s="464"/>
      <c r="C83" s="540">
        <f>C82/C81</f>
        <v>0.61869737501503652</v>
      </c>
      <c r="D83" s="540">
        <f t="shared" ref="D83:K83" si="12">D82/D81</f>
        <v>9.3124065215051566E-2</v>
      </c>
      <c r="E83" s="540">
        <f t="shared" si="12"/>
        <v>3.661127011485165E-2</v>
      </c>
      <c r="F83" s="540">
        <f t="shared" si="12"/>
        <v>0.94552078742470991</v>
      </c>
      <c r="G83" s="540">
        <f t="shared" si="12"/>
        <v>-0.26936691812796315</v>
      </c>
      <c r="H83" s="540" t="e">
        <f t="shared" si="12"/>
        <v>#DIV/0!</v>
      </c>
      <c r="I83" s="540">
        <f t="shared" si="12"/>
        <v>0.10328772245319469</v>
      </c>
      <c r="J83" s="540">
        <f t="shared" si="12"/>
        <v>0.10160495210352362</v>
      </c>
      <c r="K83" s="540">
        <f t="shared" si="12"/>
        <v>-30.298794070205084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s>
  <phoneticPr fontId="15" type="noConversion"/>
  <printOptions horizontalCentered="1" headings="1" gridLines="1"/>
  <pageMargins left="1" right="0.3" top="1" bottom="0.48" header="0.5" footer="0.3"/>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F1"/>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1902</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454065</v>
      </c>
      <c r="D5" s="481">
        <v>113518</v>
      </c>
      <c r="E5" s="466">
        <v>175499</v>
      </c>
      <c r="F5" s="548">
        <v>45407</v>
      </c>
      <c r="G5" s="466">
        <v>64778</v>
      </c>
      <c r="H5" s="466"/>
      <c r="I5" s="466">
        <v>11402</v>
      </c>
      <c r="J5" s="467">
        <v>59573</v>
      </c>
      <c r="K5" s="466">
        <v>11352</v>
      </c>
    </row>
    <row r="6" spans="1:12" ht="15" x14ac:dyDescent="0.2">
      <c r="A6" s="463" t="s">
        <v>1761</v>
      </c>
      <c r="B6" s="470">
        <v>1130</v>
      </c>
      <c r="C6" s="466">
        <v>11341</v>
      </c>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41078</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465406</v>
      </c>
      <c r="D12" s="1729">
        <f t="shared" si="0"/>
        <v>113518</v>
      </c>
      <c r="E12" s="1729">
        <f t="shared" si="0"/>
        <v>175499</v>
      </c>
      <c r="F12" s="1729">
        <f t="shared" si="0"/>
        <v>45407</v>
      </c>
      <c r="G12" s="1729">
        <f t="shared" si="0"/>
        <v>105856</v>
      </c>
      <c r="H12" s="1729">
        <f t="shared" si="0"/>
        <v>0</v>
      </c>
      <c r="I12" s="1729">
        <f t="shared" si="0"/>
        <v>11402</v>
      </c>
      <c r="J12" s="1729">
        <f t="shared" si="0"/>
        <v>59573</v>
      </c>
      <c r="K12" s="1710">
        <f t="shared" si="0"/>
        <v>11352</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90677</v>
      </c>
      <c r="D16" s="466"/>
      <c r="E16" s="466"/>
      <c r="F16" s="466"/>
      <c r="G16" s="466">
        <v>13551</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90677</v>
      </c>
      <c r="D18" s="1732">
        <f t="shared" ref="D18:K18" si="1">SUM(D14:D17)</f>
        <v>0</v>
      </c>
      <c r="E18" s="1732">
        <f t="shared" si="1"/>
        <v>0</v>
      </c>
      <c r="F18" s="1732">
        <f t="shared" si="1"/>
        <v>0</v>
      </c>
      <c r="G18" s="1732">
        <f t="shared" si="1"/>
        <v>13551</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6078</v>
      </c>
      <c r="D65" s="466"/>
      <c r="E65" s="466">
        <v>14425</v>
      </c>
      <c r="F65" s="467"/>
      <c r="G65" s="466">
        <v>325</v>
      </c>
      <c r="H65" s="466">
        <v>718</v>
      </c>
      <c r="I65" s="466">
        <v>200</v>
      </c>
      <c r="J65" s="467">
        <v>396</v>
      </c>
      <c r="K65" s="466">
        <v>496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6078</v>
      </c>
      <c r="D67" s="1710">
        <f t="shared" ref="D67:K67" si="2">SUM(D65:D66)</f>
        <v>0</v>
      </c>
      <c r="E67" s="1710">
        <f t="shared" si="2"/>
        <v>14425</v>
      </c>
      <c r="F67" s="1710">
        <f t="shared" si="2"/>
        <v>0</v>
      </c>
      <c r="G67" s="1710">
        <f t="shared" si="2"/>
        <v>325</v>
      </c>
      <c r="H67" s="1710">
        <f t="shared" si="2"/>
        <v>718</v>
      </c>
      <c r="I67" s="1710">
        <f t="shared" si="2"/>
        <v>200</v>
      </c>
      <c r="J67" s="1710">
        <f t="shared" si="2"/>
        <v>396</v>
      </c>
      <c r="K67" s="1710">
        <f t="shared" si="2"/>
        <v>496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v>829</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11564</v>
      </c>
      <c r="D73" s="468"/>
      <c r="E73" s="468"/>
      <c r="F73" s="468"/>
      <c r="G73" s="468"/>
      <c r="H73" s="468"/>
      <c r="I73" s="468"/>
      <c r="J73" s="468"/>
      <c r="K73" s="468"/>
    </row>
    <row r="74" spans="1:11" ht="12.75" customHeight="1" x14ac:dyDescent="0.2">
      <c r="A74" s="463" t="s">
        <v>25</v>
      </c>
      <c r="B74" s="470">
        <v>1690</v>
      </c>
      <c r="C74" s="551">
        <v>6367</v>
      </c>
      <c r="D74" s="468"/>
      <c r="E74" s="468"/>
      <c r="F74" s="468"/>
      <c r="G74" s="468"/>
      <c r="H74" s="468"/>
      <c r="I74" s="468"/>
      <c r="J74" s="468"/>
      <c r="K74" s="468"/>
    </row>
    <row r="75" spans="1:11" ht="12.75" customHeight="1" thickBot="1" x14ac:dyDescent="0.25">
      <c r="A75" s="1730" t="s">
        <v>569</v>
      </c>
      <c r="B75" s="1731"/>
      <c r="C75" s="1710">
        <f>SUM(C69:C74)</f>
        <v>18760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7338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7338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44136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35668</v>
      </c>
      <c r="D107" s="466"/>
      <c r="E107" s="466"/>
      <c r="F107" s="466"/>
      <c r="G107" s="466"/>
      <c r="H107" s="466"/>
      <c r="I107" s="466"/>
      <c r="J107" s="467"/>
      <c r="K107" s="466"/>
    </row>
    <row r="108" spans="1:12" ht="12.75" customHeight="1" thickBot="1" x14ac:dyDescent="0.25">
      <c r="A108" s="1730" t="s">
        <v>508</v>
      </c>
      <c r="B108" s="1734"/>
      <c r="C108" s="1729">
        <f>SUM(C95:C107)</f>
        <v>79804</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668063</v>
      </c>
      <c r="D109" s="1737">
        <f t="shared" si="4"/>
        <v>113518</v>
      </c>
      <c r="E109" s="1737">
        <f t="shared" si="4"/>
        <v>189924</v>
      </c>
      <c r="F109" s="1737">
        <f t="shared" si="4"/>
        <v>45407</v>
      </c>
      <c r="G109" s="1737">
        <f t="shared" si="4"/>
        <v>119732</v>
      </c>
      <c r="H109" s="1737">
        <f t="shared" si="4"/>
        <v>718</v>
      </c>
      <c r="I109" s="1737">
        <f t="shared" si="4"/>
        <v>11602</v>
      </c>
      <c r="J109" s="1737">
        <f t="shared" si="4"/>
        <v>59969</v>
      </c>
      <c r="K109" s="1724">
        <f t="shared" si="4"/>
        <v>11848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46193</v>
      </c>
      <c r="D111" s="481"/>
      <c r="E111" s="561"/>
      <c r="F111" s="481"/>
      <c r="G111" s="481"/>
      <c r="H111" s="561"/>
      <c r="I111" s="468"/>
      <c r="J111" s="468"/>
      <c r="K111" s="468"/>
    </row>
    <row r="112" spans="1:12" ht="12.75" customHeight="1" x14ac:dyDescent="0.2">
      <c r="A112" s="463" t="s">
        <v>878</v>
      </c>
      <c r="B112" s="470">
        <v>2200</v>
      </c>
      <c r="C112" s="551">
        <v>8604</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54797</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3224620</v>
      </c>
      <c r="D117" s="481">
        <v>265890</v>
      </c>
      <c r="E117" s="466">
        <v>80000</v>
      </c>
      <c r="F117" s="481">
        <v>278000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3224620</v>
      </c>
      <c r="D121" s="1729">
        <f t="shared" si="5"/>
        <v>265890</v>
      </c>
      <c r="E121" s="1729">
        <f t="shared" si="5"/>
        <v>80000</v>
      </c>
      <c r="F121" s="1729">
        <f t="shared" si="5"/>
        <v>278000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37107</v>
      </c>
      <c r="D125" s="561"/>
      <c r="E125" s="468"/>
      <c r="F125" s="466"/>
      <c r="G125" s="468"/>
      <c r="H125" s="468"/>
      <c r="I125" s="468"/>
      <c r="J125" s="468"/>
      <c r="K125" s="468"/>
    </row>
    <row r="126" spans="1:11" ht="12.75" customHeight="1" x14ac:dyDescent="0.2">
      <c r="A126" s="463" t="s">
        <v>922</v>
      </c>
      <c r="B126" s="562">
        <v>3110</v>
      </c>
      <c r="C126" s="551">
        <v>45646</v>
      </c>
      <c r="D126" s="466"/>
      <c r="E126" s="468"/>
      <c r="F126" s="466"/>
      <c r="G126" s="468"/>
      <c r="H126" s="468"/>
      <c r="I126" s="468"/>
      <c r="J126" s="468"/>
      <c r="K126" s="468"/>
    </row>
    <row r="127" spans="1:11" ht="12.75" customHeight="1" x14ac:dyDescent="0.2">
      <c r="A127" s="463" t="s">
        <v>107</v>
      </c>
      <c r="B127" s="562">
        <v>3120</v>
      </c>
      <c r="C127" s="466">
        <v>6938</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89691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1601</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1601</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6422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5390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282992</v>
      </c>
      <c r="G151" s="467"/>
      <c r="H151" s="468"/>
      <c r="I151" s="468"/>
      <c r="J151" s="468"/>
      <c r="K151" s="468"/>
    </row>
    <row r="152" spans="1:11" ht="12.75" customHeight="1" x14ac:dyDescent="0.2">
      <c r="A152" s="463" t="s">
        <v>1117</v>
      </c>
      <c r="B152" s="562">
        <v>3510</v>
      </c>
      <c r="C152" s="551"/>
      <c r="D152" s="466"/>
      <c r="E152" s="561"/>
      <c r="F152" s="466">
        <v>116857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399849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360499</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59710</v>
      </c>
      <c r="D171" s="580"/>
      <c r="E171" s="580"/>
      <c r="F171" s="580"/>
      <c r="G171" s="581"/>
      <c r="H171" s="582">
        <v>960794</v>
      </c>
      <c r="I171" s="581"/>
      <c r="J171" s="581"/>
      <c r="K171" s="582"/>
    </row>
    <row r="172" spans="1:11" ht="12.75" customHeight="1" thickTop="1" thickBot="1" x14ac:dyDescent="0.25">
      <c r="A172" s="2171" t="s">
        <v>418</v>
      </c>
      <c r="B172" s="2172"/>
      <c r="C172" s="1744">
        <f t="shared" ref="C172:K172" si="6">SUM(C131,C140,C144,C145:C149,C154,C155:C170,C171)</f>
        <v>523313</v>
      </c>
      <c r="D172" s="1744">
        <f t="shared" si="6"/>
        <v>0</v>
      </c>
      <c r="E172" s="1744">
        <f t="shared" si="6"/>
        <v>0</v>
      </c>
      <c r="F172" s="1744">
        <f t="shared" si="6"/>
        <v>399849</v>
      </c>
      <c r="G172" s="1744">
        <f t="shared" si="6"/>
        <v>0</v>
      </c>
      <c r="H172" s="1744">
        <f t="shared" si="6"/>
        <v>960794</v>
      </c>
      <c r="I172" s="1744">
        <f t="shared" si="6"/>
        <v>0</v>
      </c>
      <c r="J172" s="1744">
        <f t="shared" si="6"/>
        <v>0</v>
      </c>
      <c r="K172" s="1725">
        <f t="shared" si="6"/>
        <v>0</v>
      </c>
    </row>
    <row r="173" spans="1:11" ht="12.75" customHeight="1" thickTop="1" thickBot="1" x14ac:dyDescent="0.25">
      <c r="A173" s="1730" t="s">
        <v>419</v>
      </c>
      <c r="B173" s="1736" t="s">
        <v>596</v>
      </c>
      <c r="C173" s="1737">
        <f>SUM(C121,C172)</f>
        <v>3747933</v>
      </c>
      <c r="D173" s="1737">
        <f>SUM(D121,D172)</f>
        <v>265890</v>
      </c>
      <c r="E173" s="1737">
        <f>SUM(E121,E172)</f>
        <v>80000</v>
      </c>
      <c r="F173" s="1737">
        <f t="shared" ref="F173:K173" si="7">SUM(F121,F172)</f>
        <v>677849</v>
      </c>
      <c r="G173" s="1737">
        <f t="shared" si="7"/>
        <v>0</v>
      </c>
      <c r="H173" s="1737">
        <f t="shared" si="7"/>
        <v>960794</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3" t="s">
        <v>1572</v>
      </c>
      <c r="B175" s="217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7" t="s">
        <v>1764</v>
      </c>
      <c r="B178" s="217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1" t="s">
        <v>1763</v>
      </c>
      <c r="B179" s="218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9" t="s">
        <v>818</v>
      </c>
      <c r="B184" s="218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5" t="s">
        <v>1903</v>
      </c>
      <c r="B185" s="217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8000</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8000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219914</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107386</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12923</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340223</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330548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v>2177542</v>
      </c>
      <c r="D210" s="466"/>
      <c r="E210" s="468"/>
      <c r="F210" s="466"/>
      <c r="G210" s="466"/>
      <c r="H210" s="468"/>
      <c r="I210" s="468"/>
      <c r="J210" s="468"/>
      <c r="K210" s="468"/>
    </row>
    <row r="211" spans="1:11" ht="12.75" customHeight="1" thickBot="1" x14ac:dyDescent="0.25">
      <c r="A211" s="1730" t="s">
        <v>420</v>
      </c>
      <c r="B211" s="1731"/>
      <c r="C211" s="1729">
        <f>SUM(C203:C210)</f>
        <v>2508090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674</v>
      </c>
      <c r="D213" s="466"/>
      <c r="E213" s="468"/>
      <c r="F213" s="466"/>
      <c r="G213" s="466"/>
      <c r="H213" s="468"/>
      <c r="I213" s="468"/>
      <c r="J213" s="468"/>
      <c r="K213" s="468"/>
    </row>
    <row r="214" spans="1:11" ht="12.75" customHeight="1" x14ac:dyDescent="0.2">
      <c r="A214" s="463" t="s">
        <v>1528</v>
      </c>
      <c r="B214" s="470">
        <v>4421</v>
      </c>
      <c r="C214" s="551">
        <v>193280</v>
      </c>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193954</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19965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3070232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3070232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7541025</v>
      </c>
      <c r="D275" s="1737">
        <f t="shared" si="12"/>
        <v>379408</v>
      </c>
      <c r="E275" s="1737">
        <f t="shared" si="12"/>
        <v>269924</v>
      </c>
      <c r="F275" s="1737">
        <f t="shared" si="12"/>
        <v>723256</v>
      </c>
      <c r="G275" s="1737">
        <f t="shared" si="12"/>
        <v>119732</v>
      </c>
      <c r="H275" s="1737">
        <f t="shared" si="12"/>
        <v>961512</v>
      </c>
      <c r="I275" s="1737">
        <f t="shared" si="12"/>
        <v>11602</v>
      </c>
      <c r="J275" s="1737">
        <f t="shared" si="12"/>
        <v>59969</v>
      </c>
      <c r="K275" s="1724">
        <f t="shared" si="12"/>
        <v>11848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1" right="0.3" top="1" bottom="0.46" header="0.5" footer="0.3"/>
  <pageSetup scale="65"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9" activePane="bottomLeft" state="frozen"/>
      <selection sqref="A1:F1"/>
      <selection pane="bottomLeft" sqref="A1:F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1" t="s">
        <v>315</v>
      </c>
      <c r="B3" s="219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1573479</v>
      </c>
      <c r="D5" s="466">
        <v>374637</v>
      </c>
      <c r="E5" s="466">
        <v>211500</v>
      </c>
      <c r="F5" s="466">
        <v>221840</v>
      </c>
      <c r="G5" s="466">
        <v>87444</v>
      </c>
      <c r="H5" s="466"/>
      <c r="I5" s="467"/>
      <c r="J5" s="467"/>
      <c r="K5" s="1693">
        <f>SUM(C5:J5)</f>
        <v>2468900</v>
      </c>
      <c r="L5" s="466">
        <v>2776722</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145775</v>
      </c>
      <c r="D7" s="467">
        <v>31246</v>
      </c>
      <c r="E7" s="467">
        <v>12397</v>
      </c>
      <c r="F7" s="467">
        <v>34823</v>
      </c>
      <c r="G7" s="467">
        <v>3166</v>
      </c>
      <c r="H7" s="467"/>
      <c r="I7" s="467"/>
      <c r="J7" s="467"/>
      <c r="K7" s="1693">
        <f t="shared" ref="K7:K32" si="0">SUM(C7:J7)</f>
        <v>227407</v>
      </c>
      <c r="L7" s="466"/>
    </row>
    <row r="8" spans="1:14" x14ac:dyDescent="0.2">
      <c r="A8" s="1526" t="s">
        <v>166</v>
      </c>
      <c r="B8" s="615">
        <v>1200</v>
      </c>
      <c r="C8" s="466">
        <v>296286</v>
      </c>
      <c r="D8" s="466">
        <v>74660</v>
      </c>
      <c r="E8" s="466">
        <v>2819</v>
      </c>
      <c r="F8" s="466">
        <v>130</v>
      </c>
      <c r="G8" s="466"/>
      <c r="H8" s="466"/>
      <c r="I8" s="467"/>
      <c r="J8" s="467"/>
      <c r="K8" s="1693">
        <f t="shared" si="0"/>
        <v>373895</v>
      </c>
      <c r="L8" s="466">
        <v>551934</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66885</v>
      </c>
      <c r="D13" s="466">
        <v>13551</v>
      </c>
      <c r="E13" s="466">
        <v>383</v>
      </c>
      <c r="F13" s="466">
        <v>2890</v>
      </c>
      <c r="G13" s="466"/>
      <c r="H13" s="466"/>
      <c r="I13" s="467"/>
      <c r="J13" s="467"/>
      <c r="K13" s="1693">
        <f t="shared" si="0"/>
        <v>83709</v>
      </c>
      <c r="L13" s="466">
        <v>84420</v>
      </c>
    </row>
    <row r="14" spans="1:14" x14ac:dyDescent="0.2">
      <c r="A14" s="1526" t="s">
        <v>1020</v>
      </c>
      <c r="B14" s="615">
        <v>1500</v>
      </c>
      <c r="C14" s="466">
        <v>81612</v>
      </c>
      <c r="D14" s="466">
        <v>2100</v>
      </c>
      <c r="E14" s="466">
        <v>22445</v>
      </c>
      <c r="F14" s="466">
        <v>26981</v>
      </c>
      <c r="G14" s="466"/>
      <c r="H14" s="466">
        <v>1550</v>
      </c>
      <c r="I14" s="467"/>
      <c r="J14" s="467"/>
      <c r="K14" s="1693">
        <f t="shared" si="0"/>
        <v>134688</v>
      </c>
      <c r="L14" s="466">
        <v>108614</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2164037</v>
      </c>
      <c r="D33" s="1692">
        <f t="shared" ref="D33:L33" si="1">SUM(D5:D32)</f>
        <v>496194</v>
      </c>
      <c r="E33" s="1692">
        <f t="shared" si="1"/>
        <v>249544</v>
      </c>
      <c r="F33" s="1692">
        <f t="shared" si="1"/>
        <v>286664</v>
      </c>
      <c r="G33" s="1692">
        <f t="shared" si="1"/>
        <v>90610</v>
      </c>
      <c r="H33" s="1692">
        <f t="shared" si="1"/>
        <v>1550</v>
      </c>
      <c r="I33" s="1692">
        <f t="shared" si="1"/>
        <v>0</v>
      </c>
      <c r="J33" s="1692">
        <f t="shared" si="1"/>
        <v>0</v>
      </c>
      <c r="K33" s="1692">
        <f t="shared" si="1"/>
        <v>3288599</v>
      </c>
      <c r="L33" s="1692">
        <f t="shared" si="1"/>
        <v>3521690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56194</v>
      </c>
      <c r="D36" s="481">
        <v>9127</v>
      </c>
      <c r="E36" s="481">
        <v>4007</v>
      </c>
      <c r="F36" s="481"/>
      <c r="G36" s="481"/>
      <c r="H36" s="481"/>
      <c r="I36" s="467"/>
      <c r="J36" s="467"/>
      <c r="K36" s="1693">
        <f t="shared" ref="K36:K41" si="2">SUM(C36:J36)</f>
        <v>69328</v>
      </c>
      <c r="L36" s="466">
        <v>34558</v>
      </c>
    </row>
    <row r="37" spans="1:14" x14ac:dyDescent="0.2">
      <c r="A37" s="1526" t="s">
        <v>1151</v>
      </c>
      <c r="B37" s="615">
        <v>2120</v>
      </c>
      <c r="C37" s="466">
        <v>107334</v>
      </c>
      <c r="D37" s="466">
        <v>5273</v>
      </c>
      <c r="E37" s="466">
        <v>40094</v>
      </c>
      <c r="F37" s="466"/>
      <c r="G37" s="466"/>
      <c r="H37" s="466"/>
      <c r="I37" s="467"/>
      <c r="J37" s="467"/>
      <c r="K37" s="1693">
        <f t="shared" si="2"/>
        <v>152701</v>
      </c>
      <c r="L37" s="466">
        <v>113174</v>
      </c>
    </row>
    <row r="38" spans="1:14" x14ac:dyDescent="0.2">
      <c r="A38" s="1526" t="s">
        <v>207</v>
      </c>
      <c r="B38" s="615">
        <v>2130</v>
      </c>
      <c r="C38" s="466">
        <v>57539</v>
      </c>
      <c r="D38" s="466">
        <v>7168</v>
      </c>
      <c r="E38" s="466">
        <v>19</v>
      </c>
      <c r="F38" s="466">
        <v>72</v>
      </c>
      <c r="G38" s="466"/>
      <c r="H38" s="466"/>
      <c r="I38" s="467"/>
      <c r="J38" s="467"/>
      <c r="K38" s="1693">
        <f t="shared" si="2"/>
        <v>64798</v>
      </c>
      <c r="L38" s="466">
        <v>64264</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36400</v>
      </c>
      <c r="D40" s="466">
        <v>4184</v>
      </c>
      <c r="E40" s="466"/>
      <c r="F40" s="466"/>
      <c r="G40" s="466"/>
      <c r="H40" s="466"/>
      <c r="I40" s="467"/>
      <c r="J40" s="467"/>
      <c r="K40" s="1693">
        <f t="shared" si="2"/>
        <v>40584</v>
      </c>
      <c r="L40" s="466">
        <v>40768</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257467</v>
      </c>
      <c r="D42" s="1692">
        <f t="shared" ref="D42:L42" si="3">SUM(D36:D41)</f>
        <v>25752</v>
      </c>
      <c r="E42" s="1692">
        <f t="shared" si="3"/>
        <v>44120</v>
      </c>
      <c r="F42" s="1692">
        <f t="shared" si="3"/>
        <v>72</v>
      </c>
      <c r="G42" s="1692">
        <f t="shared" si="3"/>
        <v>0</v>
      </c>
      <c r="H42" s="1692">
        <f t="shared" si="3"/>
        <v>0</v>
      </c>
      <c r="I42" s="1692">
        <f t="shared" si="3"/>
        <v>0</v>
      </c>
      <c r="J42" s="1692">
        <f t="shared" si="3"/>
        <v>0</v>
      </c>
      <c r="K42" s="1692">
        <f t="shared" si="3"/>
        <v>327411</v>
      </c>
      <c r="L42" s="1692">
        <f t="shared" si="3"/>
        <v>252764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194225</v>
      </c>
      <c r="D44" s="481">
        <v>47173</v>
      </c>
      <c r="E44" s="481">
        <v>141490</v>
      </c>
      <c r="F44" s="481">
        <v>61269</v>
      </c>
      <c r="G44" s="481">
        <v>29338</v>
      </c>
      <c r="H44" s="481"/>
      <c r="I44" s="467"/>
      <c r="J44" s="467"/>
      <c r="K44" s="1694">
        <f>SUM(C44:J44)</f>
        <v>473495</v>
      </c>
      <c r="L44" s="481">
        <v>31691</v>
      </c>
    </row>
    <row r="45" spans="1:14" x14ac:dyDescent="0.2">
      <c r="A45" s="1526" t="s">
        <v>869</v>
      </c>
      <c r="B45" s="615">
        <v>2220</v>
      </c>
      <c r="C45" s="466">
        <v>49790</v>
      </c>
      <c r="D45" s="466">
        <v>11137</v>
      </c>
      <c r="E45" s="466">
        <v>74130</v>
      </c>
      <c r="F45" s="466">
        <v>3934</v>
      </c>
      <c r="G45" s="466"/>
      <c r="H45" s="466"/>
      <c r="I45" s="467"/>
      <c r="J45" s="467"/>
      <c r="K45" s="1694">
        <f>SUM(C45:J45)</f>
        <v>138991</v>
      </c>
      <c r="L45" s="466">
        <v>56588</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244015</v>
      </c>
      <c r="D47" s="1692">
        <f t="shared" ref="D47:K47" si="4">SUM(D44:D46)</f>
        <v>58310</v>
      </c>
      <c r="E47" s="1692">
        <f t="shared" si="4"/>
        <v>215620</v>
      </c>
      <c r="F47" s="1692">
        <f t="shared" si="4"/>
        <v>65203</v>
      </c>
      <c r="G47" s="1692">
        <f t="shared" si="4"/>
        <v>29338</v>
      </c>
      <c r="H47" s="1692">
        <f t="shared" si="4"/>
        <v>0</v>
      </c>
      <c r="I47" s="1692">
        <f t="shared" si="4"/>
        <v>0</v>
      </c>
      <c r="J47" s="1692">
        <f t="shared" si="4"/>
        <v>0</v>
      </c>
      <c r="K47" s="1692">
        <f t="shared" si="4"/>
        <v>612486</v>
      </c>
      <c r="L47" s="1692">
        <f>SUM(L44:L46)</f>
        <v>88279</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34489</v>
      </c>
      <c r="D49" s="481">
        <v>6347</v>
      </c>
      <c r="E49" s="481">
        <v>293067</v>
      </c>
      <c r="F49" s="481">
        <v>4802</v>
      </c>
      <c r="G49" s="481"/>
      <c r="H49" s="481">
        <v>5313</v>
      </c>
      <c r="I49" s="467"/>
      <c r="J49" s="467"/>
      <c r="K49" s="1694">
        <f>SUM(C49:J49)</f>
        <v>344018</v>
      </c>
      <c r="L49" s="481">
        <v>240900</v>
      </c>
    </row>
    <row r="50" spans="1:14" x14ac:dyDescent="0.2">
      <c r="A50" s="1526" t="s">
        <v>872</v>
      </c>
      <c r="B50" s="615">
        <v>2320</v>
      </c>
      <c r="C50" s="466">
        <v>149958</v>
      </c>
      <c r="D50" s="466">
        <v>22834</v>
      </c>
      <c r="E50" s="466">
        <v>9448</v>
      </c>
      <c r="F50" s="466">
        <v>403</v>
      </c>
      <c r="G50" s="466"/>
      <c r="H50" s="466">
        <v>745</v>
      </c>
      <c r="I50" s="467"/>
      <c r="J50" s="467"/>
      <c r="K50" s="1694">
        <f>SUM(C50:J50)</f>
        <v>183388</v>
      </c>
      <c r="L50" s="466">
        <v>189973</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184447</v>
      </c>
      <c r="D53" s="1692">
        <f t="shared" ref="D53:L53" si="5">SUM(D49:D52)</f>
        <v>29181</v>
      </c>
      <c r="E53" s="1692">
        <f t="shared" si="5"/>
        <v>302515</v>
      </c>
      <c r="F53" s="1692">
        <f t="shared" si="5"/>
        <v>5205</v>
      </c>
      <c r="G53" s="1692">
        <f t="shared" si="5"/>
        <v>0</v>
      </c>
      <c r="H53" s="1692">
        <f t="shared" si="5"/>
        <v>6058</v>
      </c>
      <c r="I53" s="1692">
        <f t="shared" si="5"/>
        <v>0</v>
      </c>
      <c r="J53" s="1692">
        <f t="shared" si="5"/>
        <v>0</v>
      </c>
      <c r="K53" s="1692">
        <f t="shared" si="5"/>
        <v>527406</v>
      </c>
      <c r="L53" s="1692">
        <f t="shared" si="5"/>
        <v>430873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237392</v>
      </c>
      <c r="D55" s="481">
        <v>38159</v>
      </c>
      <c r="E55" s="481">
        <v>10093</v>
      </c>
      <c r="F55" s="481">
        <v>408</v>
      </c>
      <c r="G55" s="481"/>
      <c r="H55" s="481">
        <v>237</v>
      </c>
      <c r="I55" s="467"/>
      <c r="J55" s="467"/>
      <c r="K55" s="1694">
        <f>SUM(C55:J55)</f>
        <v>286289</v>
      </c>
      <c r="L55" s="481">
        <v>300162</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237392</v>
      </c>
      <c r="D57" s="1696">
        <f t="shared" ref="D57:K57" si="6">SUM(D55:D56)</f>
        <v>38159</v>
      </c>
      <c r="E57" s="1696">
        <f t="shared" si="6"/>
        <v>10093</v>
      </c>
      <c r="F57" s="1696">
        <f t="shared" si="6"/>
        <v>408</v>
      </c>
      <c r="G57" s="1696">
        <f t="shared" si="6"/>
        <v>0</v>
      </c>
      <c r="H57" s="1696">
        <f t="shared" si="6"/>
        <v>237</v>
      </c>
      <c r="I57" s="1696">
        <f t="shared" si="6"/>
        <v>0</v>
      </c>
      <c r="J57" s="1696">
        <f t="shared" si="6"/>
        <v>0</v>
      </c>
      <c r="K57" s="1696">
        <f t="shared" si="6"/>
        <v>286289</v>
      </c>
      <c r="L57" s="1692">
        <f>SUM(L55:L56)</f>
        <v>300162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53468</v>
      </c>
      <c r="D60" s="466">
        <v>5829</v>
      </c>
      <c r="E60" s="466">
        <v>216</v>
      </c>
      <c r="F60" s="466">
        <v>307</v>
      </c>
      <c r="G60" s="466"/>
      <c r="H60" s="466">
        <v>2234</v>
      </c>
      <c r="I60" s="467"/>
      <c r="J60" s="467"/>
      <c r="K60" s="1694">
        <f t="shared" si="7"/>
        <v>62054</v>
      </c>
      <c r="L60" s="466">
        <v>55202</v>
      </c>
      <c r="M60" s="610"/>
      <c r="N60" s="610"/>
    </row>
    <row r="61" spans="1:14" s="343" customFormat="1" x14ac:dyDescent="0.2">
      <c r="A61" s="1526" t="s">
        <v>206</v>
      </c>
      <c r="B61" s="615">
        <v>2540</v>
      </c>
      <c r="C61" s="466">
        <v>178424</v>
      </c>
      <c r="D61" s="466">
        <v>14766</v>
      </c>
      <c r="E61" s="466">
        <v>820</v>
      </c>
      <c r="F61" s="466"/>
      <c r="G61" s="466"/>
      <c r="H61" s="466">
        <v>45</v>
      </c>
      <c r="I61" s="467"/>
      <c r="J61" s="467"/>
      <c r="K61" s="1694">
        <f t="shared" si="7"/>
        <v>194055</v>
      </c>
      <c r="L61" s="466">
        <v>197245</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95701</v>
      </c>
      <c r="D63" s="466">
        <v>15476</v>
      </c>
      <c r="E63" s="466">
        <v>2187</v>
      </c>
      <c r="F63" s="466">
        <v>203765</v>
      </c>
      <c r="G63" s="466"/>
      <c r="H63" s="466">
        <v>155</v>
      </c>
      <c r="I63" s="467"/>
      <c r="J63" s="467"/>
      <c r="K63" s="1694">
        <f t="shared" si="7"/>
        <v>317284</v>
      </c>
      <c r="L63" s="466">
        <v>321894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327593</v>
      </c>
      <c r="D65" s="1692">
        <f t="shared" ref="D65:L65" si="8">SUM(D59:D64)</f>
        <v>36071</v>
      </c>
      <c r="E65" s="1692">
        <f t="shared" si="8"/>
        <v>3223</v>
      </c>
      <c r="F65" s="1692">
        <f t="shared" si="8"/>
        <v>204072</v>
      </c>
      <c r="G65" s="1692">
        <f t="shared" si="8"/>
        <v>0</v>
      </c>
      <c r="H65" s="1692">
        <f t="shared" si="8"/>
        <v>2434</v>
      </c>
      <c r="I65" s="1692">
        <f t="shared" si="8"/>
        <v>0</v>
      </c>
      <c r="J65" s="1692">
        <f t="shared" si="8"/>
        <v>0</v>
      </c>
      <c r="K65" s="1692">
        <f t="shared" si="8"/>
        <v>573393</v>
      </c>
      <c r="L65" s="1692">
        <f t="shared" si="8"/>
        <v>574341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v>130000</v>
      </c>
      <c r="F67" s="466"/>
      <c r="G67" s="466"/>
      <c r="H67" s="466"/>
      <c r="I67" s="467"/>
      <c r="J67" s="467"/>
      <c r="K67" s="1694">
        <f>SUM(C67:J67)</f>
        <v>130000</v>
      </c>
      <c r="L67" s="481"/>
      <c r="M67" s="610"/>
      <c r="N67" s="610"/>
    </row>
    <row r="68" spans="1:14" s="343" customFormat="1" x14ac:dyDescent="0.2">
      <c r="A68" s="1526" t="s">
        <v>628</v>
      </c>
      <c r="B68" s="615">
        <v>2620</v>
      </c>
      <c r="C68" s="466"/>
      <c r="D68" s="466"/>
      <c r="E68" s="466">
        <v>1000</v>
      </c>
      <c r="F68" s="466"/>
      <c r="G68" s="466"/>
      <c r="H68" s="466"/>
      <c r="I68" s="467"/>
      <c r="J68" s="467"/>
      <c r="K68" s="1694">
        <f>SUM(C68:J68)</f>
        <v>1000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v>45550</v>
      </c>
      <c r="D70" s="466">
        <v>17835</v>
      </c>
      <c r="E70" s="466"/>
      <c r="F70" s="466"/>
      <c r="G70" s="466"/>
      <c r="H70" s="466"/>
      <c r="I70" s="467"/>
      <c r="J70" s="467"/>
      <c r="K70" s="1694">
        <f>SUM(C70:J70)</f>
        <v>63385</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45550</v>
      </c>
      <c r="D72" s="1692">
        <f t="shared" ref="D72:K72" si="9">SUM(D67:D71)</f>
        <v>17835</v>
      </c>
      <c r="E72" s="1692">
        <f t="shared" si="9"/>
        <v>131000</v>
      </c>
      <c r="F72" s="1692">
        <f t="shared" si="9"/>
        <v>0</v>
      </c>
      <c r="G72" s="1692">
        <f t="shared" si="9"/>
        <v>0</v>
      </c>
      <c r="H72" s="1692">
        <f t="shared" si="9"/>
        <v>0</v>
      </c>
      <c r="I72" s="1692">
        <f t="shared" si="9"/>
        <v>0</v>
      </c>
      <c r="J72" s="1692">
        <f t="shared" si="9"/>
        <v>0</v>
      </c>
      <c r="K72" s="1692">
        <f t="shared" si="9"/>
        <v>194385</v>
      </c>
      <c r="L72" s="1692">
        <f>SUM(L67:L71)</f>
        <v>0</v>
      </c>
      <c r="M72" s="610"/>
      <c r="N72" s="610"/>
    </row>
    <row r="73" spans="1:14" s="343" customFormat="1" ht="14.25" thickTop="1" thickBot="1" x14ac:dyDescent="0.25">
      <c r="A73" s="1532" t="s">
        <v>1037</v>
      </c>
      <c r="B73" s="633" t="s">
        <v>595</v>
      </c>
      <c r="C73" s="573">
        <v>13000</v>
      </c>
      <c r="D73" s="573">
        <v>189</v>
      </c>
      <c r="E73" s="573"/>
      <c r="F73" s="573">
        <v>2407</v>
      </c>
      <c r="G73" s="573"/>
      <c r="H73" s="573"/>
      <c r="I73" s="531"/>
      <c r="J73" s="531"/>
      <c r="K73" s="1692">
        <f>SUM(C73:J73)</f>
        <v>15596</v>
      </c>
      <c r="L73" s="576">
        <v>3200</v>
      </c>
      <c r="M73" s="610"/>
      <c r="N73" s="610"/>
    </row>
    <row r="74" spans="1:14" ht="12.75" customHeight="1" thickTop="1" thickBot="1" x14ac:dyDescent="0.25">
      <c r="A74" s="1690" t="s">
        <v>865</v>
      </c>
      <c r="B74" s="1698">
        <v>2000</v>
      </c>
      <c r="C74" s="1699">
        <f>SUM(C42,C47,C53,C57,C65,C72,C73)</f>
        <v>1309464</v>
      </c>
      <c r="D74" s="1699">
        <f t="shared" ref="D74:K74" si="10">SUM(D42,D47,D53,D57,D65,D72,D73)</f>
        <v>205497</v>
      </c>
      <c r="E74" s="1699">
        <f t="shared" si="10"/>
        <v>706571</v>
      </c>
      <c r="F74" s="1699">
        <f t="shared" si="10"/>
        <v>277367</v>
      </c>
      <c r="G74" s="1699">
        <f t="shared" si="10"/>
        <v>29338</v>
      </c>
      <c r="H74" s="1699">
        <f t="shared" si="10"/>
        <v>8729</v>
      </c>
      <c r="I74" s="1699">
        <f t="shared" si="10"/>
        <v>0</v>
      </c>
      <c r="J74" s="1699">
        <f t="shared" si="10"/>
        <v>0</v>
      </c>
      <c r="K74" s="1699">
        <f t="shared" si="10"/>
        <v>2536966</v>
      </c>
      <c r="L74" s="1699">
        <f>SUM(L42,L47,L53,L57,L65,L72,L73)</f>
        <v>1649619</v>
      </c>
    </row>
    <row r="75" spans="1:14" s="259" customFormat="1" ht="15.75" customHeight="1" thickTop="1" thickBot="1" x14ac:dyDescent="0.25">
      <c r="A75" s="1632" t="s">
        <v>49</v>
      </c>
      <c r="B75" s="1633" t="s">
        <v>596</v>
      </c>
      <c r="C75" s="573">
        <v>39900</v>
      </c>
      <c r="D75" s="573">
        <v>9346</v>
      </c>
      <c r="E75" s="573">
        <v>484</v>
      </c>
      <c r="F75" s="573">
        <v>17113</v>
      </c>
      <c r="G75" s="573">
        <v>605</v>
      </c>
      <c r="H75" s="573"/>
      <c r="I75" s="531"/>
      <c r="J75" s="531"/>
      <c r="K75" s="1692">
        <f>SUM(C75:J75)</f>
        <v>67448</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35970</v>
      </c>
      <c r="F78" s="617"/>
      <c r="G78" s="617"/>
      <c r="H78" s="635">
        <v>3229</v>
      </c>
      <c r="I78" s="477"/>
      <c r="J78" s="477"/>
      <c r="K78" s="1693">
        <f t="shared" ref="K78:K83" si="11">SUM(C78:J78)</f>
        <v>39199</v>
      </c>
      <c r="L78" s="481">
        <v>4000</v>
      </c>
    </row>
    <row r="79" spans="1:14" x14ac:dyDescent="0.2">
      <c r="A79" s="1526" t="s">
        <v>322</v>
      </c>
      <c r="B79" s="615">
        <v>4120</v>
      </c>
      <c r="C79" s="617"/>
      <c r="D79" s="617"/>
      <c r="E79" s="466"/>
      <c r="F79" s="617"/>
      <c r="G79" s="617"/>
      <c r="H79" s="466">
        <v>179878</v>
      </c>
      <c r="I79" s="477"/>
      <c r="J79" s="477"/>
      <c r="K79" s="1693">
        <f t="shared" si="11"/>
        <v>179878</v>
      </c>
      <c r="L79" s="466">
        <v>175000</v>
      </c>
    </row>
    <row r="80" spans="1:14" x14ac:dyDescent="0.2">
      <c r="A80" s="1526" t="s">
        <v>323</v>
      </c>
      <c r="B80" s="615">
        <v>4130</v>
      </c>
      <c r="C80" s="617"/>
      <c r="D80" s="617"/>
      <c r="E80" s="466">
        <v>23764</v>
      </c>
      <c r="F80" s="617"/>
      <c r="G80" s="617"/>
      <c r="H80" s="466"/>
      <c r="I80" s="477"/>
      <c r="J80" s="477"/>
      <c r="K80" s="1693">
        <f t="shared" si="11"/>
        <v>23764</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59734</v>
      </c>
      <c r="F84" s="617"/>
      <c r="G84" s="617"/>
      <c r="H84" s="1692">
        <f>SUM(H78:H83)</f>
        <v>183107</v>
      </c>
      <c r="I84" s="477"/>
      <c r="J84" s="477"/>
      <c r="K84" s="1692">
        <f>SUM(K78:K83)</f>
        <v>242841</v>
      </c>
      <c r="L84" s="1692">
        <f>SUM(L78:L83)</f>
        <v>179000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59734</v>
      </c>
      <c r="F102" s="617"/>
      <c r="G102" s="617"/>
      <c r="H102" s="1699">
        <f>SUM(H84,H92,H100,H101)</f>
        <v>183107</v>
      </c>
      <c r="I102" s="477"/>
      <c r="J102" s="477"/>
      <c r="K102" s="1699">
        <f>SUM(K84,K92,K100,K101)</f>
        <v>242841</v>
      </c>
      <c r="L102" s="1699">
        <f>SUM(L84,L92,L100,L101)</f>
        <v>179000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3513401</v>
      </c>
      <c r="D114" s="1692">
        <f t="shared" ref="D114:K114" si="13">SUM(D33,D74,D75,D102,D112,D113)</f>
        <v>711037</v>
      </c>
      <c r="E114" s="1692">
        <f t="shared" si="13"/>
        <v>1016333</v>
      </c>
      <c r="F114" s="1692">
        <f t="shared" si="13"/>
        <v>581144</v>
      </c>
      <c r="G114" s="1692">
        <f t="shared" si="13"/>
        <v>120553</v>
      </c>
      <c r="H114" s="1692">
        <f>SUM(H33,H74,H75,H102,H112,H113)</f>
        <v>193386</v>
      </c>
      <c r="I114" s="1692">
        <f t="shared" si="13"/>
        <v>0</v>
      </c>
      <c r="J114" s="1692">
        <f t="shared" si="13"/>
        <v>0</v>
      </c>
      <c r="K114" s="1692">
        <f t="shared" si="13"/>
        <v>6135854</v>
      </c>
      <c r="L114" s="1692">
        <f>SUM(L33,L74,L75,L102,L112,L113)</f>
        <v>5350309</v>
      </c>
    </row>
    <row r="115" spans="1:14" ht="13.5" thickTop="1" x14ac:dyDescent="0.2">
      <c r="A115" s="2183" t="s">
        <v>1053</v>
      </c>
      <c r="B115" s="2184"/>
      <c r="C115" s="619"/>
      <c r="D115" s="619"/>
      <c r="E115" s="619"/>
      <c r="F115" s="619"/>
      <c r="G115" s="619"/>
      <c r="H115" s="619"/>
      <c r="I115" s="619"/>
      <c r="J115" s="619"/>
      <c r="K115" s="1706">
        <f>'Revenues 9-14'!C275-'Expenditures 15-22'!K114</f>
        <v>1405171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8" t="s">
        <v>314</v>
      </c>
      <c r="B117" s="218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19204</v>
      </c>
      <c r="F123" s="466"/>
      <c r="G123" s="466"/>
      <c r="H123" s="466"/>
      <c r="I123" s="467"/>
      <c r="J123" s="467"/>
      <c r="K123" s="1692">
        <f>SUM(C123:J123)</f>
        <v>19204</v>
      </c>
      <c r="L123" s="466"/>
    </row>
    <row r="124" spans="1:14" ht="14.25" thickTop="1" thickBot="1" x14ac:dyDescent="0.25">
      <c r="A124" s="1526" t="s">
        <v>206</v>
      </c>
      <c r="B124" s="615">
        <v>2540</v>
      </c>
      <c r="C124" s="466"/>
      <c r="D124" s="466"/>
      <c r="E124" s="466">
        <v>128330</v>
      </c>
      <c r="F124" s="466">
        <v>189698</v>
      </c>
      <c r="G124" s="466">
        <v>10000</v>
      </c>
      <c r="H124" s="466">
        <v>6981</v>
      </c>
      <c r="I124" s="467"/>
      <c r="J124" s="467"/>
      <c r="K124" s="1692">
        <f>SUM(C124:J124)</f>
        <v>335009</v>
      </c>
      <c r="L124" s="466">
        <v>369500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147534</v>
      </c>
      <c r="F127" s="1692">
        <f t="shared" si="14"/>
        <v>189698</v>
      </c>
      <c r="G127" s="1692">
        <f t="shared" si="14"/>
        <v>10000</v>
      </c>
      <c r="H127" s="1692">
        <f t="shared" si="14"/>
        <v>6981</v>
      </c>
      <c r="I127" s="1692">
        <f t="shared" si="14"/>
        <v>0</v>
      </c>
      <c r="J127" s="1692">
        <f t="shared" si="14"/>
        <v>0</v>
      </c>
      <c r="K127" s="1692">
        <f t="shared" si="14"/>
        <v>354213</v>
      </c>
      <c r="L127" s="1692">
        <f t="shared" si="14"/>
        <v>369500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147534</v>
      </c>
      <c r="F129" s="1699">
        <f t="shared" si="15"/>
        <v>189698</v>
      </c>
      <c r="G129" s="1699">
        <f t="shared" si="15"/>
        <v>10000</v>
      </c>
      <c r="H129" s="1699">
        <f t="shared" si="15"/>
        <v>6981</v>
      </c>
      <c r="I129" s="1699">
        <f t="shared" si="15"/>
        <v>0</v>
      </c>
      <c r="J129" s="1699">
        <f t="shared" si="15"/>
        <v>0</v>
      </c>
      <c r="K129" s="1699">
        <f t="shared" si="15"/>
        <v>354213</v>
      </c>
      <c r="L129" s="1699">
        <f t="shared" si="15"/>
        <v>369500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v>103</v>
      </c>
      <c r="I134" s="477"/>
      <c r="J134" s="617"/>
      <c r="K134" s="1694">
        <f>SUM(E134,H134)</f>
        <v>103</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103</v>
      </c>
      <c r="I137" s="477"/>
      <c r="J137" s="617"/>
      <c r="K137" s="1692">
        <f>SUM(K133:K136)</f>
        <v>103</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103</v>
      </c>
      <c r="I139" s="477"/>
      <c r="J139" s="617"/>
      <c r="K139" s="1694">
        <f>SUM(K137,K138)</f>
        <v>103</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200" t="s">
        <v>641</v>
      </c>
      <c r="B151" s="2180"/>
      <c r="C151" s="1692">
        <f>SUM(C129,C130,C139,C149,C150)</f>
        <v>0</v>
      </c>
      <c r="D151" s="1692">
        <f t="shared" ref="D151:K151" si="16">SUM(D129,D130,D139,D149,D150)</f>
        <v>0</v>
      </c>
      <c r="E151" s="1692">
        <f t="shared" si="16"/>
        <v>147534</v>
      </c>
      <c r="F151" s="1692">
        <f t="shared" si="16"/>
        <v>189698</v>
      </c>
      <c r="G151" s="1692">
        <f t="shared" si="16"/>
        <v>10000</v>
      </c>
      <c r="H151" s="1692">
        <f t="shared" si="16"/>
        <v>7084</v>
      </c>
      <c r="I151" s="1692">
        <f t="shared" si="16"/>
        <v>0</v>
      </c>
      <c r="J151" s="1692">
        <f t="shared" si="16"/>
        <v>0</v>
      </c>
      <c r="K151" s="1692">
        <f t="shared" si="16"/>
        <v>354316</v>
      </c>
      <c r="L151" s="1692">
        <f>SUM(L129,L130,L139,L149,L150)</f>
        <v>369500</v>
      </c>
    </row>
    <row r="152" spans="1:14" ht="12.75" customHeight="1" thickTop="1" x14ac:dyDescent="0.2">
      <c r="A152" s="2203" t="s">
        <v>1240</v>
      </c>
      <c r="B152" s="2204"/>
      <c r="C152" s="619"/>
      <c r="D152" s="619"/>
      <c r="E152" s="619"/>
      <c r="F152" s="619"/>
      <c r="G152" s="619"/>
      <c r="H152" s="619"/>
      <c r="I152" s="619"/>
      <c r="J152" s="617"/>
      <c r="K152" s="1706">
        <f>'Revenues 9-14'!D275-'Expenditures 15-22'!K151</f>
        <v>25092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8" t="s">
        <v>642</v>
      </c>
      <c r="B154" s="219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104703</v>
      </c>
      <c r="I169" s="617"/>
      <c r="J169" s="617"/>
      <c r="K169" s="1693">
        <f>SUM(C169:H169)</f>
        <v>104703</v>
      </c>
      <c r="L169" s="657">
        <v>104703</v>
      </c>
    </row>
    <row r="170" spans="1:14" ht="33.75" customHeight="1" x14ac:dyDescent="0.2">
      <c r="A170" s="670" t="s">
        <v>1769</v>
      </c>
      <c r="B170" s="672" t="s">
        <v>31</v>
      </c>
      <c r="C170" s="617"/>
      <c r="D170" s="617"/>
      <c r="E170" s="617"/>
      <c r="F170" s="617"/>
      <c r="G170" s="617"/>
      <c r="H170" s="569">
        <v>169113</v>
      </c>
      <c r="I170" s="617"/>
      <c r="J170" s="617"/>
      <c r="K170" s="1693">
        <f>SUM(C170:J170)</f>
        <v>169113</v>
      </c>
      <c r="L170" s="569">
        <v>178255</v>
      </c>
    </row>
    <row r="171" spans="1:14" ht="15.75" customHeight="1" x14ac:dyDescent="0.2">
      <c r="A171" s="622" t="s">
        <v>790</v>
      </c>
      <c r="B171" s="673" t="s">
        <v>86</v>
      </c>
      <c r="C171" s="617"/>
      <c r="D171" s="617"/>
      <c r="E171" s="466"/>
      <c r="F171" s="617"/>
      <c r="G171" s="617"/>
      <c r="H171" s="569">
        <v>500</v>
      </c>
      <c r="I171" s="477"/>
      <c r="J171" s="617"/>
      <c r="K171" s="1693">
        <f>SUM(C171:J171)</f>
        <v>500</v>
      </c>
      <c r="L171" s="569"/>
    </row>
    <row r="172" spans="1:14" ht="12.75" customHeight="1" thickBot="1" x14ac:dyDescent="0.25">
      <c r="A172" s="1690" t="s">
        <v>659</v>
      </c>
      <c r="B172" s="1691" t="s">
        <v>513</v>
      </c>
      <c r="C172" s="617"/>
      <c r="D172" s="617"/>
      <c r="E172" s="1699">
        <f>SUM(E168,E169,E170,E171)</f>
        <v>0</v>
      </c>
      <c r="F172" s="617"/>
      <c r="G172" s="617"/>
      <c r="H172" s="1699">
        <f>SUM(H168,H169,H170,H171)</f>
        <v>274316</v>
      </c>
      <c r="I172" s="639"/>
      <c r="J172" s="617"/>
      <c r="K172" s="1699">
        <f>SUM(K168,K169,K170,K171)</f>
        <v>274316</v>
      </c>
      <c r="L172" s="1699">
        <f>SUM(L168,L169,L170,L171)</f>
        <v>282958</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274316</v>
      </c>
      <c r="I174" s="639"/>
      <c r="J174" s="617"/>
      <c r="K174" s="1699">
        <f>SUM(K160,K172,K173)</f>
        <v>274316</v>
      </c>
      <c r="L174" s="1699">
        <f>SUM(L160,L172,L173)</f>
        <v>282958</v>
      </c>
    </row>
    <row r="175" spans="1:14" ht="13.5" thickTop="1" x14ac:dyDescent="0.2">
      <c r="A175" s="2183" t="s">
        <v>1053</v>
      </c>
      <c r="B175" s="2184"/>
      <c r="C175" s="617"/>
      <c r="D175" s="617"/>
      <c r="E175" s="617"/>
      <c r="F175" s="617"/>
      <c r="G175" s="617"/>
      <c r="H175" s="619"/>
      <c r="I175" s="617"/>
      <c r="J175" s="617"/>
      <c r="K175" s="1706">
        <f>'Revenues 9-14'!E275-'Expenditures 15-22'!K174</f>
        <v>-4392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562352</v>
      </c>
      <c r="F182" s="466"/>
      <c r="G182" s="466"/>
      <c r="H182" s="466"/>
      <c r="I182" s="467"/>
      <c r="J182" s="467"/>
      <c r="K182" s="1693">
        <f>SUM(C182:J182)</f>
        <v>562352</v>
      </c>
      <c r="L182" s="466">
        <v>547000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562352</v>
      </c>
      <c r="F184" s="1699">
        <f t="shared" si="17"/>
        <v>0</v>
      </c>
      <c r="G184" s="1699">
        <f t="shared" si="17"/>
        <v>0</v>
      </c>
      <c r="H184" s="1699">
        <f t="shared" si="17"/>
        <v>0</v>
      </c>
      <c r="I184" s="1699">
        <f t="shared" si="17"/>
        <v>0</v>
      </c>
      <c r="J184" s="1699">
        <f t="shared" si="17"/>
        <v>0</v>
      </c>
      <c r="K184" s="1699">
        <f>SUM(K180,K182,K183)</f>
        <v>562352</v>
      </c>
      <c r="L184" s="1699">
        <f>SUM(L180, L182:L183)</f>
        <v>547000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562352</v>
      </c>
      <c r="F210" s="1692">
        <f>SUM(F184,F185)</f>
        <v>0</v>
      </c>
      <c r="G210" s="1692">
        <f>SUM(G184,G185)</f>
        <v>0</v>
      </c>
      <c r="H210" s="1692">
        <f>SUM(H184,H185,H196,H208,H209)</f>
        <v>0</v>
      </c>
      <c r="I210" s="1692">
        <f>SUM(I184,I185)</f>
        <v>0</v>
      </c>
      <c r="J210" s="1692">
        <f>SUM(J184,J185)</f>
        <v>0</v>
      </c>
      <c r="K210" s="1693">
        <f>SUM(K184,K185,K196,K208,K209)</f>
        <v>562352</v>
      </c>
      <c r="L210" s="1692">
        <f>SUM(L184,L185,L196,L208,L209)</f>
        <v>547000</v>
      </c>
    </row>
    <row r="211" spans="1:14" ht="13.5" thickTop="1" x14ac:dyDescent="0.2">
      <c r="A211" s="2183" t="s">
        <v>1053</v>
      </c>
      <c r="B211" s="2184"/>
      <c r="C211" s="619"/>
      <c r="D211" s="619"/>
      <c r="E211" s="619"/>
      <c r="F211" s="619"/>
      <c r="G211" s="619"/>
      <c r="H211" s="619"/>
      <c r="I211" s="617"/>
      <c r="J211" s="617"/>
      <c r="K211" s="1706">
        <f>'Revenues 9-14'!F275-'Expenditures 15-22'!K210</f>
        <v>160904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5" t="s">
        <v>1022</v>
      </c>
      <c r="B213" s="220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20252</v>
      </c>
      <c r="E215" s="617"/>
      <c r="F215" s="617"/>
      <c r="G215" s="617"/>
      <c r="H215" s="617"/>
      <c r="I215" s="617"/>
      <c r="J215" s="617"/>
      <c r="K215" s="1693">
        <f>D215</f>
        <v>20252</v>
      </c>
      <c r="L215" s="466">
        <v>33290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24373</v>
      </c>
      <c r="E217" s="617"/>
      <c r="F217" s="617"/>
      <c r="G217" s="617"/>
      <c r="H217" s="617"/>
      <c r="I217" s="617"/>
      <c r="J217" s="617"/>
      <c r="K217" s="1693">
        <f t="shared" si="19"/>
        <v>24373</v>
      </c>
      <c r="L217" s="466">
        <v>26570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918</v>
      </c>
      <c r="E222" s="617"/>
      <c r="F222" s="617"/>
      <c r="G222" s="617"/>
      <c r="H222" s="617"/>
      <c r="I222" s="617"/>
      <c r="J222" s="617"/>
      <c r="K222" s="1693">
        <f t="shared" si="19"/>
        <v>918</v>
      </c>
      <c r="L222" s="466">
        <v>921</v>
      </c>
    </row>
    <row r="223" spans="1:14" x14ac:dyDescent="0.2">
      <c r="A223" s="1526" t="s">
        <v>1020</v>
      </c>
      <c r="B223" s="615">
        <v>1500</v>
      </c>
      <c r="C223" s="617"/>
      <c r="D223" s="466">
        <v>7260</v>
      </c>
      <c r="E223" s="617"/>
      <c r="F223" s="617"/>
      <c r="G223" s="617"/>
      <c r="H223" s="617"/>
      <c r="I223" s="617"/>
      <c r="J223" s="617"/>
      <c r="K223" s="1693">
        <f t="shared" si="19"/>
        <v>7260</v>
      </c>
      <c r="L223" s="466">
        <v>531</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52803</v>
      </c>
      <c r="E229" s="617"/>
      <c r="F229" s="617"/>
      <c r="G229" s="617"/>
      <c r="H229" s="617"/>
      <c r="I229" s="617"/>
      <c r="J229" s="617"/>
      <c r="K229" s="1692">
        <f>SUM(K215:K228)</f>
        <v>52803</v>
      </c>
      <c r="L229" s="1692">
        <f>SUM(L215:L228)</f>
        <v>61312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504</v>
      </c>
    </row>
    <row r="233" spans="1:12" x14ac:dyDescent="0.2">
      <c r="A233" s="1526" t="s">
        <v>1151</v>
      </c>
      <c r="B233" s="615">
        <v>2120</v>
      </c>
      <c r="C233" s="617"/>
      <c r="D233" s="466">
        <v>8686</v>
      </c>
      <c r="E233" s="617"/>
      <c r="F233" s="617"/>
      <c r="G233" s="617"/>
      <c r="H233" s="617"/>
      <c r="I233" s="617"/>
      <c r="J233" s="617"/>
      <c r="K233" s="1693">
        <f t="shared" si="20"/>
        <v>8686</v>
      </c>
      <c r="L233" s="466">
        <v>7900</v>
      </c>
    </row>
    <row r="234" spans="1:12" x14ac:dyDescent="0.2">
      <c r="A234" s="1526" t="s">
        <v>207</v>
      </c>
      <c r="B234" s="615">
        <v>2130</v>
      </c>
      <c r="C234" s="617"/>
      <c r="D234" s="466">
        <v>813</v>
      </c>
      <c r="E234" s="617"/>
      <c r="F234" s="617"/>
      <c r="G234" s="617"/>
      <c r="H234" s="617"/>
      <c r="I234" s="617"/>
      <c r="J234" s="617"/>
      <c r="K234" s="1693">
        <f t="shared" si="20"/>
        <v>813</v>
      </c>
      <c r="L234" s="466">
        <v>816</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528</v>
      </c>
      <c r="E236" s="617"/>
      <c r="F236" s="617"/>
      <c r="G236" s="617"/>
      <c r="H236" s="617"/>
      <c r="I236" s="617"/>
      <c r="J236" s="617"/>
      <c r="K236" s="1693">
        <f t="shared" si="20"/>
        <v>528</v>
      </c>
      <c r="L236" s="466">
        <v>484</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10027</v>
      </c>
      <c r="E238" s="617"/>
      <c r="F238" s="617"/>
      <c r="G238" s="617"/>
      <c r="H238" s="617"/>
      <c r="I238" s="617"/>
      <c r="J238" s="617"/>
      <c r="K238" s="1692">
        <f>SUM(K232:K237)</f>
        <v>10027</v>
      </c>
      <c r="L238" s="1692">
        <f>SUM(L232:L237)</f>
        <v>9704</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5043</v>
      </c>
      <c r="E241" s="617"/>
      <c r="F241" s="617"/>
      <c r="G241" s="617"/>
      <c r="H241" s="617"/>
      <c r="I241" s="617"/>
      <c r="J241" s="617"/>
      <c r="K241" s="1694">
        <f>D241</f>
        <v>5043</v>
      </c>
      <c r="L241" s="466">
        <v>903</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5043</v>
      </c>
      <c r="E243" s="617"/>
      <c r="F243" s="617"/>
      <c r="G243" s="617"/>
      <c r="H243" s="617"/>
      <c r="I243" s="617"/>
      <c r="J243" s="617"/>
      <c r="K243" s="1692">
        <f>SUM(K240:K242)</f>
        <v>5043</v>
      </c>
      <c r="L243" s="1692">
        <f>SUM(L240:L242)</f>
        <v>903</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3718</v>
      </c>
      <c r="E246" s="617"/>
      <c r="F246" s="617"/>
      <c r="G246" s="617"/>
      <c r="H246" s="617"/>
      <c r="I246" s="617"/>
      <c r="J246" s="617"/>
      <c r="K246" s="1694">
        <f t="shared" ref="K246:K256" si="21">D246</f>
        <v>3718</v>
      </c>
      <c r="L246" s="466">
        <v>9119</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3718</v>
      </c>
      <c r="E257" s="617"/>
      <c r="F257" s="617"/>
      <c r="G257" s="617"/>
      <c r="H257" s="617"/>
      <c r="I257" s="617"/>
      <c r="J257" s="617"/>
      <c r="K257" s="1692">
        <f>SUM(K245:K256)</f>
        <v>3718</v>
      </c>
      <c r="L257" s="1692">
        <f>SUM(L245:L256)</f>
        <v>9119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14885</v>
      </c>
      <c r="E259" s="617"/>
      <c r="F259" s="617"/>
      <c r="G259" s="617"/>
      <c r="H259" s="617"/>
      <c r="I259" s="617"/>
      <c r="J259" s="617"/>
      <c r="K259" s="1694">
        <f>D259</f>
        <v>14885</v>
      </c>
      <c r="L259" s="481">
        <v>19914</v>
      </c>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14885</v>
      </c>
      <c r="E261" s="617"/>
      <c r="F261" s="617"/>
      <c r="G261" s="617"/>
      <c r="H261" s="617"/>
      <c r="I261" s="617"/>
      <c r="J261" s="617"/>
      <c r="K261" s="1692">
        <f>SUM(K259:K260)</f>
        <v>14885</v>
      </c>
      <c r="L261" s="1692">
        <f>SUM(L259:L260)</f>
        <v>19914</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9671</v>
      </c>
      <c r="E264" s="617"/>
      <c r="F264" s="617"/>
      <c r="G264" s="617"/>
      <c r="H264" s="617"/>
      <c r="I264" s="617"/>
      <c r="J264" s="617"/>
      <c r="K264" s="1694">
        <f t="shared" ref="K264:K269" si="22">D264</f>
        <v>9671</v>
      </c>
      <c r="L264" s="466">
        <v>9252</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35818</v>
      </c>
      <c r="E266" s="617"/>
      <c r="F266" s="617"/>
      <c r="G266" s="617"/>
      <c r="H266" s="617"/>
      <c r="I266" s="617"/>
      <c r="J266" s="617"/>
      <c r="K266" s="1694">
        <f t="shared" si="22"/>
        <v>35818</v>
      </c>
      <c r="L266" s="466">
        <v>35797</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17368</v>
      </c>
      <c r="E268" s="617"/>
      <c r="F268" s="617"/>
      <c r="G268" s="617"/>
      <c r="H268" s="617"/>
      <c r="I268" s="617"/>
      <c r="J268" s="617"/>
      <c r="K268" s="1694">
        <f t="shared" si="22"/>
        <v>17368</v>
      </c>
      <c r="L268" s="466">
        <v>14153</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62857</v>
      </c>
      <c r="E270" s="617"/>
      <c r="F270" s="617"/>
      <c r="G270" s="617"/>
      <c r="H270" s="617"/>
      <c r="I270" s="617"/>
      <c r="J270" s="617"/>
      <c r="K270" s="1692">
        <f>SUM(K263:K269)</f>
        <v>62857</v>
      </c>
      <c r="L270" s="1692">
        <f>SUM(L263:L269)</f>
        <v>59202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96530</v>
      </c>
      <c r="E279" s="617"/>
      <c r="F279" s="617"/>
      <c r="G279" s="617"/>
      <c r="H279" s="617"/>
      <c r="I279" s="617"/>
      <c r="J279" s="617"/>
      <c r="K279" s="1699">
        <f>SUM(K238,K243,K257,K261,K270,K277,K278)</f>
        <v>96530</v>
      </c>
      <c r="L279" s="1699">
        <f>SUM(L238,L243,L257,L261,L270,L277,L278)</f>
        <v>98842</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201" t="s">
        <v>526</v>
      </c>
      <c r="B295" s="2202"/>
      <c r="C295" s="617"/>
      <c r="D295" s="1692">
        <f>SUM(D229,D279,D280,D285)</f>
        <v>149333</v>
      </c>
      <c r="E295" s="617"/>
      <c r="F295" s="617"/>
      <c r="G295" s="617"/>
      <c r="H295" s="1692">
        <f>H293</f>
        <v>0</v>
      </c>
      <c r="I295" s="617"/>
      <c r="J295" s="617"/>
      <c r="K295" s="1692">
        <f>SUM(K229,K279,K280,K285,K293,K294)</f>
        <v>149333</v>
      </c>
      <c r="L295" s="1692">
        <f>SUM(L229,L279,L280,L285,L293,L294)</f>
        <v>160154</v>
      </c>
    </row>
    <row r="296" spans="1:14" ht="13.5" thickTop="1" x14ac:dyDescent="0.2">
      <c r="A296" s="2183" t="s">
        <v>1053</v>
      </c>
      <c r="B296" s="2184"/>
      <c r="C296" s="617"/>
      <c r="D296" s="619"/>
      <c r="E296" s="617"/>
      <c r="F296" s="617"/>
      <c r="G296" s="617"/>
      <c r="H296" s="688"/>
      <c r="I296" s="617"/>
      <c r="J296" s="617"/>
      <c r="K296" s="1706">
        <f>'Revenues 9-14'!G275-'Expenditures 15-22'!K295</f>
        <v>-29601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3" t="s">
        <v>145</v>
      </c>
      <c r="B298" s="218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938320</v>
      </c>
      <c r="H301" s="466"/>
      <c r="I301" s="467"/>
      <c r="J301" s="467"/>
      <c r="K301" s="1693">
        <f>SUM(C301:J301)</f>
        <v>938320</v>
      </c>
      <c r="L301" s="467">
        <v>1000000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938320</v>
      </c>
      <c r="H303" s="1699">
        <f t="shared" si="23"/>
        <v>0</v>
      </c>
      <c r="I303" s="1699">
        <f t="shared" si="23"/>
        <v>0</v>
      </c>
      <c r="J303" s="1699">
        <f t="shared" si="23"/>
        <v>0</v>
      </c>
      <c r="K303" s="1699">
        <f t="shared" si="23"/>
        <v>938320</v>
      </c>
      <c r="L303" s="1699">
        <f t="shared" si="23"/>
        <v>1000000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8" t="s">
        <v>295</v>
      </c>
      <c r="B312" s="2199"/>
      <c r="C312" s="1692">
        <f>SUM(C303)</f>
        <v>0</v>
      </c>
      <c r="D312" s="1692">
        <f>SUM(D303)</f>
        <v>0</v>
      </c>
      <c r="E312" s="1692">
        <f>SUM(E303,E310)</f>
        <v>0</v>
      </c>
      <c r="F312" s="1692">
        <f>SUM(F303)</f>
        <v>0</v>
      </c>
      <c r="G312" s="1692">
        <f>SUM(G303)</f>
        <v>938320</v>
      </c>
      <c r="H312" s="1692">
        <f>SUM(H303,H310)</f>
        <v>0</v>
      </c>
      <c r="I312" s="1692">
        <f>SUM(I303)</f>
        <v>0</v>
      </c>
      <c r="J312" s="1692">
        <f>SUM(J303)</f>
        <v>0</v>
      </c>
      <c r="K312" s="1692">
        <f>SUM(K303,K310,K311)</f>
        <v>938320</v>
      </c>
      <c r="L312" s="1692">
        <f>SUM(L303,L310,L311)</f>
        <v>1000000</v>
      </c>
      <c r="M312" s="666"/>
      <c r="N312" s="666"/>
    </row>
    <row r="313" spans="1:14" ht="13.5" thickTop="1" x14ac:dyDescent="0.2">
      <c r="A313" s="2194" t="s">
        <v>1053</v>
      </c>
      <c r="B313" s="2195"/>
      <c r="C313" s="627"/>
      <c r="D313" s="627"/>
      <c r="E313" s="627"/>
      <c r="F313" s="627"/>
      <c r="G313" s="627"/>
      <c r="H313" s="627"/>
      <c r="I313" s="627"/>
      <c r="J313" s="627"/>
      <c r="K313" s="1707">
        <f>'Revenues 9-14'!H275-'Expenditures 15-22'!K312</f>
        <v>23192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7" t="s">
        <v>151</v>
      </c>
      <c r="B315" s="220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9" t="s">
        <v>954</v>
      </c>
      <c r="B317" s="220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v>38204</v>
      </c>
      <c r="F320" s="467"/>
      <c r="G320" s="467"/>
      <c r="H320" s="467"/>
      <c r="I320" s="467"/>
      <c r="J320" s="467"/>
      <c r="K320" s="1693">
        <f t="shared" ref="K320:K327" si="24">SUM(C320:J320)</f>
        <v>38204</v>
      </c>
      <c r="L320" s="467">
        <v>42000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38204</v>
      </c>
      <c r="F330" s="1692">
        <f t="shared" si="25"/>
        <v>0</v>
      </c>
      <c r="G330" s="1692">
        <f t="shared" si="25"/>
        <v>0</v>
      </c>
      <c r="H330" s="1692">
        <f t="shared" si="25"/>
        <v>0</v>
      </c>
      <c r="I330" s="1692">
        <f t="shared" si="25"/>
        <v>0</v>
      </c>
      <c r="J330" s="1692">
        <f t="shared" si="25"/>
        <v>0</v>
      </c>
      <c r="K330" s="1692">
        <f>SUM(K319:K329)</f>
        <v>38204</v>
      </c>
      <c r="L330" s="1692">
        <f>SUM(L319:L329)</f>
        <v>42000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38204</v>
      </c>
      <c r="F342" s="1692">
        <f>SUM(F330)</f>
        <v>0</v>
      </c>
      <c r="G342" s="1692">
        <f>SUM(G330)</f>
        <v>0</v>
      </c>
      <c r="H342" s="1692">
        <f>SUM(H330,H334,H340)</f>
        <v>0</v>
      </c>
      <c r="I342" s="1692">
        <f>SUM(I330)</f>
        <v>0</v>
      </c>
      <c r="J342" s="1692">
        <f>SUM(J330)</f>
        <v>0</v>
      </c>
      <c r="K342" s="1692">
        <f>SUM(K330,K334,K340)</f>
        <v>38204</v>
      </c>
      <c r="L342" s="1699">
        <f>SUM(L330,L340,L341)</f>
        <v>42000</v>
      </c>
    </row>
    <row r="343" spans="1:14" ht="12.75" customHeight="1" thickTop="1" x14ac:dyDescent="0.2">
      <c r="A343" s="2196" t="s">
        <v>1053</v>
      </c>
      <c r="B343" s="2197"/>
      <c r="C343" s="617"/>
      <c r="D343" s="617"/>
      <c r="E343" s="617"/>
      <c r="F343" s="617"/>
      <c r="G343" s="617"/>
      <c r="H343" s="617"/>
      <c r="I343" s="617"/>
      <c r="J343" s="617"/>
      <c r="K343" s="1706">
        <f>'Revenues 9-14'!J275-'Expenditures 15-22'!K342</f>
        <v>21765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6" t="s">
        <v>1023</v>
      </c>
      <c r="B345" s="218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v>401038</v>
      </c>
      <c r="H348" s="466"/>
      <c r="I348" s="467"/>
      <c r="J348" s="467"/>
      <c r="K348" s="1693">
        <f>SUM(C348:J348)</f>
        <v>401038</v>
      </c>
      <c r="L348" s="466">
        <v>401400</v>
      </c>
    </row>
    <row r="349" spans="1:14" x14ac:dyDescent="0.2">
      <c r="A349" s="1526" t="s">
        <v>206</v>
      </c>
      <c r="B349" s="615">
        <v>2540</v>
      </c>
      <c r="C349" s="466"/>
      <c r="D349" s="466"/>
      <c r="E349" s="466">
        <v>5270</v>
      </c>
      <c r="F349" s="466"/>
      <c r="G349" s="466"/>
      <c r="H349" s="466"/>
      <c r="I349" s="467"/>
      <c r="J349" s="467"/>
      <c r="K349" s="1693">
        <f>SUM(C349:J349)</f>
        <v>5270</v>
      </c>
      <c r="L349" s="466">
        <v>10000</v>
      </c>
    </row>
    <row r="350" spans="1:14" ht="12.75" customHeight="1" thickBot="1" x14ac:dyDescent="0.25">
      <c r="A350" s="1690" t="s">
        <v>743</v>
      </c>
      <c r="B350" s="1691" t="s">
        <v>35</v>
      </c>
      <c r="C350" s="1692">
        <f>SUM(C348:C349)</f>
        <v>0</v>
      </c>
      <c r="D350" s="1692">
        <f t="shared" ref="D350:L350" si="26">SUM(D348:D349)</f>
        <v>0</v>
      </c>
      <c r="E350" s="1692">
        <f t="shared" si="26"/>
        <v>5270</v>
      </c>
      <c r="F350" s="1692">
        <f t="shared" si="26"/>
        <v>0</v>
      </c>
      <c r="G350" s="1692">
        <f t="shared" si="26"/>
        <v>401038</v>
      </c>
      <c r="H350" s="1692">
        <f t="shared" si="26"/>
        <v>0</v>
      </c>
      <c r="I350" s="1692">
        <f t="shared" si="26"/>
        <v>0</v>
      </c>
      <c r="J350" s="1692">
        <f t="shared" si="26"/>
        <v>0</v>
      </c>
      <c r="K350" s="1692">
        <f t="shared" si="26"/>
        <v>406308</v>
      </c>
      <c r="L350" s="1692">
        <f t="shared" si="26"/>
        <v>411400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5270</v>
      </c>
      <c r="F352" s="1692">
        <f t="shared" si="27"/>
        <v>0</v>
      </c>
      <c r="G352" s="1692">
        <f t="shared" si="27"/>
        <v>401038</v>
      </c>
      <c r="H352" s="1692">
        <f t="shared" si="27"/>
        <v>0</v>
      </c>
      <c r="I352" s="1692">
        <f t="shared" si="27"/>
        <v>0</v>
      </c>
      <c r="J352" s="1692">
        <f t="shared" si="27"/>
        <v>0</v>
      </c>
      <c r="K352" s="1692">
        <f t="shared" si="27"/>
        <v>406308</v>
      </c>
      <c r="L352" s="1692">
        <f t="shared" si="27"/>
        <v>411400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5270</v>
      </c>
      <c r="F367" s="1692">
        <f t="shared" si="28"/>
        <v>0</v>
      </c>
      <c r="G367" s="1692">
        <f t="shared" si="28"/>
        <v>401038</v>
      </c>
      <c r="H367" s="1692">
        <f t="shared" si="28"/>
        <v>0</v>
      </c>
      <c r="I367" s="1692">
        <f t="shared" si="28"/>
        <v>0</v>
      </c>
      <c r="J367" s="1692">
        <f t="shared" si="28"/>
        <v>0</v>
      </c>
      <c r="K367" s="1692">
        <f t="shared" si="28"/>
        <v>406308</v>
      </c>
      <c r="L367" s="1692">
        <f t="shared" si="28"/>
        <v>411400</v>
      </c>
    </row>
    <row r="368" spans="1:14" ht="13.5" thickTop="1" x14ac:dyDescent="0.2">
      <c r="A368" s="2183" t="s">
        <v>1053</v>
      </c>
      <c r="B368" s="2184"/>
      <c r="C368" s="655"/>
      <c r="D368" s="655"/>
      <c r="E368" s="627"/>
      <c r="F368" s="627"/>
      <c r="G368" s="627"/>
      <c r="H368" s="627"/>
      <c r="I368" s="627"/>
      <c r="J368" s="624"/>
      <c r="K368" s="1693">
        <f>'Revenues 9-14'!K275-'Expenditures 15-22'!K367</f>
        <v>-394460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1" right="0.3" top="1" bottom="1" header="0.5"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Accompanying Notes to Financial Statements.</oddFooter>
  </headerFooter>
  <rowBreaks count="7" manualBreakCount="7">
    <brk id="53" max="16383" man="1"/>
    <brk id="95" max="16383" man="1"/>
    <brk id="142" max="16383" man="1"/>
    <brk id="188" max="16383" man="1"/>
    <brk id="237" max="16383" man="1"/>
    <brk id="283" max="16383" man="1"/>
    <brk id="327"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17</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SEFA-1</vt:lpstr>
      <vt:lpstr>SEFA-2</vt:lpstr>
      <vt:lpstr>SEFA-3</vt:lpstr>
      <vt:lpstr>SEFA-4</vt:lpstr>
      <vt:lpstr>SEFA NOTES</vt:lpstr>
      <vt:lpstr>SF&amp;QC Sec-1</vt:lpstr>
      <vt:lpstr>SF&amp;QC Sec-2.1</vt:lpstr>
      <vt:lpstr>SF&amp;QC Sec-2.2</vt:lpstr>
      <vt:lpstr>SF&amp;QC Sec-3.1</vt:lpstr>
      <vt:lpstr>SF&amp;QC Sec-3.2</vt:lpstr>
      <vt:lpstr>SSPAF</vt:lpstr>
      <vt:lpstr>' SEFA-1'!Print_Area</vt:lpstr>
      <vt:lpstr>'SEFA NOTES'!Print_Area</vt:lpstr>
      <vt:lpstr>'SEFA Reconcile'!Print_Area</vt:lpstr>
      <vt:lpstr>'SF&amp;QC Sec-1'!Print_Area</vt:lpstr>
      <vt:lpstr>'SF&amp;QC Sec-3.1'!Print_Area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2018-12-06T14:56:32Z</cp:lastPrinted>
  <dcterms:created xsi:type="dcterms:W3CDTF">2003-10-29T19:06:34Z</dcterms:created>
  <dcterms:modified xsi:type="dcterms:W3CDTF">2018-12-17T16:45:04Z</dcterms:modified>
</cp:coreProperties>
</file>