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11" l="1"/>
  <c r="C8" i="1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D7734" i="106" s="1"/>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K93" i="29"/>
  <c r="B6997" i="106" s="1"/>
  <c r="D6997" i="106" s="1"/>
  <c r="K94" i="29"/>
  <c r="K95" i="29"/>
  <c r="B7001" i="106" s="1"/>
  <c r="D7001" i="106" s="1"/>
  <c r="K96" i="29"/>
  <c r="K97" i="29"/>
  <c r="B7005" i="106" s="1"/>
  <c r="D7005" i="106" s="1"/>
  <c r="K98" i="29"/>
  <c r="K99" i="29"/>
  <c r="B7010" i="106" s="1"/>
  <c r="D7010" i="106" s="1"/>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c r="B6322" i="106"/>
  <c r="D6322" i="106" s="1"/>
  <c r="B6323" i="106"/>
  <c r="D6323" i="106" s="1"/>
  <c r="B6324" i="106"/>
  <c r="D6324" i="106" s="1"/>
  <c r="B6325" i="106"/>
  <c r="D6325" i="106" s="1"/>
  <c r="B6326" i="106"/>
  <c r="D6326" i="106" s="1"/>
  <c r="B6327" i="106"/>
  <c r="D6327" i="106" s="1"/>
  <c r="B6328" i="106"/>
  <c r="D6328" i="106" s="1"/>
  <c r="B6329" i="106"/>
  <c r="D6329" i="106"/>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c r="B6356" i="106"/>
  <c r="D6356" i="106" s="1"/>
  <c r="B6358" i="106"/>
  <c r="D6358" i="106" s="1"/>
  <c r="B6359" i="106"/>
  <c r="D6359" i="106" s="1"/>
  <c r="B6360" i="106"/>
  <c r="D6360" i="106" s="1"/>
  <c r="B6361" i="106"/>
  <c r="D6361" i="106" s="1"/>
  <c r="B6362" i="106"/>
  <c r="D6362" i="106" s="1"/>
  <c r="B6363" i="106"/>
  <c r="D6363" i="106" s="1"/>
  <c r="B6364" i="106"/>
  <c r="D6364" i="106"/>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s="1"/>
  <c r="B6692" i="106"/>
  <c r="D6692" i="106" s="1"/>
  <c r="B6693" i="106"/>
  <c r="D6693" i="106"/>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70" i="127"/>
  <c r="B71" i="127"/>
  <c r="D26" i="108"/>
  <c r="E26" i="108"/>
  <c r="F26" i="108"/>
  <c r="G26" i="108"/>
  <c r="D27" i="108"/>
  <c r="E27" i="108"/>
  <c r="G27" i="108"/>
  <c r="F31" i="108"/>
  <c r="F36" i="108"/>
  <c r="F37" i="108"/>
  <c r="G28" i="108"/>
  <c r="E29" i="108"/>
  <c r="G29" i="108"/>
  <c r="E30"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9" i="118"/>
  <c r="D11" i="37"/>
  <c r="D22" i="37"/>
  <c r="J22" i="37"/>
  <c r="L22" i="37"/>
  <c r="D24" i="37"/>
  <c r="B4270" i="106" s="1"/>
  <c r="D4270" i="106" s="1"/>
  <c r="L5" i="11"/>
  <c r="B2056" i="106" s="1"/>
  <c r="D2056" i="106" s="1"/>
  <c r="D12" i="7"/>
  <c r="B1769" i="106" s="1"/>
  <c r="D1769" i="106" s="1"/>
  <c r="D15" i="7"/>
  <c r="B1772" i="106" s="1"/>
  <c r="D1772" i="106" s="1"/>
  <c r="H28" i="118" l="1"/>
  <c r="D5" i="4"/>
  <c r="B3406" i="106" s="1"/>
  <c r="D3406" i="106" s="1"/>
  <c r="J49" i="8"/>
  <c r="B4172" i="106" s="1"/>
  <c r="D4172" i="106" s="1"/>
  <c r="G352" i="29"/>
  <c r="D11" i="7"/>
  <c r="B1768" i="106" s="1"/>
  <c r="D1768" i="106" s="1"/>
  <c r="F131" i="34"/>
  <c r="I274" i="5"/>
  <c r="I173" i="5"/>
  <c r="B4216" i="106" s="1"/>
  <c r="D4216" i="106" s="1"/>
  <c r="F64" i="34"/>
  <c r="F36" i="34"/>
  <c r="G38" i="108"/>
  <c r="D69" i="36"/>
  <c r="F67" i="34"/>
  <c r="E38" i="108"/>
  <c r="D7245" i="106"/>
  <c r="B1124" i="106"/>
  <c r="D1124" i="106" s="1"/>
  <c r="K274" i="5"/>
  <c r="G5" i="4"/>
  <c r="B3409" i="106" s="1"/>
  <c r="D3409" i="106" s="1"/>
  <c r="B1274" i="106"/>
  <c r="D1274" i="106" s="1"/>
  <c r="F111" i="34"/>
  <c r="F50" i="34"/>
  <c r="H342" i="29"/>
  <c r="F127" i="34"/>
  <c r="F46" i="34"/>
  <c r="D13" i="7"/>
  <c r="B3726" i="106" s="1"/>
  <c r="D3726" i="106" s="1"/>
  <c r="F44" i="34"/>
  <c r="D6103" i="106"/>
  <c r="H76" i="4"/>
  <c r="B3298" i="106" s="1"/>
  <c r="D3298" i="106" s="1"/>
  <c r="F77" i="4"/>
  <c r="B3255" i="106" s="1"/>
  <c r="D3255" i="106" s="1"/>
  <c r="F21" i="8"/>
  <c r="L13" i="11"/>
  <c r="B2060" i="106" s="1"/>
  <c r="D2060" i="106" s="1"/>
  <c r="J77" i="4"/>
  <c r="B6262" i="106" s="1"/>
  <c r="D6262" i="106" s="1"/>
  <c r="H109" i="5"/>
  <c r="B6025" i="106" s="1"/>
  <c r="D6025" i="106" s="1"/>
  <c r="F28" i="108"/>
  <c r="F41" i="108" s="1"/>
  <c r="G43" i="108" s="1"/>
  <c r="E28" i="108"/>
  <c r="B6995" i="106"/>
  <c r="D6995" i="106" s="1"/>
  <c r="G30" i="108"/>
  <c r="H173" i="5"/>
  <c r="B5906" i="106" s="1"/>
  <c r="D5906" i="106" s="1"/>
  <c r="E109" i="5"/>
  <c r="E4" i="4" s="1"/>
  <c r="B2630" i="106" s="1"/>
  <c r="D2630" i="106" s="1"/>
  <c r="L367" i="29"/>
  <c r="F49" i="34"/>
  <c r="C342" i="29"/>
  <c r="B7216" i="106" s="1"/>
  <c r="D7216" i="106" s="1"/>
  <c r="K41" i="3"/>
  <c r="L15" i="11"/>
  <c r="B3459" i="106" s="1"/>
  <c r="D3459" i="106" s="1"/>
  <c r="K24" i="12"/>
  <c r="C352" i="29"/>
  <c r="C367" i="29" s="1"/>
  <c r="B3622" i="106" s="1"/>
  <c r="D3622" i="106" s="1"/>
  <c r="G15" i="145"/>
  <c r="G172" i="5"/>
  <c r="G173" i="5" s="1"/>
  <c r="B1746" i="106"/>
  <c r="D1746" i="106" s="1"/>
  <c r="D4" i="7"/>
  <c r="B1760" i="106" s="1"/>
  <c r="D1760" i="106" s="1"/>
  <c r="C109" i="5"/>
  <c r="B5121" i="106" s="1"/>
  <c r="D5121" i="106" s="1"/>
  <c r="F66" i="34"/>
  <c r="F45" i="34"/>
  <c r="F42" i="34"/>
  <c r="B6289" i="106"/>
  <c r="D6289" i="106" s="1"/>
  <c r="K184" i="29"/>
  <c r="F13" i="4" s="1"/>
  <c r="B2596" i="106" s="1"/>
  <c r="D2596" i="106" s="1"/>
  <c r="G210" i="29"/>
  <c r="B5770" i="106"/>
  <c r="D5770" i="106" s="1"/>
  <c r="D17" i="7"/>
  <c r="B4104" i="106" s="1"/>
  <c r="D4104" i="106" s="1"/>
  <c r="F106" i="34"/>
  <c r="B5752" i="106"/>
  <c r="D5752" i="106" s="1"/>
  <c r="F128" i="34"/>
  <c r="H33" i="118"/>
  <c r="J274" i="5"/>
  <c r="B7054" i="106" s="1"/>
  <c r="D7054" i="106" s="1"/>
  <c r="I342" i="29"/>
  <c r="B7222" i="106" s="1"/>
  <c r="D7222" i="106" s="1"/>
  <c r="B3621" i="106"/>
  <c r="D3621" i="106" s="1"/>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B6216" i="106" s="1"/>
  <c r="D6216" i="106" s="1"/>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D274" i="5"/>
  <c r="B3447" i="106"/>
  <c r="D3447" i="106" s="1"/>
  <c r="B7270" i="106"/>
  <c r="N22" i="3" l="1"/>
  <c r="H275" i="5"/>
  <c r="H8" i="4"/>
  <c r="K365" i="29"/>
  <c r="B7215" i="106"/>
  <c r="D7215" i="106" s="1"/>
  <c r="D7253" i="106"/>
  <c r="B1879" i="106"/>
  <c r="D1879" i="106" s="1"/>
  <c r="H22" i="37"/>
  <c r="D7254" i="106"/>
  <c r="D7250" i="106"/>
  <c r="D44" i="36"/>
  <c r="D51" i="36"/>
  <c r="L114" i="29"/>
  <c r="C4" i="4"/>
  <c r="B2551" i="106" s="1"/>
  <c r="D2551" i="106" s="1"/>
  <c r="B1381" i="106"/>
  <c r="D1381" i="106" s="1"/>
  <c r="C114" i="29"/>
  <c r="B757" i="106" s="1"/>
  <c r="D757" i="106" s="1"/>
  <c r="B5778" i="106"/>
  <c r="D5778" i="106" s="1"/>
  <c r="G6" i="4"/>
  <c r="B2604" i="106" s="1"/>
  <c r="D2604" i="106" s="1"/>
  <c r="B1365" i="106"/>
  <c r="D1365" i="106" s="1"/>
  <c r="F65" i="34"/>
  <c r="B7733" i="106"/>
  <c r="D7733" i="106" s="1"/>
  <c r="K26" i="12"/>
  <c r="B7743" i="106" s="1"/>
  <c r="D7743" i="106" s="1"/>
  <c r="B3568" i="106"/>
  <c r="D3568" i="106" s="1"/>
  <c r="D52" i="36"/>
  <c r="D19" i="7"/>
  <c r="B1775" i="106" s="1"/>
  <c r="D1775" i="106" s="1"/>
  <c r="B6014" i="106"/>
  <c r="D6014" i="106" s="1"/>
  <c r="I26" i="12"/>
  <c r="B7741" i="106" s="1"/>
  <c r="D7741" i="106" s="1"/>
  <c r="B1996" i="106"/>
  <c r="D1996" i="106" s="1"/>
  <c r="B5214" i="106"/>
  <c r="D5214" i="106" s="1"/>
  <c r="C173" i="5"/>
  <c r="B3628" i="106"/>
  <c r="D3628" i="106" s="1"/>
  <c r="C151" i="29"/>
  <c r="B1226" i="106" s="1"/>
  <c r="D1226" i="106" s="1"/>
  <c r="B1317" i="106"/>
  <c r="D1317" i="106" s="1"/>
  <c r="F274" i="5"/>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B283" i="106" l="1"/>
  <c r="D283" i="106" s="1"/>
  <c r="N23" i="3"/>
  <c r="B284" i="106" s="1"/>
  <c r="D284" i="106" s="1"/>
  <c r="B7224" i="106"/>
  <c r="D7224" i="106" s="1"/>
  <c r="J17" i="4"/>
  <c r="B6227" i="106" s="1"/>
  <c r="D6227" i="106" s="1"/>
  <c r="G41" i="108"/>
  <c r="G44" i="108" s="1"/>
  <c r="G45" i="108" s="1"/>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K368" i="29" l="1"/>
  <c r="B3681" i="106" s="1"/>
  <c r="D3681" i="106" s="1"/>
  <c r="J20" i="4"/>
  <c r="J78" i="4" s="1"/>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H13" i="118" l="1"/>
  <c r="B6230" i="106"/>
  <c r="D6230" i="106" s="1"/>
  <c r="F10" i="4"/>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<sst xmlns="http://schemas.openxmlformats.org/spreadsheetml/2006/main" count="5068" uniqueCount="2142">
  <si>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</si>
  <si>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</si>
  <si>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</si>
  <si>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</si>
  <si>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</si>
  <si>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</si>
  <si>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</si>
  <si>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</si>
  <si>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</si>
  <si>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</si>
  <si>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</si>
  <si>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</si>
  <si>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</si>
  <si>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</si>
  <si>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</si>
  <si>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</si>
  <si>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</si>
  <si>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</si>
  <si>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</si>
  <si>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</si>
  <si>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</si>
  <si>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</si>
  <si>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</si>
  <si>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</si>
  <si>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</si>
  <si>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</si>
  <si>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</si>
  <si>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</si>
  <si>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</si>
  <si>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</si>
  <si>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</si>
  <si>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</si>
  <si>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</si>
  <si>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</si>
  <si>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</si>
  <si>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</si>
  <si>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</si>
  <si>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</si>
  <si>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</si>
  <si>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</si>
  <si>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</si>
  <si>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</si>
  <si>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</si>
  <si>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</si>
  <si>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</si>
  <si>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</si>
  <si>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</si>
  <si>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</si>
  <si>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</si>
  <si>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</si>
  <si>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</si>
  <si>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</si>
  <si>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</si>
  <si>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</si>
  <si>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</si>
  <si>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</si>
  <si>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</si>
  <si>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</si>
  <si>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</si>
  <si>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</si>
  <si>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</si>
  <si>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</si>
  <si>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</si>
  <si>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</si>
  <si>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</si>
  <si>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</si>
  <si>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</si>
  <si>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</si>
  <si>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</si>
  <si>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</si>
  <si>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</si>
  <si>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</si>
  <si>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</si>
  <si>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</si>
  <si>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</si>
  <si>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</si>
  <si>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</si>
  <si>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</si>
  <si>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</si>
  <si>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</si>
  <si>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</si>
  <si>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</si>
  <si>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</si>
  <si>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</si>
  <si>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</si>
  <si>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</si>
  <si>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</si>
  <si>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</si>
  <si>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</si>
  <si>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</si>
  <si>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</si>
  <si>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</si>
  <si>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</si>
  <si>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</si>
  <si>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</si>
  <si>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</si>
  <si>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</si>
  <si>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</si>
  <si>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</si>
  <si>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</si>
  <si>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</si>
  <si>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</si>
  <si>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</si>
  <si>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</si>
  <si>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</si>
  <si>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</si>
  <si>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</si>
  <si>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</si>
  <si>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</si>
  <si>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</si>
  <si>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</si>
  <si>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</si>
  <si>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</si>
  <si>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</si>
  <si>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</si>
  <si>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</si>
  <si>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</si>
  <si>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</si>
  <si>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</si>
  <si>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</si>
  <si>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</si>
  <si>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</si>
  <si>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</si>
  <si>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</si>
  <si>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</si>
  <si>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</si>
  <si>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</si>
  <si>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</si>
  <si>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</si>
  <si>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</si>
  <si>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</si>
  <si>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</si>
  <si>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</si>
  <si>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</si>
  <si>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</si>
  <si>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</si>
  <si>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</si>
  <si>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</si>
  <si>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</si>
  <si>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</si>
  <si>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</si>
  <si>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</si>
  <si>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</si>
  <si>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</si>
  <si>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</si>
  <si>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</si>
  <si>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</si>
  <si>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</si>
  <si>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</si>
  <si>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</si>
  <si>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</si>
  <si>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</si>
  <si>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</si>
  <si>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</si>
  <si>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</si>
  <si>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</si>
  <si>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</si>
  <si>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</si>
  <si>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</si>
  <si>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</si>
  <si>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</si>
  <si>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</si>
  <si>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</si>
  <si>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</si>
  <si>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</si>
  <si>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</si>
  <si>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</si>
  <si>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</si>
  <si>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</si>
  <si>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</si>
  <si>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</si>
  <si>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</si>
  <si>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</si>
  <si>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</si>
  <si>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</si>
  <si>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</si>
  <si>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</si>
  <si>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</si>
  <si>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</si>
  <si>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</si>
  <si>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</si>
  <si>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</si>
  <si>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</si>
  <si>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</si>
  <si>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</si>
  <si>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</si>
  <si>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</si>
  <si>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</si>
  <si>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</si>
  <si>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</si>
  <si>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</si>
  <si>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</si>
  <si>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</si>
  <si>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</si>
  <si>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</si>
  <si>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</si>
  <si>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</si>
  <si>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</si>
  <si>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</si>
  <si>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</si>
  <si>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</si>
  <si>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</si>
  <si>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</si>
  <si>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</si>
  <si>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</si>
  <si>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</si>
  <si>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</si>
  <si>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</si>
  <si>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</si>
  <si>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</si>
  <si>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</si>
  <si>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</si>
  <si>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</si>
  <si>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</si>
  <si>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</si>
  <si>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</si>
  <si>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</si>
  <si>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</si>
  <si>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</si>
  <si>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</si>
  <si>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</si>
  <si>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</si>
  <si>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</si>
  <si>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</si>
  <si>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</si>
  <si>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</si>
  <si>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</si>
  <si>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</si>
  <si>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</si>
  <si>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</si>
  <si>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</si>
  <si>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</si>
  <si>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</si>
  <si>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</si>
  <si>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</si>
  <si>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</si>
  <si>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</si>
  <si>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</si>
  <si>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</si>
  <si>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</si>
  <si>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</si>
  <si>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</si>
  <si>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</si>
  <si>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</si>
  <si>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</si>
  <si>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</si>
  <si>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</si>
  <si>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</si>
  <si>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</si>
  <si>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</si>
  <si>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</si>
  <si>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</si>
  <si>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</si>
  <si>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</si>
  <si>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</si>
  <si>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</si>
  <si>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</si>
  <si>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</si>
  <si>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</si>
  <si>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</si>
  <si>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</si>
  <si>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</si>
  <si>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</si>
  <si>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</si>
  <si>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</si>
  <si>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</si>
  <si>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</si>
  <si>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</si>
  <si>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</si>
  <si>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</si>
  <si>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</si>
  <si>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</si>
  <si>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</si>
  <si>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</si>
  <si>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</si>
  <si>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</si>
  <si>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</si>
  <si>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</si>
  <si>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</si>
  <si>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</si>
  <si>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</si>
  <si>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</si>
  <si>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</si>
  <si>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</si>
  <si>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</si>
  <si>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</si>
  <si>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</si>
  <si>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</si>
  <si>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</si>
  <si>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</si>
  <si>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</si>
  <si>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</si>
  <si>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</si>
  <si>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</si>
  <si>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</si>
  <si>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</si>
  <si>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</si>
  <si>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</si>
  <si>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</si>
  <si>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</si>
  <si>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</si>
  <si>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</si>
  <si>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</si>
  <si>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</si>
  <si>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</si>
  <si>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</si>
  <si>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</si>
  <si>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</si>
  <si>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</si>
  <si>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</si>
  <si>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</si>
  <si>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</si>
  <si>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</si>
  <si>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</si>
  <si>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</si>
  <si>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</si>
  <si>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</si>
  <si>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</si>
  <si>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</si>
  <si>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</si>
  <si>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</si>
  <si>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</si>
  <si>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</si>
  <si>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</si>
  <si>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</si>
  <si>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</si>
  <si>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</si>
  <si>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</si>
  <si>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</si>
  <si>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</si>
  <si>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</si>
  <si>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</si>
  <si>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</si>
  <si>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</si>
  <si>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</si>
  <si>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</si>
  <si>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</si>
  <si>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</si>
  <si>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</si>
  <si>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</si>
  <si>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</si>
  <si>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</si>
  <si>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</si>
  <si>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</si>
  <si>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</si>
  <si>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</si>
  <si>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</si>
  <si>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</si>
  <si>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</si>
  <si>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</si>
  <si>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</si>
  <si>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</si>
  <si>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</si>
  <si>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</si>
  <si>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</si>
  <si>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</si>
  <si>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</si>
  <si>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</si>
  <si>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</si>
  <si>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</si>
  <si>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</si>
  <si>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</si>
  <si>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</si>
  <si>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</si>
  <si>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</si>
  <si>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</si>
  <si>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</si>
  <si>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</si>
  <si>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</si>
  <si>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</si>
  <si>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</si>
  <si>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</si>
  <si>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</si>
  <si>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</si>
  <si>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</si>
  <si>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</si>
  <si>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</si>
  <si>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</si>
  <si>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</si>
  <si>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</si>
  <si>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</si>
  <si>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</si>
  <si>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</si>
  <si>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</si>
  <si>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</si>
  <si>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</si>
  <si>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</si>
  <si>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</si>
  <si>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</si>
  <si>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</si>
  <si>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</si>
  <si>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</si>
  <si>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</si>
  <si>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</si>
  <si>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</si>
  <si>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</si>
  <si>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</si>
  <si>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</si>
  <si>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</si>
  <si>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</si>
  <si>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</si>
  <si>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</si>
  <si>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</si>
  <si>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</si>
  <si>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</si>
  <si>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</si>
  <si>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</si>
  <si>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</si>
  <si>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</si>
  <si>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</si>
  <si>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</si>
  <si>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</si>
  <si>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</si>
  <si>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</si>
  <si>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</si>
  <si>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</si>
  <si>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</si>
  <si>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</si>
  <si>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</si>
  <si>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</si>
  <si>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</si>
  <si>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</si>
  <si>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</si>
  <si>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</si>
  <si>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</si>
  <si>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</si>
  <si>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</si>
  <si>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</si>
  <si>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</si>
  <si>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</si>
  <si>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</si>
  <si>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</si>
  <si>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</si>
  <si>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</si>
  <si>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</si>
  <si>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</si>
  <si>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</si>
  <si>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</si>
  <si>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</si>
  <si>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</si>
  <si>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</si>
  <si>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</si>
  <si>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</si>
  <si>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</si>
  <si>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</si>
  <si>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</si>
  <si>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</si>
  <si>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</si>
  <si>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</si>
  <si>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</si>
  <si>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</si>
  <si>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</si>
  <si>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</si>
  <si>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</si>
  <si>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</si>
  <si>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</si>
  <si>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</si>
  <si>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</si>
  <si>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</si>
  <si>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</si>
  <si>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</si>
  <si>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</si>
  <si>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</si>
  <si>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</si>
  <si>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</si>
  <si>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</si>
  <si>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</si>
  <si>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</si>
  <si>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</si>
  <si>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</si>
  <si>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</si>
  <si>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</si>
  <si>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</si>
  <si>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</si>
  <si>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</si>
  <si>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</si>
  <si>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</si>
  <si>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</si>
  <si>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</si>
  <si>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</si>
  <si>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</si>
  <si>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</si>
  <si>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</si>
  <si>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</si>
  <si>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</si>
  <si>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</si>
  <si>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</si>
  <si>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</si>
  <si>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</si>
  <si>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</si>
  <si>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</si>
  <si>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</si>
  <si>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</si>
  <si>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</si>
  <si>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</si>
  <si>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</si>
  <si>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</si>
  <si>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</si>
  <si>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</si>
  <si>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</si>
  <si>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</si>
  <si>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</si>
  <si>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</si>
  <si>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</si>
  <si>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</si>
  <si>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</si>
  <si>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</si>
  <si>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</si>
  <si>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</si>
  <si>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</si>
  <si>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</si>
  <si>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</si>
  <si>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</si>
  <si>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</si>
  <si>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</si>
  <si>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</si>
  <si>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</si>
  <si>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</si>
  <si>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</si>
  <si>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</si>
  <si>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</si>
  <si>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</si>
  <si>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</si>
  <si>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</si>
  <si>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</si>
  <si>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</si>
  <si>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</si>
  <si>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</si>
  <si>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</si>
  <si>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</si>
  <si>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</si>
  <si>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</si>
  <si>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</si>
  <si>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</si>
  <si>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</si>
  <si>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</si>
  <si>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</si>
  <si>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</si>
  <si>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</si>
  <si>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</si>
  <si>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</si>
  <si>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</si>
  <si>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</si>
  <si>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</si>
  <si>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</si>
  <si>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</si>
  <si>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</si>
  <si>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</si>
  <si>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</si>
  <si>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</si>
  <si>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</si>
  <si>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</si>
  <si>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</si>
  <si>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</si>
  <si>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</si>
  <si>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</si>
  <si>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</si>
  <si>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</si>
  <si>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</si>
  <si>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</si>
  <si>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</si>
  <si>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</si>
  <si>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</si>
  <si>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</si>
  <si>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</si>
  <si>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</si>
  <si>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</si>
  <si>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</si>
  <si>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</si>
  <si>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</si>
  <si>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</si>
  <si>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</si>
  <si>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</si>
  <si>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</si>
  <si>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</si>
  <si>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</si>
  <si>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</si>
  <si>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</si>
  <si>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</si>
  <si>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</si>
  <si>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</si>
  <si>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</si>
  <si>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</si>
  <si>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</si>
  <si>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</si>
  <si>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</si>
  <si>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</si>
  <si>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</si>
  <si>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</si>
  <si>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</si>
  <si>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</si>
  <si>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</si>
  <si>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</si>
  <si>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</si>
  <si>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</si>
  <si>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</si>
  <si>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</si>
  <si>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</si>
  <si>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</si>
  <si>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</si>
  <si>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</si>
  <si>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</si>
  <si>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</si>
  <si>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</si>
  <si>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</si>
  <si>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</si>
  <si>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</si>
  <si>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</si>
  <si>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</si>
  <si>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</si>
  <si>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</si>
  <si>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</si>
  <si>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</si>
  <si>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</si>
  <si>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</si>
  <si>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</si>
  <si>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</si>
  <si>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</si>
  <si>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</si>
  <si>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</si>
  <si>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</si>
  <si>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</si>
  <si>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</si>
  <si>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</si>
  <si>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</si>
  <si>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</si>
  <si>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</si>
  <si>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</si>
  <si>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</si>
  <si>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</si>
  <si>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</si>
  <si>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</si>
  <si>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</si>
  <si>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</si>
  <si>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</si>
  <si>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</si>
  <si>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</si>
  <si>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</si>
  <si>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</si>
  <si>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</si>
  <si>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</si>
  <si>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</si>
  <si>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</si>
  <si>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</si>
  <si>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</si>
  <si>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</si>
  <si>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</si>
  <si>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</si>
  <si>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</si>
  <si>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</si>
  <si>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</si>
  <si>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</si>
  <si>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</si>
  <si>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</si>
  <si>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</si>
  <si>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</si>
  <si>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</si>
  <si>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</si>
  <si>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</si>
  <si>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</si>
  <si>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</si>
  <si>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</si>
  <si>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</si>
  <si>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</si>
  <si>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</si>
  <si>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</si>
  <si>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</si>
  <si>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</si>
  <si>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</si>
  <si>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</si>
  <si>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</si>
  <si>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</si>
  <si>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</si>
  <si>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</si>
  <si>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</si>
  <si>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</si>
  <si>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</si>
  <si>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</si>
  <si>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</si>
  <si>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</si>
  <si>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</si>
  <si>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</si>
  <si>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</si>
  <si>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</si>
  <si>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</si>
  <si>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</si>
  <si>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</si>
  <si>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</si>
  <si>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</si>
  <si>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</si>
  <si>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</si>
  <si>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</si>
  <si>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</si>
  <si>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</si>
  <si>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</si>
  <si>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</si>
  <si>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</si>
  <si>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</si>
  <si>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</si>
  <si>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</si>
  <si>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</si>
  <si>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</si>
  <si>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</si>
  <si>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</si>
  <si>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</si>
  <si>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</si>
  <si>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</si>
  <si>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</si>
  <si>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</si>
  <si>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</si>
  <si>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</si>
  <si>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</si>
  <si>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</si>
  <si>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</si>
  <si>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</si>
  <si>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</si>
  <si>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</si>
  <si>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</si>
  <si>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</si>
  <si>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</si>
  <si>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</si>
  <si>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</si>
  <si>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</si>
  <si>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</si>
  <si>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</si>
  <si>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</si>
  <si>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</si>
  <si>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</si>
  <si>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</si>
  <si>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</si>
  <si>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</si>
  <si>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</si>
  <si>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</si>
  <si>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</si>
  <si>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</si>
  <si>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</si>
  <si>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</si>
  <si>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</si>
  <si>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</si>
  <si>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</si>
  <si>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</si>
  <si>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</si>
  <si>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</si>
  <si>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</si>
  <si>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</si>
  <si>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</si>
  <si>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</si>
  <si>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</si>
  <si>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</si>
  <si>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</si>
  <si>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</si>
  <si>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</si>
  <si>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</si>
  <si>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</si>
  <si>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</si>
  <si>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</si>
  <si>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</si>
  <si>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</si>
  <si>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</si>
  <si>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</si>
  <si>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</si>
  <si>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</si>
  <si>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</si>
  <si>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</si>
  <si>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</si>
  <si>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</si>
  <si>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</si>
  <si>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</si>
  <si>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</si>
  <si>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</si>
  <si>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</si>
  <si>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</si>
  <si>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</si>
  <si>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</si>
  <si>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</si>
  <si>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</si>
  <si>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</si>
  <si>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</si>
  <si>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</si>
  <si>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</si>
  <si>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</si>
  <si>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</si>
  <si>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</si>
  <si>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</si>
  <si>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</si>
  <si>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</si>
  <si>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</si>
  <si>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</si>
  <si>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</si>
  <si>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</si>
  <si>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</si>
  <si>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</si>
  <si>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</si>
  <si>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</si>
  <si>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</si>
  <si>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</si>
  <si>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</si>
  <si>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</si>
  <si>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</si>
  <si>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</si>
  <si>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</si>
  <si>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</si>
  <si>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</si>
  <si>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</si>
  <si>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</si>
  <si>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</si>
  <si>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</si>
  <si>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</si>
  <si>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</si>
  <si>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</si>
  <si>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</si>
  <si>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</si>
  <si>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</si>
  <si>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</si>
  <si>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</si>
  <si>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</si>
  <si>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</si>
  <si>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</si>
  <si>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</si>
  <si>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</si>
  <si>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</si>
  <si>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</si>
  <si>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</si>
  <si>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</si>
  <si>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</si>
  <si>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</si>
  <si>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</si>
  <si>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</si>
  <si>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</si>
  <si>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</si>
  <si>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</si>
  <si>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</si>
  <si>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</si>
  <si>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</si>
  <si>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</si>
  <si>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</si>
  <si>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</si>
  <si>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</si>
  <si>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</si>
  <si>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</si>
  <si>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</si>
  <si>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</si>
  <si>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</si>
  <si>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</si>
  <si>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</si>
  <si>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</si>
  <si>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</si>
  <si>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</si>
  <si>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</si>
  <si>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</si>
  <si>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</si>
  <si>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</si>
  <si>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</si>
  <si>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</si>
  <si>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</si>
  <si>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</si>
  <si>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</si>
  <si>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</si>
  <si>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</si>
  <si>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</si>
  <si>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</si>
  <si>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</si>
  <si>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</si>
  <si>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</si>
  <si>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</si>
  <si>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</si>
  <si>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</si>
  <si>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</si>
  <si>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</si>
  <si>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</si>
  <si>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</si>
  <si>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</si>
  <si>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</si>
  <si>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</si>
  <si>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</si>
  <si>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</si>
  <si>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</si>
  <si>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</si>
  <si>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</si>
  <si>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</si>
  <si>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</si>
  <si>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</si>
  <si>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</si>
  <si>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</si>
  <si>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</si>
  <si>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</si>
  <si>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</si>
  <si>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</si>
  <si>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</si>
  <si>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</si>
  <si>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</si>
  <si>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</si>
  <si>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</si>
  <si>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</si>
  <si>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</si>
  <si>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</si>
  <si>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</si>
  <si>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</si>
  <si>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</si>
  <si>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</si>
  <si>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</si>
  <si>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</si>
  <si>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</si>
  <si>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</si>
  <si>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</si>
  <si>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</si>
  <si>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</si>
  <si>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</si>
  <si>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</si>
  <si>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</si>
  <si>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</si>
  <si>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</si>
  <si>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</si>
  <si>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</si>
  <si>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</si>
  <si>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</si>
  <si>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</si>
  <si>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</si>
  <si>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</si>
  <si>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</si>
  <si>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</si>
  <si>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</si>
  <si>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</si>
  <si>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</si>
  <si>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</si>
  <si>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</si>
  <si>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</si>
  <si>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</si>
  <si>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</si>
  <si>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</si>
  <si>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</si>
  <si>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</si>
  <si>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</si>
  <si>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</si>
  <si>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</si>
  <si>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</si>
  <si>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</si>
  <si>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</si>
  <si>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</si>
  <si>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</si>
  <si>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</si>
  <si>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</si>
  <si>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</si>
  <si>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</si>
  <si>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</si>
  <si>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</si>
  <si>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</si>
  <si>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</si>
  <si>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</si>
  <si>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</si>
  <si>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</si>
  <si>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</si>
  <si>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</si>
  <si>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</si>
  <si>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</si>
  <si>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</si>
  <si>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</si>
  <si>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</si>
  <si>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</si>
  <si>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</si>
  <si>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</si>
  <si>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</si>
  <si>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</si>
  <si>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</si>
  <si>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</si>
  <si>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</si>
  <si>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</si>
  <si>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</si>
  <si>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</si>
  <si>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</si>
  <si>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</si>
  <si>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</si>
  <si>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</si>
  <si>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</si>
  <si>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</si>
  <si>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</si>
  <si>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</si>
  <si>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</si>
  <si>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</si>
  <si>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</si>
  <si>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</si>
  <si>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</si>
  <si>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</si>
  <si>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</si>
  <si>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</si>
  <si>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</si>
  <si>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</si>
  <si>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</si>
  <si>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</si>
  <si>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</si>
  <si>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</si>
  <si>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</si>
  <si>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</si>
  <si>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</si>
  <si>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</si>
  <si>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</si>
  <si>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</si>
  <si>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</si>
  <si>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</si>
  <si>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</si>
  <si>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</si>
  <si>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</si>
  <si>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</si>
  <si>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</si>
  <si>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</si>
  <si>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</si>
  <si>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</si>
  <si>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</si>
  <si>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</si>
  <si>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</si>
  <si>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</si>
  <si>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</si>
  <si>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</si>
  <si>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</si>
  <si>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</si>
  <si>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</si>
  <si>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</si>
  <si>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</si>
  <si>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</si>
  <si>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</si>
  <si>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</si>
  <si>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</si>
  <si>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</si>
  <si>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</si>
  <si>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</si>
  <si>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</si>
  <si>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</si>
  <si>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</si>
  <si>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</si>
  <si>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</si>
  <si>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</si>
  <si>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</si>
  <si>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</si>
  <si>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</si>
  <si>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</si>
  <si>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</si>
  <si>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</si>
  <si>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</si>
  <si>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</si>
  <si>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</si>
  <si>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</si>
  <si>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</si>
  <si>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</si>
  <si>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</si>
  <si>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</si>
  <si>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</si>
  <si>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</si>
  <si>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</si>
  <si>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</si>
  <si>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</si>
  <si>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</si>
  <si>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</si>
  <si>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</si>
  <si>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</si>
  <si>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</si>
  <si>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</si>
  <si>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</si>
  <si>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</si>
  <si>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</si>
  <si>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</si>
  <si>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</si>
  <si>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</si>
  <si>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</si>
  <si>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</si>
  <si>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</si>
  <si>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</si>
  <si>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</si>
  <si>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</si>
  <si>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</si>
  <si>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</si>
  <si>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</si>
  <si>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</si>
  <si>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</si>
  <si>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</si>
  <si>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</si>
  <si>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</si>
  <si>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</si>
  <si>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</si>
  <si>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</si>
  <si>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</si>
  <si>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</si>
  <si>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</si>
  <si>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</si>
  <si>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</si>
  <si>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</si>
  <si>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</si>
  <si>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</si>
  <si>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</si>
  <si>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</si>
  <si>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</si>
  <si>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</si>
  <si>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</si>
  <si>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</si>
  <si>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</si>
  <si>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</si>
  <si>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</si>
  <si>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</si>
  <si>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</si>
  <si>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</si>
  <si>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</si>
  <si>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</si>
  <si>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</si>
  <si>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</si>
  <si>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</si>
  <si>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</si>
  <si>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</si>
  <si>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</si>
  <si>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</si>
  <si>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</si>
  <si>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</si>
  <si>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</si>
  <si>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</si>
  <si>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</si>
  <si>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</si>
  <si>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</si>
  <si>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</si>
  <si>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</si>
  <si>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</si>
  <si>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</si>
  <si>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</si>
  <si>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</si>
  <si>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</si>
  <si>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</si>
  <si>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</si>
  <si>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</si>
  <si>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</si>
  <si>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</si>
  <si>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</si>
  <si>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</si>
  <si>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</si>
  <si>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</si>
  <si>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</si>
  <si>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</si>
  <si>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</si>
  <si>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</si>
  <si>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</si>
  <si>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</si>
  <si>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</si>
  <si>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</si>
  <si>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</si>
  <si>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</si>
  <si>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</si>
  <si>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</si>
  <si>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</si>
  <si>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</si>
  <si>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</si>
  <si>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</si>
  <si>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</si>
  <si>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</si>
  <si>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</si>
  <si>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</si>
  <si>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</si>
  <si>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</si>
  <si>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</si>
  <si>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</si>
  <si>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</si>
  <si>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</si>
  <si>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</si>
  <si>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</si>
  <si>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</si>
  <si>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</si>
  <si>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</si>
  <si>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</si>
  <si>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</si>
  <si>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</si>
  <si>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</si>
  <si>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</si>
  <si>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</si>
  <si>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</si>
  <si>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</si>
  <si>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</si>
  <si>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</si>
  <si>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</si>
  <si>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</si>
  <si>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</si>
  <si>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</si>
  <si>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</si>
  <si>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</si>
  <si>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</si>
  <si>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</si>
  <si>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</si>
  <si>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</si>
  <si>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</si>
  <si>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</si>
  <si>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</si>
  <si>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</si>
  <si>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</si>
  <si>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</si>
  <si>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</si>
  <si>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</si>
  <si>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</si>
  <si>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</si>
  <si>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</si>
  <si>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</si>
  <si>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</si>
  <si>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</si>
  <si>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</si>
  <si>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</si>
  <si>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</si>
  <si>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</si>
  <si>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</si>
  <si>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</si>
  <si>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</si>
  <si>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</si>
  <si>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</si>
  <si>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</si>
  <si>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</si>
  <si>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</si>
  <si>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</si>
  <si>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</si>
  <si>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</si>
  <si>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</si>
  <si>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</si>
  <si>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</si>
  <si>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</si>
  <si>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</si>
  <si>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</si>
  <si>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</si>
  <si>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</si>
  <si>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</si>
  <si>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</si>
  <si>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</si>
  <si>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</si>
  <si>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</si>
  <si>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</si>
  <si>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</si>
  <si>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</si>
  <si>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</si>
  <si>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</si>
  <si>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</si>
  <si>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</si>
  <si>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</si>
  <si>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</si>
  <si>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</si>
  <si>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</si>
  <si>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</si>
  <si>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</si>
  <si>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</si>
  <si>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</si>
  <si>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</si>
  <si>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</si>
  <si>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</si>
  <si>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</si>
  <si>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</si>
  <si>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</si>
  <si>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</si>
  <si>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</si>
  <si>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</si>
  <si>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</si>
  <si>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</si>
  <si>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</si>
  <si>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</si>
  <si>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</si>
  <si>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</si>
  <si>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</si>
  <si>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</si>
  <si>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</si>
  <si>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</si>
  <si>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</si>
  <si>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</si>
  <si>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</si>
  <si>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</si>
  <si>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</si>
  <si>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</si>
  <si>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</si>
  <si>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</si>
  <si>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</si>
  <si>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</si>
  <si>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</si>
  <si>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</si>
  <si>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</si>
  <si>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</si>
  <si>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</si>
  <si>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</si>
  <si>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</si>
  <si>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</si>
  <si>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</si>
  <si>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</si>
  <si>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</si>
  <si>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</si>
  <si>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</si>
  <si>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</si>
  <si>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</si>
  <si>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</si>
  <si>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</si>
  <si>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</si>
  <si>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</si>
  <si>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</si>
  <si>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</si>
  <si>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</si>
  <si>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</si>
  <si>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</si>
  <si>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</si>
  <si>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</si>
  <si>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</si>
  <si>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</si>
  <si>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</si>
  <si>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</si>
  <si>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</si>
  <si>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</si>
  <si>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</si>
  <si>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</si>
  <si>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</si>
  <si>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</si>
  <si>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</si>
  <si>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</si>
  <si>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</si>
  <si>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</si>
  <si>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</si>
  <si>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</si>
  <si>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</si>
  <si>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</si>
  <si>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</si>
  <si>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</si>
  <si>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</si>
  <si>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</si>
  <si>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</si>
  <si>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</si>
  <si>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</si>
  <si>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</si>
  <si>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</si>
  <si>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</si>
  <si>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</si>
  <si>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</si>
  <si>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</si>
  <si>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</si>
  <si>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</si>
  <si>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</si>
  <si>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</si>
  <si>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</si>
  <si>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</si>
  <si>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</si>
  <si>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</si>
  <si>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</si>
  <si>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</si>
  <si>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</si>
  <si>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</si>
  <si>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</si>
  <si>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</si>
  <si>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</si>
  <si>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</si>
  <si>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</si>
  <si>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</si>
  <si>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</si>
  <si>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</si>
  <si>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</si>
  <si>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</si>
  <si>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</si>
  <si>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</si>
  <si>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</si>
  <si>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</si>
  <si>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</si>
  <si>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</si>
  <si>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</si>
  <si>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</si>
  <si>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</si>
  <si>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</si>
  <si>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</si>
  <si>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</si>
  <si>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</si>
  <si>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</si>
  <si>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</si>
  <si>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</si>
  <si>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</si>
  <si>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</si>
  <si>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</si>
  <si>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</si>
  <si>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</si>
  <si>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</si>
  <si>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</si>
  <si>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</si>
  <si>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</si>
  <si>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</si>
  <si>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</si>
  <si>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</si>
  <si>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</si>
  <si>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</si>
  <si>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</si>
  <si>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</si>
  <si>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</si>
  <si>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</si>
  <si>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</si>
  <si>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</si>
  <si>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</si>
  <si>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</si>
  <si>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</si>
  <si>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</si>
  <si>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</si>
  <si>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</si>
  <si>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</si>
  <si>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</si>
  <si>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</si>
  <si>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</si>
  <si>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</si>
  <si>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</si>
  <si>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</si>
  <si>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</si>
  <si>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</si>
  <si>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</si>
  <si>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</si>
  <si>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</si>
  <si>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</si>
  <si>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</si>
  <si>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</si>
  <si>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</si>
  <si>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</si>
  <si>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</si>
  <si>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</si>
  <si>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</si>
  <si>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</si>
  <si>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</si>
  <si>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</si>
  <si>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</si>
  <si>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</si>
  <si>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</si>
  <si>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</si>
  <si>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</si>
  <si>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</si>
  <si>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</si>
  <si>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</si>
  <si>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</si>
  <si>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</si>
  <si>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</si>
  <si>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</si>
  <si>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</si>
  <si>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</si>
  <si>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</si>
  <si>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</si>
  <si>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</si>
  <si>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</si>
  <si>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</si>
  <si>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</si>
  <si>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</si>
  <si>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</si>
  <si>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</si>
  <si>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</si>
  <si>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</si>
  <si>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</si>
  <si>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</si>
  <si>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</si>
  <si>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</si>
  <si>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</si>
  <si>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</si>
  <si>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</si>
  <si>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</si>
  <si>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</si>
  <si>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</si>
  <si>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</si>
  <si>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</si>
  <si>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</si>
  <si>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</si>
  <si>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</si>
  <si>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</si>
  <si>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</si>
  <si>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</si>
  <si>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</si>
  <si>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</si>
  <si>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</si>
  <si>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</si>
  <si>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</si>
  <si>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</si>
  <si>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</si>
  <si>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</si>
  <si>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</si>
  <si>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</si>
  <si>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</si>
  <si>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</si>
  <si>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</si>
  <si>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</si>
  <si>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</si>
  <si>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</si>
  <si>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</si>
  <si>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</si>
  <si>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</si>
  <si>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</si>
  <si>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</si>
  <si>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</si>
  <si>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</si>
  <si>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</si>
  <si>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</si>
  <si>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</si>
  <si>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</si>
  <si>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</si>
  <si>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</si>
  <si>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</si>
  <si>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</si>
  <si>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</si>
  <si>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</si>
  <si>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</si>
  <si>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</si>
  <si>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</si>
  <si>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</si>
  <si>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</si>
  <si>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</si>
  <si>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</si>
  <si>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</si>
  <si>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</si>
  <si>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</si>
  <si>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</si>
  <si>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</si>
  <si>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</si>
  <si>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</si>
  <si>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</si>
  <si>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</si>
  <si>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</si>
  <si>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</si>
  <si>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</si>
  <si>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</si>
  <si>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</si>
  <si>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</si>
  <si>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</si>
  <si>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</si>
  <si>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</si>
  <si>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</si>
  <si>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</si>
  <si>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</si>
  <si>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</si>
  <si>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</si>
  <si>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</si>
  <si>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</si>
  <si>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</si>
  <si>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</si>
  <si>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</si>
  <si>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</si>
  <si>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</si>
  <si>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</si>
  <si>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</si>
  <si>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</si>
  <si>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</si>
  <si>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</si>
  <si>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</si>
  <si>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</si>
  <si>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</si>
  <si>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</si>
  <si>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</si>
  <si>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</si>
  <si>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</si>
  <si>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</si>
  <si>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</si>
  <si>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</si>
  <si>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</si>
  <si>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</si>
  <si>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</si>
  <si>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</si>
  <si>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</si>
  <si>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</si>
  <si>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</si>
  <si>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</si>
  <si>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</si>
  <si>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</si>
  <si>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</si>
  <si>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</si>
  <si>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</si>
  <si>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</si>
  <si>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</si>
  <si>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</si>
  <si>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</si>
  <si>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</si>
  <si>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</si>
  <si>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</si>
  <si>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</si>
  <si>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</si>
  <si>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</si>
  <si>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</si>
  <si>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</si>
  <si>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</si>
  <si>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</si>
  <si>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</si>
  <si>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</si>
  <si>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</si>
  <si>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</si>
  <si>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</si>
  <si>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</si>
  <si>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</si>
  <si>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</si>
  <si>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</si>
  <si>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</si>
  <si>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</si>
  <si>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</si>
  <si>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</si>
  <si>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</si>
  <si>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</si>
  <si>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</si>
  <si>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</si>
  <si>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</si>
  <si>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</si>
  <si>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</si>
  <si>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</si>
  <si>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</si>
  <si>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</si>
  <si>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</si>
  <si>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</si>
  <si>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</si>
  <si>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</si>
  <si>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</si>
  <si>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</si>
  <si>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</si>
  <si>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</si>
  <si>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</si>
  <si>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</si>
  <si>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</si>
  <si>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</si>
  <si>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</si>
  <si>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</si>
  <si>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</si>
  <si>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</si>
  <si>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</si>
  <si>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</si>
  <si>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</si>
  <si>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</si>
  <si>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</si>
  <si>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</si>
  <si>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</si>
  <si>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</si>
  <si>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</si>
  <si>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</si>
  <si>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</si>
  <si>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</si>
  <si>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</si>
  <si>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</si>
  <si>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</si>
  <si>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</si>
  <si>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</si>
  <si>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</si>
  <si>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</si>
  <si>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</si>
  <si>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</si>
  <si>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</si>
  <si>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</si>
  <si>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</si>
  <si>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</si>
  <si>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</si>
  <si>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</si>
  <si>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</si>
  <si>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</si>
  <si>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</si>
  <si>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</si>
  <si>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</si>
  <si>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</si>
  <si>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</si>
  <si>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</si>
  <si>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</si>
  <si>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</si>
  <si>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</si>
  <si>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</si>
  <si>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</si>
  <si>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</si>
  <si>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</si>
  <si>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</si>
  <si>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</si>
  <si>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</si>
  <si>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</si>
  <si>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</si>
  <si>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</si>
  <si>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</si>
  <si>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</si>
  <si>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</si>
  <si>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</si>
  <si>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</si>
  <si>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</si>
  <si>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</si>
  <si>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</si>
  <si>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</si>
  <si>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</si>
  <si>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</si>
  <si>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</si>
  <si>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</si>
  <si>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</si>
  <si>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</si>
  <si>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</si>
  <si>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</si>
  <si>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</si>
  <si>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</si>
  <si>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</si>
  <si>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</si>
  <si>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</si>
  <si>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</si>
  <si>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</si>
  <si>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</si>
  <si>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</si>
  <si>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</si>
  <si>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</si>
  <si>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</si>
  <si>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</si>
  <si>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</si>
  <si>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</si>
  <si>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</si>
  <si>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</si>
  <si>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</si>
  <si>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</si>
  <si>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</si>
  <si>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</si>
  <si>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</si>
  <si>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</si>
  <si>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</si>
  <si>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</si>
  <si>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</si>
  <si>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</si>
  <si>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</si>
  <si>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</si>
  <si>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</si>
  <si>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</si>
  <si>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</si>
  <si>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</si>
  <si>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</si>
  <si>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</si>
  <si>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</si>
  <si>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</si>
  <si>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</si>
  <si>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</si>
  <si>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</si>
  <si>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</si>
  <si>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</si>
  <si>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</si>
  <si>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</si>
  <si>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</si>
  <si>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</si>
  <si>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</si>
  <si>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</si>
  <si>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</si>
  <si>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</si>
  <si>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</si>
  <si>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</si>
  <si>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</si>
  <si>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</si>
  <si>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</si>
  <si>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</si>
  <si>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</si>
  <si>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</si>
  <si>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</si>
  <si>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</si>
  <si>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</si>
  <si>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</si>
  <si>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</si>
  <si>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</si>
  <si>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</si>
  <si>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</si>
  <si>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</si>
  <si>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</si>
  <si>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</si>
  <si>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</si>
  <si>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</si>
  <si>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</si>
  <si>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</si>
  <si>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</si>
  <si>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</si>
  <si>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</si>
  <si>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</si>
  <si>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</si>
  <si>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</si>
  <si>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</si>
  <si>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</si>
  <si>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</si>
  <si>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</si>
  <si>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</si>
  <si>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</si>
  <si>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</si>
  <si>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</si>
  <si>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</si>
  <si>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</si>
  <si>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</si>
  <si>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</si>
  <si>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</si>
  <si>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</si>
  <si>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</si>
  <si>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</si>
  <si>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</si>
  <si>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</si>
  <si>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</si>
  <si>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</si>
  <si>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</si>
  <si>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</si>
  <si>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</si>
  <si>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</si>
  <si>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</si>
  <si>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</si>
  <si>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</si>
  <si>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</si>
  <si>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</si>
  <si>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</si>
  <si>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</si>
  <si>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</si>
  <si>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</si>
  <si>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</si>
  <si>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</si>
  <si>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</si>
  <si>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</si>
  <si>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</si>
  <si>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</si>
  <si>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</si>
  <si>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</si>
  <si>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</si>
  <si>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</si>
  <si>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</si>
  <si>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</si>
  <si>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</si>
  <si>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</si>
  <si>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</si>
  <si>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</si>
  <si>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</si>
  <si>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</si>
  <si>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</si>
  <si>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</si>
  <si>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</si>
  <si>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</si>
  <si>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</si>
  <si>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</si>
  <si>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</si>
  <si>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</si>
  <si>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</si>
  <si>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</si>
  <si>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</si>
  <si>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</si>
  <si>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</si>
  <si>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</si>
  <si>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</si>
  <si>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</si>
  <si>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</si>
  <si>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</si>
  <si>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</si>
  <si>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</si>
  <si>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</si>
  <si>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</si>
  <si>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</si>
  <si>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</si>
  <si>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</si>
  <si>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</si>
  <si>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</si>
  <si>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</si>
  <si>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</si>
  <si>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</si>
  <si>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</si>
  <si>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</si>
  <si>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</si>
  <si>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</si>
  <si>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</si>
  <si>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</si>
  <si>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</si>
  <si>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</si>
  <si>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</si>
  <si>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</si>
  <si>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</si>
  <si>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</si>
  <si>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</si>
  <si>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</si>
  <si>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</si>
  <si>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</si>
  <si>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</si>
  <si>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</si>
  <si>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</si>
  <si>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</si>
  <si>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</si>
  <si>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</si>
  <si>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</si>
  <si>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</si>
  <si>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</si>
  <si>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</si>
  <si>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</si>
  <si>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</si>
  <si>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</si>
  <si>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</si>
  <si>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</si>
  <si>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</si>
  <si>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</si>
  <si>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</si>
  <si>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</si>
  <si>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</si>
  <si>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</si>
  <si>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</si>
  <si>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</si>
  <si>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</si>
  <si>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</si>
  <si>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</si>
  <si>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</si>
  <si>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</si>
  <si>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</si>
  <si>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</si>
  <si>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</si>
  <si>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</si>
  <si>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</si>
  <si>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</si>
  <si>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</si>
  <si>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</si>
  <si>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</si>
  <si>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</si>
  <si>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</si>
  <si>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</si>
  <si>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</si>
  <si>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</si>
  <si>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</si>
  <si>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</si>
  <si>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</si>
  <si>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</si>
  <si>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</si>
  <si>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</si>
  <si>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</si>
  <si>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</si>
  <si>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</si>
  <si>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</si>
  <si>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</si>
  <si>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</si>
  <si>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</si>
  <si>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</si>
  <si>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</si>
  <si>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</si>
  <si>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</si>
  <si>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</si>
  <si>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</si>
  <si>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</si>
  <si>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</si>
  <si>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</si>
  <si>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</si>
  <si>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</si>
  <si>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</si>
  <si>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</si>
  <si>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</si>
  <si>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</si>
  <si>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</si>
  <si>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</si>
  <si>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</si>
  <si>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</si>
  <si>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</si>
  <si>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</si>
  <si>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</si>
  <si>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</si>
  <si>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</si>
  <si>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</si>
  <si>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</si>
  <si>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</si>
  <si>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</si>
  <si>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</si>
  <si>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</si>
  <si>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</si>
  <si>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</si>
  <si>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</si>
  <si>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</si>
  <si>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</si>
  <si>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</si>
  <si>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</si>
  <si>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</si>
  <si>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</si>
  <si>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</si>
  <si>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</si>
  <si>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</si>
  <si>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</si>
  <si>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</si>
  <si>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</si>
  <si>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</si>
  <si>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</si>
  <si>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</si>
  <si>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</si>
  <si>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</si>
  <si>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</si>
  <si>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</si>
  <si>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</si>
  <si>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</si>
  <si>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</si>
  <si>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</si>
  <si>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</si>
  <si>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</si>
  <si>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</si>
  <si>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</si>
  <si>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</si>
  <si>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</si>
  <si>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</si>
  <si>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</si>
  <si>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</si>
  <si>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</si>
  <si>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</si>
  <si>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</si>
  <si>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</si>
  <si>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</si>
  <si>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</si>
  <si>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</si>
  <si>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</si>
  <si>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</si>
  <si>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</si>
  <si>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</si>
  <si>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</si>
  <si>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</si>
  <si>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</si>
  <si>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</si>
  <si>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</si>
  <si>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</si>
  <si>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</si>
  <si>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</si>
  <si>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</si>
  <si>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</si>
  <si>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</si>
  <si>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</si>
  <si>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</si>
  <si>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</si>
  <si>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</si>
  <si>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</si>
  <si>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</si>
  <si>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</si>
  <si>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</si>
  <si>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</si>
  <si>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</si>
  <si>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</si>
  <si>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</si>
  <si>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</si>
  <si>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</si>
  <si>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</si>
  <si>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</si>
  <si>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</si>
  <si>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</si>
  <si>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</si>
  <si>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</si>
  <si>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</si>
  <si>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</si>
  <si>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</si>
  <si>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</si>
  <si>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</si>
  <si>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</si>
  <si>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</si>
  <si>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</si>
  <si>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</si>
  <si>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</si>
  <si>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</si>
  <si>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</si>
  <si>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</si>
  <si>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</si>
  <si>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</si>
  <si>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</si>
  <si>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</si>
  <si>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</si>
  <si>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</si>
  <si>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</si>
  <si>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</si>
  <si>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</si>
  <si>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</si>
  <si>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</si>
  <si>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</si>
  <si>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</si>
  <si>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</si>
  <si>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</si>
  <si>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</si>
  <si>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</si>
  <si>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</si>
  <si>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</si>
  <si>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</si>
  <si>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</si>
  <si>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</si>
  <si>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</si>
  <si>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</si>
  <si>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</si>
  <si>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</si>
  <si>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</si>
  <si>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</si>
  <si>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</si>
  <si>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</si>
  <si>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</si>
  <si>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</si>
  <si>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</si>
  <si>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</si>
  <si>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</si>
  <si>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</si>
  <si>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</si>
  <si>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</si>
  <si>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</si>
  <si>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</si>
  <si>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</si>
  <si>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</si>
  <si>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</si>
  <si>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</si>
  <si>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</si>
  <si>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</si>
  <si>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</si>
  <si>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</si>
  <si>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</si>
  <si>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</si>
  <si>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</si>
  <si>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</si>
  <si>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</si>
  <si>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</si>
  <si>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</si>
  <si>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Pulaski</t>
  </si>
  <si>
    <t>4721 Shawnee College Road</t>
  </si>
  <si>
    <t>Ullin</t>
  </si>
  <si>
    <t>landonsommer@centuryschool100.com</t>
  </si>
  <si>
    <t>X</t>
  </si>
  <si>
    <t>Landon Sommer</t>
  </si>
  <si>
    <t>618-845-3447</t>
  </si>
  <si>
    <t>618-845-3476</t>
  </si>
  <si>
    <t>Beussink, Hey, Roe &amp; Stroder</t>
  </si>
  <si>
    <t>Jeffrey C. Stroder, CPA</t>
  </si>
  <si>
    <t>16 South Silver Springs Road</t>
  </si>
  <si>
    <t>Cape Girardeau</t>
  </si>
  <si>
    <t>MO</t>
  </si>
  <si>
    <t>573-334-7971</t>
  </si>
  <si>
    <t>573-334-8875</t>
  </si>
  <si>
    <t>066-003889</t>
  </si>
  <si>
    <t>jstroder@bhrscpas.com</t>
  </si>
  <si>
    <t>General Obligation School Bonds, Series 2016 C</t>
  </si>
  <si>
    <t>Bus Capital Lease</t>
  </si>
  <si>
    <t>shared service - JAMP Special Education Services</t>
  </si>
  <si>
    <t>Page 5, Line 12 - Other Current Assets</t>
  </si>
  <si>
    <t xml:space="preserve">   Fund 10 - Prepaid Services</t>
  </si>
  <si>
    <t>Page 11, Line 107 - Other Local Revenue</t>
  </si>
  <si>
    <t xml:space="preserve">   Fund 10 - Miscellaneous Receipts</t>
  </si>
  <si>
    <t>Page 14, Line 272 - Other Restricted Revenue From Federal Sources</t>
  </si>
  <si>
    <t xml:space="preserve">   Fund 10 - REAP Grant</t>
  </si>
  <si>
    <t>Page 18, Line 165 - Debt Service Other</t>
  </si>
  <si>
    <t xml:space="preserve">   Fund 30 - Bond Fees</t>
  </si>
  <si>
    <t>Capital Lease</t>
  </si>
  <si>
    <t>10-2560-400</t>
  </si>
  <si>
    <t>CRS Onesource</t>
  </si>
  <si>
    <t>10-2540-400</t>
  </si>
  <si>
    <t>Knapp Oil Co., Inc.</t>
  </si>
  <si>
    <t>40-2550-400</t>
  </si>
  <si>
    <t>Midwest Terminal</t>
  </si>
  <si>
    <t>2017-001</t>
  </si>
  <si>
    <t>There were differences in the amount of cash</t>
  </si>
  <si>
    <t>reported in the financial statements each month</t>
  </si>
  <si>
    <t xml:space="preserve">and the amount of cash reported on the bank </t>
  </si>
  <si>
    <t xml:space="preserve">reconciliation because the reconciled balance </t>
  </si>
  <si>
    <t>was not agreed to the financial statements.</t>
  </si>
  <si>
    <t>2017-002</t>
  </si>
  <si>
    <t>abolihment of the Working Cash Fund.  The</t>
  </si>
  <si>
    <t>District didn't record the transactions to abolish</t>
  </si>
  <si>
    <t>the Working Cash Fund.</t>
  </si>
  <si>
    <t>2017-003</t>
  </si>
  <si>
    <t>Economic interest statements for all certified</t>
  </si>
  <si>
    <t>school business officials were filed late.  They</t>
  </si>
  <si>
    <t>Section 105 ILCS 5/34-48 prohibits the Board from making expenditures above the amount provided in the budget.</t>
  </si>
  <si>
    <t>Total budgeted expenditures for the Educational Fund, Transportation Fund, and Operations and Maintenance Fund were $2,866,559, $237,290, and $110,000, respectively.</t>
  </si>
  <si>
    <t>Actual expenditures of the Educational Fund, Transportation Fund, and Operations and Maintenance Fund exceeded budgetary limits by $64,875, $60,000 and $1,064, respectively.</t>
  </si>
  <si>
    <t xml:space="preserve">The District incurred expenditures in total greater than what was provided for in the budget.  </t>
  </si>
  <si>
    <t>The District didn't budget for all anticipated expenditures.</t>
  </si>
  <si>
    <t>We recommend that the Administration and Board should refrain from authorizing expenditures that exceed what is permitted in the budget.  If additional expenditures become necessary, the Board should amend the budget sufficiently to provide the previously unanticipated expenditures.</t>
  </si>
  <si>
    <t xml:space="preserve">                                      Implemented.</t>
  </si>
  <si>
    <t xml:space="preserve">The Board of Education authorized the </t>
  </si>
  <si>
    <t>were due May 1 but not filed until June.</t>
  </si>
  <si>
    <t xml:space="preserve">                                       Implemented.</t>
  </si>
  <si>
    <t>The financial statements are presented in a format that complies with regulatory provisions prescribed byt the Illinois state Board of Education, which practices differ from accounting principles generally accepted in the United States of America.  In addition, the notes to the financial statements do not include the note disclosures required under GASB Statement No. 75 for one of the school's two defined contribution OPEB plans.</t>
  </si>
  <si>
    <t>ED-Food Services-Supplies</t>
  </si>
  <si>
    <t>TR-Pupil Transportation -Supplies</t>
  </si>
  <si>
    <t>ED-Oper. &amp; Maint. Plant Services-Supplies</t>
  </si>
  <si>
    <t>The Administration and Board will refrain from authorizing expenditures that exceed what is permitted in the budget.  Expenditures will be monitored monthly and compared to budgeted amounts.  If necessary, the Board will amend the budget prior to the end of the fiscal year to ensure unexpected expenditures do not result in spending that exceeds the budgeted threshold.</t>
  </si>
  <si>
    <t>Century CUSD 100</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</si>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</sst>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87" fillId="0" borderId="0" xfId="0" applyFont="1"/>
    <xf numFmtId="181" fontId="87" fillId="0" borderId="166" xfId="19" applyNumberFormat="1" applyFont="1" applyBorder="1"/>
    <xf numFmtId="181" fontId="87" fillId="0" borderId="0" xfId="0" applyNumberFormat="1" applyFont="1"/>
    <xf numFmtId="181" fontId="87" fillId="0" borderId="0" xfId="19" applyNumberFormat="1" applyFont="1" applyBorder="1"/>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2000251</xdr:colOff>
          <xdr:row>3</xdr:row>
          <xdr:rowOff>147205</xdr:rowOff>
        </xdr:from>
        <xdr:to>
          <xdr:col>1</xdr:col>
          <xdr:colOff>2912053</xdr:colOff>
          <xdr:row>8</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966B0EB-5920-4856-B9C2-DDB98615A2D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2141</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2081</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30077100026</v>
      </c>
      <c r="B13" s="2007"/>
      <c r="C13" s="2007"/>
      <c r="D13" s="2007"/>
      <c r="E13" s="2007"/>
      <c r="F13" s="2007"/>
      <c r="G13" s="2007"/>
      <c r="H13" s="2008"/>
      <c r="I13" s="31"/>
      <c r="J13" s="30"/>
      <c r="K13" s="28"/>
      <c r="L13" s="30"/>
      <c r="M13" s="30"/>
      <c r="N13" s="30"/>
      <c r="O13" s="30"/>
      <c r="P13" s="30"/>
      <c r="Q13" s="30"/>
      <c r="R13" s="30"/>
      <c r="S13" s="30"/>
      <c r="T13" s="2011" t="s">
        <v>2085</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2077</v>
      </c>
      <c r="B15" s="2009"/>
      <c r="C15" s="2009"/>
      <c r="D15" s="2009"/>
      <c r="E15" s="2009"/>
      <c r="F15" s="2009"/>
      <c r="G15" s="2009"/>
      <c r="H15" s="2010"/>
      <c r="T15" s="1972" t="s">
        <v>2086</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2140</v>
      </c>
      <c r="B17" s="2034"/>
      <c r="C17" s="2034"/>
      <c r="D17" s="2034"/>
      <c r="E17" s="2034"/>
      <c r="F17" s="2034"/>
      <c r="G17" s="2034"/>
      <c r="H17" s="2035"/>
      <c r="T17" s="2021" t="s">
        <v>2087</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2078</v>
      </c>
      <c r="B19" s="2005"/>
      <c r="C19" s="2005"/>
      <c r="D19" s="2005"/>
      <c r="E19" s="2005"/>
      <c r="F19" s="2005"/>
      <c r="G19" s="2005"/>
      <c r="H19" s="2003"/>
      <c r="I19" s="30"/>
      <c r="J19" s="99"/>
      <c r="K19" s="40"/>
      <c r="L19" s="38"/>
      <c r="M19" s="112" t="s">
        <v>333</v>
      </c>
      <c r="P19" s="27"/>
      <c r="Q19" s="27"/>
      <c r="R19" s="27"/>
      <c r="S19" s="31"/>
      <c r="T19" s="2004" t="s">
        <v>2088</v>
      </c>
      <c r="U19" s="2002"/>
      <c r="V19" s="2002"/>
      <c r="W19" s="2003"/>
      <c r="X19" s="2019" t="s">
        <v>2089</v>
      </c>
      <c r="Y19" s="2020"/>
      <c r="Z19" s="2017">
        <v>63703</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2079</v>
      </c>
      <c r="B21" s="2002"/>
      <c r="C21" s="2002"/>
      <c r="D21" s="2002"/>
      <c r="E21" s="2002"/>
      <c r="F21" s="2002"/>
      <c r="G21" s="2002"/>
      <c r="H21" s="2003"/>
      <c r="I21" s="2027" t="s">
        <v>699</v>
      </c>
      <c r="J21" s="1990"/>
      <c r="K21" s="1990"/>
      <c r="L21" s="1990"/>
      <c r="M21" s="1990"/>
      <c r="N21" s="1990"/>
      <c r="O21" s="1990"/>
      <c r="P21" s="1990"/>
      <c r="Q21" s="1990"/>
      <c r="R21" s="1990"/>
      <c r="S21" s="1991"/>
      <c r="T21" s="1969" t="s">
        <v>2090</v>
      </c>
      <c r="U21" s="1970"/>
      <c r="V21" s="1970"/>
      <c r="W21" s="1970"/>
      <c r="X21" s="1983" t="s">
        <v>2091</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2080</v>
      </c>
      <c r="B23" s="2025"/>
      <c r="C23" s="2025"/>
      <c r="D23" s="2025"/>
      <c r="E23" s="2025"/>
      <c r="F23" s="2025"/>
      <c r="G23" s="2025"/>
      <c r="H23" s="2026"/>
      <c r="T23" s="1964" t="s">
        <v>2092</v>
      </c>
      <c r="U23" s="1965"/>
      <c r="V23" s="1965"/>
      <c r="W23" s="1965"/>
      <c r="X23" s="1980">
        <v>44530</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62992</v>
      </c>
      <c r="B25" s="2002"/>
      <c r="C25" s="2002"/>
      <c r="D25" s="2002"/>
      <c r="E25" s="2002"/>
      <c r="F25" s="2002"/>
      <c r="G25" s="2002"/>
      <c r="H25" s="2003"/>
      <c r="I25" s="113"/>
      <c r="J25" s="2068"/>
      <c r="K25" s="2068"/>
      <c r="L25" s="2068"/>
      <c r="M25" s="2068"/>
      <c r="N25" s="2068"/>
      <c r="O25" s="2068"/>
      <c r="P25" s="2068"/>
      <c r="Q25" s="2068"/>
      <c r="R25" s="2068"/>
      <c r="S25" s="2069"/>
      <c r="T25" s="1961" t="s">
        <v>2093</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2081</v>
      </c>
      <c r="M29" s="40" t="s">
        <v>101</v>
      </c>
      <c r="N29" s="32" t="s">
        <v>1604</v>
      </c>
      <c r="O29" s="32"/>
      <c r="P29" s="32"/>
      <c r="Q29" s="32"/>
      <c r="R29" s="32"/>
      <c r="S29" s="123"/>
      <c r="T29" s="6"/>
      <c r="U29" s="6"/>
      <c r="V29" s="6"/>
      <c r="W29" s="6"/>
      <c r="X29" s="6"/>
      <c r="Y29" s="6"/>
      <c r="Z29" s="6"/>
      <c r="AA29" s="132"/>
    </row>
    <row r="30" spans="1:27" ht="13.5" customHeight="1" x14ac:dyDescent="0.2">
      <c r="A30" s="153"/>
      <c r="B30" s="136" t="s">
        <v>2081</v>
      </c>
      <c r="C30" s="124" t="s">
        <v>1226</v>
      </c>
      <c r="D30" s="28"/>
      <c r="E30" s="28"/>
      <c r="F30" s="140"/>
      <c r="G30" s="114"/>
      <c r="H30" s="114"/>
      <c r="I30" s="54"/>
      <c r="J30" s="102"/>
      <c r="K30" s="28" t="s">
        <v>597</v>
      </c>
      <c r="L30" s="148" t="s">
        <v>2081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2081</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2082</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2080</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2083</v>
      </c>
      <c r="B42" s="2051"/>
      <c r="C42" s="2052"/>
      <c r="D42" s="2065" t="s">
        <v>2084</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57" sqref="B57:J6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1905</v>
      </c>
      <c r="B2" s="1550" t="s">
        <v>2037</v>
      </c>
      <c r="C2" s="715" t="s">
        <v>1910</v>
      </c>
      <c r="D2" s="715" t="s">
        <v>1911</v>
      </c>
      <c r="E2" s="715" t="s">
        <v>1912</v>
      </c>
      <c r="F2" s="715" t="s">
        <v>1913</v>
      </c>
    </row>
    <row r="3" spans="1:6" ht="12" customHeight="1" x14ac:dyDescent="0.2">
      <c r="A3" s="2206"/>
      <c r="B3" s="1547"/>
      <c r="C3" s="1548"/>
      <c r="D3" s="1549" t="s">
        <v>274</v>
      </c>
      <c r="E3" s="1548"/>
      <c r="F3" s="1549" t="s">
        <v>275</v>
      </c>
    </row>
    <row r="4" spans="1:6" ht="13.7" customHeight="1" x14ac:dyDescent="0.2">
      <c r="A4" s="716" t="s">
        <v>1217</v>
      </c>
      <c r="B4" s="1771">
        <f>'Revenues 9-14'!C5</f>
        <v>312116</v>
      </c>
      <c r="C4" s="1546"/>
      <c r="D4" s="1774">
        <f>B4-C4</f>
        <v>312116</v>
      </c>
      <c r="E4" s="1546">
        <v>334230</v>
      </c>
      <c r="F4" s="1774">
        <f>E4-C4</f>
        <v>334230</v>
      </c>
    </row>
    <row r="5" spans="1:6" ht="13.7" customHeight="1" x14ac:dyDescent="0.2">
      <c r="A5" s="716" t="s">
        <v>925</v>
      </c>
      <c r="B5" s="1772">
        <f>'Revenues 9-14'!D5</f>
        <v>78240</v>
      </c>
      <c r="C5" s="585"/>
      <c r="D5" s="1775">
        <f t="shared" ref="D5:D18" si="0">B5-C5</f>
        <v>78240</v>
      </c>
      <c r="E5" s="585">
        <v>79445</v>
      </c>
      <c r="F5" s="1775">
        <f>E5-C5</f>
        <v>79445</v>
      </c>
    </row>
    <row r="6" spans="1:6" ht="13.7" customHeight="1" x14ac:dyDescent="0.2">
      <c r="A6" s="716" t="s">
        <v>431</v>
      </c>
      <c r="B6" s="1772">
        <f>'Revenues 9-14'!E5</f>
        <v>287710</v>
      </c>
      <c r="C6" s="585"/>
      <c r="D6" s="1775">
        <f t="shared" si="0"/>
        <v>287710</v>
      </c>
      <c r="E6" s="585">
        <v>227214</v>
      </c>
      <c r="F6" s="1775">
        <f t="shared" ref="F6:F18" si="1">E6-C6</f>
        <v>227214</v>
      </c>
    </row>
    <row r="7" spans="1:6" ht="13.7" customHeight="1" x14ac:dyDescent="0.2">
      <c r="A7" s="716" t="s">
        <v>157</v>
      </c>
      <c r="B7" s="1772">
        <f>'Revenues 9-14'!F5</f>
        <v>31211</v>
      </c>
      <c r="C7" s="585"/>
      <c r="D7" s="1775">
        <f t="shared" si="0"/>
        <v>31211</v>
      </c>
      <c r="E7" s="585">
        <v>35352</v>
      </c>
      <c r="F7" s="1775">
        <f t="shared" si="1"/>
        <v>35352</v>
      </c>
    </row>
    <row r="8" spans="1:6" ht="13.7" customHeight="1" x14ac:dyDescent="0.2">
      <c r="A8" s="716" t="s">
        <v>1241</v>
      </c>
      <c r="B8" s="1772">
        <f>'Revenues 9-14'!G5</f>
        <v>25306</v>
      </c>
      <c r="C8" s="585"/>
      <c r="D8" s="1775">
        <f t="shared" si="0"/>
        <v>25306</v>
      </c>
      <c r="E8" s="585">
        <v>25772</v>
      </c>
      <c r="F8" s="1775">
        <f t="shared" si="1"/>
        <v>25772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7803</v>
      </c>
      <c r="C10" s="585"/>
      <c r="D10" s="1775">
        <f t="shared" si="0"/>
        <v>7803</v>
      </c>
      <c r="E10" s="585">
        <v>7943</v>
      </c>
      <c r="F10" s="1775">
        <f t="shared" si="1"/>
        <v>7943</v>
      </c>
    </row>
    <row r="11" spans="1:6" x14ac:dyDescent="0.2">
      <c r="A11" s="716" t="s">
        <v>429</v>
      </c>
      <c r="B11" s="1772">
        <f>'Revenues 9-14'!J5</f>
        <v>28677</v>
      </c>
      <c r="C11" s="585"/>
      <c r="D11" s="1775">
        <f t="shared" si="0"/>
        <v>28677</v>
      </c>
      <c r="E11" s="585">
        <v>46611</v>
      </c>
      <c r="F11" s="1775">
        <f t="shared" si="1"/>
        <v>46611</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6243</v>
      </c>
      <c r="C14" s="585"/>
      <c r="D14" s="1775">
        <f t="shared" si="0"/>
        <v>6243</v>
      </c>
      <c r="E14" s="585">
        <v>6358</v>
      </c>
      <c r="F14" s="1775">
        <f t="shared" si="1"/>
        <v>6358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19924</v>
      </c>
      <c r="C16" s="585"/>
      <c r="D16" s="1775">
        <f t="shared" si="0"/>
        <v>19924</v>
      </c>
      <c r="E16" s="585">
        <v>20287</v>
      </c>
      <c r="F16" s="1775">
        <f t="shared" si="1"/>
        <v>20287</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797230</v>
      </c>
      <c r="C19" s="1773">
        <f>SUM(C4:C18)</f>
        <v>0</v>
      </c>
      <c r="D19" s="1773">
        <f>SUM(D4:D18)</f>
        <v>797230</v>
      </c>
      <c r="E19" s="1773">
        <f>SUM(E4:E18)</f>
        <v>783212</v>
      </c>
      <c r="F19" s="1773">
        <f>SUM(F4:F18)</f>
        <v>783212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6" colorId="8" zoomScale="110" zoomScaleNormal="110" workbookViewId="0">
      <selection activeCell="B57" sqref="B57:J6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1905</v>
      </c>
      <c r="B2" s="2221"/>
      <c r="C2" s="1909" t="s">
        <v>2038</v>
      </c>
      <c r="D2" s="724" t="s">
        <v>2045</v>
      </c>
      <c r="E2" s="724" t="s">
        <v>2046</v>
      </c>
      <c r="F2" s="1909" t="s">
        <v>2039</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77">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9" t="s">
        <v>652</v>
      </c>
      <c r="B15" s="2210"/>
      <c r="C15" s="1777">
        <f>SUM(C6:C14)</f>
        <v>0</v>
      </c>
      <c r="D15" s="1777">
        <f>SUM(D6:D14)</f>
        <v>0</v>
      </c>
      <c r="E15" s="1777">
        <f>SUM(E6:E14)</f>
        <v>0</v>
      </c>
      <c r="F15" s="1777">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77">
        <f>SUM(C17+D17)-E17</f>
        <v>0</v>
      </c>
    </row>
    <row r="18" spans="1:11" ht="12.75" customHeight="1" thickTop="1" thickBot="1" x14ac:dyDescent="0.25">
      <c r="A18" s="2232" t="s">
        <v>6</v>
      </c>
      <c r="B18" s="2233"/>
      <c r="C18" s="727"/>
      <c r="D18" s="585"/>
      <c r="E18" s="727"/>
      <c r="F18" s="1777">
        <f>SUM(C18+D18)-E18</f>
        <v>0</v>
      </c>
    </row>
    <row r="19" spans="1:11" ht="12.75" customHeight="1" thickTop="1" thickBot="1" x14ac:dyDescent="0.25">
      <c r="A19" s="2232" t="s">
        <v>406</v>
      </c>
      <c r="B19" s="2233"/>
      <c r="C19" s="727"/>
      <c r="D19" s="585"/>
      <c r="E19" s="727"/>
      <c r="F19" s="1777">
        <f>SUM(C19+D19)-E19</f>
        <v>0</v>
      </c>
    </row>
    <row r="20" spans="1:11" ht="12.75" customHeight="1" thickTop="1" thickBot="1" x14ac:dyDescent="0.25">
      <c r="A20" s="2232" t="s">
        <v>468</v>
      </c>
      <c r="B20" s="2233"/>
      <c r="C20" s="727"/>
      <c r="D20" s="585"/>
      <c r="E20" s="727"/>
      <c r="F20" s="1777">
        <f>SUM(C20+D20)-E20</f>
        <v>0</v>
      </c>
    </row>
    <row r="21" spans="1:11" ht="14.25" thickTop="1" thickBot="1" x14ac:dyDescent="0.25">
      <c r="A21" s="2209" t="s">
        <v>653</v>
      </c>
      <c r="B21" s="2210"/>
      <c r="C21" s="1777">
        <f>SUM(C17:C20)</f>
        <v>0</v>
      </c>
      <c r="D21" s="1777">
        <f>SUM(D17:D20)</f>
        <v>0</v>
      </c>
      <c r="E21" s="1777">
        <f>SUM(E17:E20)</f>
        <v>0</v>
      </c>
      <c r="F21" s="1777">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77">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77">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77">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42465</v>
      </c>
      <c r="C31" s="735">
        <v>3205000</v>
      </c>
      <c r="D31" s="736">
        <v>3</v>
      </c>
      <c r="E31" s="735">
        <v>3190000</v>
      </c>
      <c r="F31" s="735"/>
      <c r="G31" s="735"/>
      <c r="H31" s="735">
        <v>185000</v>
      </c>
      <c r="I31" s="1778">
        <f>((E31+F31)-H31)+G31</f>
        <v>3005000</v>
      </c>
      <c r="J31" s="735">
        <f>I31-'Assets-Liab 5-6'!N21</f>
        <v>2930077</v>
      </c>
      <c r="K31" s="737"/>
    </row>
    <row r="32" spans="1:11" ht="12" customHeight="1" x14ac:dyDescent="0.2">
      <c r="A32" s="733" t="s">
        <v>2095</v>
      </c>
      <c r="B32" s="734">
        <v>43205</v>
      </c>
      <c r="C32" s="735">
        <v>53244</v>
      </c>
      <c r="D32" s="736">
        <v>7</v>
      </c>
      <c r="E32" s="735"/>
      <c r="F32" s="735">
        <v>53244</v>
      </c>
      <c r="G32" s="735"/>
      <c r="H32" s="735">
        <v>11500</v>
      </c>
      <c r="I32" s="1778">
        <f>((E32+F32)-H32)+G32</f>
        <v>41744</v>
      </c>
      <c r="J32" s="735">
        <f>I32</f>
        <v>41744</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3258244</v>
      </c>
      <c r="D49" s="746"/>
      <c r="E49" s="1778">
        <f t="shared" ref="E49:J49" si="2">SUM(E31:E48)</f>
        <v>3190000</v>
      </c>
      <c r="F49" s="1778">
        <f t="shared" si="2"/>
        <v>53244</v>
      </c>
      <c r="G49" s="1778">
        <f t="shared" si="2"/>
        <v>0</v>
      </c>
      <c r="H49" s="1778">
        <f t="shared" si="2"/>
        <v>196500</v>
      </c>
      <c r="I49" s="1778">
        <f t="shared" si="2"/>
        <v>3046744</v>
      </c>
      <c r="J49" s="1778">
        <f t="shared" si="2"/>
        <v>2971821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t="s">
        <v>2105</v>
      </c>
      <c r="G52" s="2229"/>
      <c r="H52" s="737"/>
      <c r="I52" s="737"/>
      <c r="J52" s="747"/>
    </row>
    <row r="53" spans="1:11" ht="11.25" customHeight="1" x14ac:dyDescent="0.2">
      <c r="A53" s="751" t="s">
        <v>969</v>
      </c>
      <c r="B53" s="752" t="s">
        <v>1008</v>
      </c>
      <c r="C53" s="747"/>
      <c r="D53" s="738"/>
      <c r="E53" s="750" t="s">
        <v>518</v>
      </c>
      <c r="F53" s="2230"/>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57" sqref="B57:J6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52"/>
      <c r="I1" s="761"/>
      <c r="J1" s="433"/>
    </row>
    <row r="2" spans="1:11" ht="26.25" x14ac:dyDescent="0.2">
      <c r="A2" s="2239" t="s">
        <v>1776</v>
      </c>
      <c r="B2" s="2240"/>
      <c r="C2" s="2240"/>
      <c r="D2" s="2240"/>
      <c r="E2" s="2241"/>
      <c r="F2" s="762" t="s">
        <v>960</v>
      </c>
      <c r="G2" s="763" t="s">
        <v>1773</v>
      </c>
      <c r="H2" s="763" t="s">
        <v>430</v>
      </c>
      <c r="I2" s="763" t="s">
        <v>1220</v>
      </c>
      <c r="J2" s="763" t="s">
        <v>1919</v>
      </c>
      <c r="K2" s="763" t="s">
        <v>140</v>
      </c>
    </row>
    <row r="3" spans="1:11" x14ac:dyDescent="0.2">
      <c r="A3" s="2242" t="s">
        <v>1698</v>
      </c>
      <c r="B3" s="2243"/>
      <c r="C3" s="2243"/>
      <c r="D3" s="2243"/>
      <c r="E3" s="2244"/>
      <c r="F3" s="764"/>
      <c r="G3" s="765"/>
      <c r="H3" s="765"/>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v>6243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4973</v>
      </c>
    </row>
    <row r="10" spans="1:11" x14ac:dyDescent="0.2">
      <c r="A10" s="2263" t="s">
        <v>1920</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79"/>
      <c r="G12" s="1780">
        <f>SUM(G5:G11)</f>
        <v>0</v>
      </c>
      <c r="H12" s="1780">
        <f>SUM(H5:H11)</f>
        <v>6243</v>
      </c>
      <c r="I12" s="1780">
        <f>SUM(I5:I11)</f>
        <v>0</v>
      </c>
      <c r="J12" s="1780">
        <f>SUM(J5:J11)</f>
        <v>0</v>
      </c>
      <c r="K12" s="1780">
        <f>SUM(K5:K11)</f>
        <v>4973</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v>6243</v>
      </c>
      <c r="I14" s="772"/>
      <c r="J14" s="774"/>
      <c r="K14" s="766">
        <v>4973</v>
      </c>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1916</v>
      </c>
      <c r="B19" s="2271"/>
      <c r="C19" s="2271"/>
      <c r="D19" s="2271"/>
      <c r="E19" s="2272"/>
      <c r="F19" s="790" t="s">
        <v>990</v>
      </c>
      <c r="G19" s="783"/>
      <c r="H19" s="783"/>
      <c r="I19" s="783"/>
      <c r="J19" s="766"/>
      <c r="K19" s="796"/>
    </row>
    <row r="20" spans="1:11" x14ac:dyDescent="0.2">
      <c r="A20" s="2250" t="s">
        <v>1921</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81"/>
      <c r="G21" s="793"/>
      <c r="H21" s="797"/>
      <c r="I21" s="797"/>
      <c r="J21" s="1782">
        <f>SUM(J18:J20)</f>
        <v>0</v>
      </c>
      <c r="K21" s="794"/>
    </row>
    <row r="22" spans="1:11" ht="13.5" thickTop="1" x14ac:dyDescent="0.2">
      <c r="A22" s="2236" t="s">
        <v>1922</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83"/>
      <c r="G23" s="1780">
        <f>SUM(G14:G16,G21,G22)</f>
        <v>0</v>
      </c>
      <c r="H23" s="1780">
        <f>SUM(H14:H16,H21,H22)</f>
        <v>6243</v>
      </c>
      <c r="I23" s="1780">
        <f>SUM(I14:I16,I21,I22)</f>
        <v>0</v>
      </c>
      <c r="J23" s="1780">
        <f>SUM(J14:J16,J21,J22)</f>
        <v>0</v>
      </c>
      <c r="K23" s="1780">
        <f>SUM(K14:K16,K21,K22)</f>
        <v>4973</v>
      </c>
    </row>
    <row r="24" spans="1:11" ht="14.25" thickTop="1" thickBot="1" x14ac:dyDescent="0.25">
      <c r="A24" s="2257" t="s">
        <v>2026</v>
      </c>
      <c r="B24" s="2256"/>
      <c r="C24" s="2256"/>
      <c r="D24" s="2256"/>
      <c r="E24" s="225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B57" sqref="B57:J6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2035</v>
      </c>
      <c r="B1" s="2276"/>
      <c r="C1" s="2277"/>
      <c r="D1" s="827"/>
      <c r="E1" s="828"/>
      <c r="F1" s="828"/>
      <c r="G1" s="829"/>
      <c r="H1" s="830"/>
      <c r="I1" s="831"/>
      <c r="J1" s="2273"/>
      <c r="K1" s="2274"/>
      <c r="L1" s="227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46865</v>
      </c>
      <c r="D5" s="842"/>
      <c r="E5" s="842"/>
      <c r="F5" s="1782">
        <f>(C5+D5)-E5</f>
        <v>46865</v>
      </c>
      <c r="G5" s="838"/>
      <c r="H5" s="843"/>
      <c r="I5" s="843"/>
      <c r="J5" s="843"/>
      <c r="K5" s="794"/>
      <c r="L5" s="1791">
        <f>F5-K5</f>
        <v>46865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f>6634111+290786</f>
        <v>6924897</v>
      </c>
      <c r="D8" s="845">
        <v>1279930</v>
      </c>
      <c r="E8" s="845"/>
      <c r="F8" s="1782">
        <f>(C8+D8)-E8</f>
        <v>8204827</v>
      </c>
      <c r="G8" s="844">
        <v>50</v>
      </c>
      <c r="H8" s="766">
        <v>1753301</v>
      </c>
      <c r="I8" s="766">
        <v>157977</v>
      </c>
      <c r="J8" s="766"/>
      <c r="K8" s="1791">
        <f>(H8+I8)-J8</f>
        <v>1911278</v>
      </c>
      <c r="L8" s="1791">
        <f>F8-K8</f>
        <v>6293549</v>
      </c>
    </row>
    <row r="9" spans="1:14" ht="14.25" thickTop="1" thickBot="1" x14ac:dyDescent="0.25">
      <c r="A9" s="779" t="s">
        <v>1181</v>
      </c>
      <c r="B9" s="841">
        <v>232</v>
      </c>
      <c r="C9" s="766">
        <v>12630</v>
      </c>
      <c r="D9" s="766"/>
      <c r="E9" s="766"/>
      <c r="F9" s="1782">
        <f>(C9+D9)-E9</f>
        <v>12630</v>
      </c>
      <c r="G9" s="844">
        <v>20</v>
      </c>
      <c r="H9" s="766">
        <v>5523</v>
      </c>
      <c r="I9" s="766">
        <v>505</v>
      </c>
      <c r="J9" s="766"/>
      <c r="K9" s="1791">
        <f>(H9+I9)-J9</f>
        <v>6028</v>
      </c>
      <c r="L9" s="1791">
        <f>F9-K9</f>
        <v>6602</v>
      </c>
    </row>
    <row r="10" spans="1:14" ht="24" thickTop="1" thickBot="1" x14ac:dyDescent="0.25">
      <c r="A10" s="846" t="s">
        <v>1182</v>
      </c>
      <c r="B10" s="841">
        <v>240</v>
      </c>
      <c r="C10" s="847">
        <v>322871</v>
      </c>
      <c r="D10" s="847"/>
      <c r="E10" s="847"/>
      <c r="F10" s="1786">
        <f>(C10+D10)-E10</f>
        <v>322871</v>
      </c>
      <c r="G10" s="844">
        <v>20</v>
      </c>
      <c r="H10" s="848">
        <v>199968</v>
      </c>
      <c r="I10" s="848">
        <v>9442.44</v>
      </c>
      <c r="J10" s="848"/>
      <c r="K10" s="1791">
        <f>(H10+I10)-J10</f>
        <v>209410.44</v>
      </c>
      <c r="L10" s="1791">
        <f>F10-K10</f>
        <v>113460.56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1362217</v>
      </c>
      <c r="D12" s="845">
        <v>27077</v>
      </c>
      <c r="E12" s="845"/>
      <c r="F12" s="1782">
        <f>(C12+D12)-E12</f>
        <v>1389294</v>
      </c>
      <c r="G12" s="844">
        <v>10</v>
      </c>
      <c r="H12" s="766">
        <v>1239688</v>
      </c>
      <c r="I12" s="766">
        <v>21894</v>
      </c>
      <c r="J12" s="766"/>
      <c r="K12" s="1791">
        <f>(H12+I12)-J12</f>
        <v>1261582</v>
      </c>
      <c r="L12" s="1791">
        <f>F12-K12</f>
        <v>127712</v>
      </c>
    </row>
    <row r="13" spans="1:14" ht="14.25" thickTop="1" thickBot="1" x14ac:dyDescent="0.25">
      <c r="A13" s="849" t="s">
        <v>1184</v>
      </c>
      <c r="B13" s="841">
        <v>252</v>
      </c>
      <c r="C13" s="845">
        <v>889891</v>
      </c>
      <c r="D13" s="845">
        <v>53244</v>
      </c>
      <c r="E13" s="845"/>
      <c r="F13" s="1782">
        <f>(C13+D13)-E13</f>
        <v>943135</v>
      </c>
      <c r="G13" s="844">
        <v>5</v>
      </c>
      <c r="H13" s="766">
        <v>857236</v>
      </c>
      <c r="I13" s="766">
        <v>17274</v>
      </c>
      <c r="J13" s="766"/>
      <c r="K13" s="1791">
        <f>(H13+I13)-J13</f>
        <v>874510</v>
      </c>
      <c r="L13" s="1791">
        <f>F13-K13</f>
        <v>68625</v>
      </c>
    </row>
    <row r="14" spans="1:14" ht="14.25" thickTop="1" thickBot="1" x14ac:dyDescent="0.25">
      <c r="A14" s="849" t="s">
        <v>1185</v>
      </c>
      <c r="B14" s="841">
        <v>253</v>
      </c>
      <c r="C14" s="766">
        <v>660</v>
      </c>
      <c r="D14" s="766"/>
      <c r="E14" s="766"/>
      <c r="F14" s="1782">
        <f>(C14+D14)-E14</f>
        <v>660</v>
      </c>
      <c r="G14" s="844">
        <v>3</v>
      </c>
      <c r="H14" s="766">
        <v>660</v>
      </c>
      <c r="I14" s="766"/>
      <c r="J14" s="766"/>
      <c r="K14" s="1791">
        <f>(H14+I14)-J14</f>
        <v>660</v>
      </c>
      <c r="L14" s="1791">
        <f>F14-K14</f>
        <v>0</v>
      </c>
    </row>
    <row r="15" spans="1:14" ht="15" customHeight="1" thickTop="1" thickBot="1" x14ac:dyDescent="0.25">
      <c r="A15" s="1653" t="s">
        <v>549</v>
      </c>
      <c r="B15" s="1652">
        <v>260</v>
      </c>
      <c r="C15" s="845">
        <v>112537</v>
      </c>
      <c r="D15" s="845">
        <f>767205+30925</f>
        <v>798130</v>
      </c>
      <c r="E15" s="845">
        <v>879742</v>
      </c>
      <c r="F15" s="1782">
        <f>(C15+D15)-E15</f>
        <v>30925</v>
      </c>
      <c r="G15" s="850" t="s">
        <v>917</v>
      </c>
      <c r="H15" s="782"/>
      <c r="I15" s="782"/>
      <c r="J15" s="782"/>
      <c r="K15" s="782"/>
      <c r="L15" s="1791">
        <f>F15-K15</f>
        <v>30925</v>
      </c>
    </row>
    <row r="16" spans="1:14" ht="15" customHeight="1" thickTop="1" thickBot="1" x14ac:dyDescent="0.25">
      <c r="A16" s="1787" t="s">
        <v>664</v>
      </c>
      <c r="B16" s="1788">
        <v>200</v>
      </c>
      <c r="C16" s="1782">
        <f>SUM(C3,C5:C6,C8:C10,C12:C15)</f>
        <v>9672568</v>
      </c>
      <c r="D16" s="1782">
        <f>SUM(D3,D5:D6,D8:D10,D12:D15)</f>
        <v>2158381</v>
      </c>
      <c r="E16" s="1782">
        <f>SUM(E3,E5:E6,E8:E10,E12:E15)</f>
        <v>879742</v>
      </c>
      <c r="F16" s="1782">
        <f>SUM(F3,F5:F6,F8:F10,F12:F15)</f>
        <v>10951207</v>
      </c>
      <c r="G16" s="844"/>
      <c r="H16" s="1782">
        <f>SUM(H3,H6,H8:H10,H12:H14,)</f>
        <v>4056376</v>
      </c>
      <c r="I16" s="1782">
        <f>SUM(I3,I6,I8:I10,I12:I14,)</f>
        <v>207092.44</v>
      </c>
      <c r="J16" s="1782">
        <f>SUM(J3,J6,J8:J10,J12:J14,)</f>
        <v>0</v>
      </c>
      <c r="K16" s="1782">
        <f>(H16+I16)-J16</f>
        <v>4263468.4400000004</v>
      </c>
      <c r="L16" s="1782">
        <f>F16-K16</f>
        <v>6687738.5599999996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207092.44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B57" sqref="B57:J67"/>
      <selection pane="bottomLeft" activeCell="B57" sqref="B57:J6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2931434</v>
      </c>
      <c r="G8" s="866"/>
    </row>
    <row r="9" spans="1:7" x14ac:dyDescent="0.2">
      <c r="A9" s="870" t="s">
        <v>480</v>
      </c>
      <c r="B9" s="871" t="s">
        <v>1989</v>
      </c>
      <c r="C9" s="872"/>
      <c r="D9" s="870" t="s">
        <v>522</v>
      </c>
      <c r="E9" s="869"/>
      <c r="F9" s="1935">
        <f>'Expenditures 15-22'!K151</f>
        <v>111064</v>
      </c>
      <c r="G9" s="873"/>
    </row>
    <row r="10" spans="1:7" x14ac:dyDescent="0.2">
      <c r="A10" s="870" t="s">
        <v>520</v>
      </c>
      <c r="B10" s="871" t="s">
        <v>1990</v>
      </c>
      <c r="C10" s="872"/>
      <c r="D10" s="870" t="s">
        <v>522</v>
      </c>
      <c r="E10" s="869"/>
      <c r="F10" s="1935">
        <f>'Expenditures 15-22'!K174</f>
        <v>289181</v>
      </c>
      <c r="G10" s="873"/>
    </row>
    <row r="11" spans="1:7" x14ac:dyDescent="0.2">
      <c r="A11" s="870" t="s">
        <v>481</v>
      </c>
      <c r="B11" s="871" t="s">
        <v>1991</v>
      </c>
      <c r="C11" s="872"/>
      <c r="D11" s="870" t="s">
        <v>522</v>
      </c>
      <c r="E11" s="869"/>
      <c r="F11" s="1935">
        <f>'Expenditures 15-22'!K210</f>
        <v>297290</v>
      </c>
      <c r="G11" s="873"/>
    </row>
    <row r="12" spans="1:7" x14ac:dyDescent="0.2">
      <c r="A12" s="870" t="s">
        <v>482</v>
      </c>
      <c r="B12" s="871" t="s">
        <v>1992</v>
      </c>
      <c r="C12" s="872"/>
      <c r="D12" s="870" t="s">
        <v>522</v>
      </c>
      <c r="E12" s="869"/>
      <c r="F12" s="1935">
        <f>'Expenditures 15-22'!K295</f>
        <v>123228</v>
      </c>
      <c r="G12" s="873"/>
    </row>
    <row r="13" spans="1:7" x14ac:dyDescent="0.2">
      <c r="A13" s="870" t="s">
        <v>108</v>
      </c>
      <c r="B13" s="871" t="s">
        <v>1993</v>
      </c>
      <c r="C13" s="872"/>
      <c r="D13" s="870" t="s">
        <v>522</v>
      </c>
      <c r="E13" s="869"/>
      <c r="F13" s="1935">
        <f>'Expenditures 15-22'!K342</f>
        <v>75778</v>
      </c>
      <c r="G13" s="874"/>
    </row>
    <row r="14" spans="1:7" ht="12" customHeight="1" thickBot="1" x14ac:dyDescent="0.25">
      <c r="A14" s="1792"/>
      <c r="B14" s="1793"/>
      <c r="C14" s="1794"/>
      <c r="D14" s="1795" t="s">
        <v>522</v>
      </c>
      <c r="E14" s="1796" t="s">
        <v>1015</v>
      </c>
      <c r="F14" s="1797">
        <f>SUM(F8:F13)</f>
        <v>3827975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138829</v>
      </c>
      <c r="G53" s="866"/>
    </row>
    <row r="54" spans="1:7" x14ac:dyDescent="0.2">
      <c r="A54" s="870" t="s">
        <v>479</v>
      </c>
      <c r="B54" s="870" t="s">
        <v>1552</v>
      </c>
      <c r="C54" s="890" t="s">
        <v>1039</v>
      </c>
      <c r="D54" s="886" t="s">
        <v>1157</v>
      </c>
      <c r="E54" s="869"/>
      <c r="F54" s="1939">
        <f>'Expenditures 15-22'!G114</f>
        <v>24645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2432</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185000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11500</v>
      </c>
      <c r="G64" s="866"/>
    </row>
    <row r="65" spans="1:8" x14ac:dyDescent="0.2">
      <c r="A65" s="870" t="s">
        <v>481</v>
      </c>
      <c r="B65" s="870" t="s">
        <v>2002</v>
      </c>
      <c r="C65" s="887" t="s">
        <v>1039</v>
      </c>
      <c r="D65" s="886" t="s">
        <v>1157</v>
      </c>
      <c r="E65" s="869"/>
      <c r="F65" s="1939">
        <f>'Expenditures 15-22'!G210</f>
        <v>53244</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415650</v>
      </c>
      <c r="G76" s="866"/>
    </row>
    <row r="77" spans="1:8" s="894" customFormat="1" ht="12" customHeight="1" thickTop="1" thickBot="1" x14ac:dyDescent="0.25">
      <c r="A77" s="1801"/>
      <c r="B77" s="1798"/>
      <c r="C77" s="1794"/>
      <c r="D77" s="1799" t="s">
        <v>2012</v>
      </c>
      <c r="E77" s="1796"/>
      <c r="F77" s="1802">
        <f>(F14-F76)</f>
        <v>3412325</v>
      </c>
      <c r="G77" s="870"/>
    </row>
    <row r="78" spans="1:8" s="894" customFormat="1" ht="12" customHeight="1" thickTop="1" x14ac:dyDescent="0.2">
      <c r="A78" s="1803"/>
      <c r="B78" s="1798"/>
      <c r="C78" s="1794"/>
      <c r="D78" s="1799" t="s">
        <v>2059</v>
      </c>
      <c r="E78" s="1796"/>
      <c r="F78" s="899">
        <v>324.99</v>
      </c>
      <c r="G78" s="900"/>
      <c r="H78" s="870"/>
    </row>
    <row r="79" spans="1:8" s="894" customFormat="1" ht="12" customHeight="1" thickBot="1" x14ac:dyDescent="0.25">
      <c r="A79" s="1804"/>
      <c r="B79" s="1798"/>
      <c r="C79" s="1794"/>
      <c r="D79" s="1799" t="s">
        <v>2013</v>
      </c>
      <c r="E79" s="1796" t="s">
        <v>1015</v>
      </c>
      <c r="F79" s="1805">
        <f>IF(F78&gt;0,F77/F78," Complete Line 78")</f>
        <v>10499.784608757192</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4074</v>
      </c>
      <c r="G94" s="913"/>
    </row>
    <row r="95" spans="1:7" x14ac:dyDescent="0.2">
      <c r="A95" s="909" t="s">
        <v>142</v>
      </c>
      <c r="B95" s="909" t="s">
        <v>177</v>
      </c>
      <c r="C95" s="911">
        <v>1700</v>
      </c>
      <c r="D95" s="919" t="str">
        <f>'Revenues 9-14'!A82</f>
        <v>Total District/School Activity Income</v>
      </c>
      <c r="E95" s="907"/>
      <c r="F95" s="1811">
        <f>SUM('Revenues 9-14'!C82,'Revenues 9-14'!D82)</f>
        <v>14249</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48705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6498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4973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281121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84893</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189038</v>
      </c>
      <c r="G129" s="931"/>
    </row>
    <row r="130" spans="1:7" x14ac:dyDescent="0.2">
      <c r="A130" s="928" t="s">
        <v>689</v>
      </c>
      <c r="B130" s="928" t="s">
        <v>804</v>
      </c>
      <c r="C130" s="933">
        <v>4300</v>
      </c>
      <c r="D130" s="934" t="str">
        <f>'Revenues 9-14'!A211</f>
        <v>Total Title I</v>
      </c>
      <c r="E130" s="907"/>
      <c r="F130" s="1811">
        <f>SUM('Revenues 9-14'!C211,'Revenues 9-14'!D211,'Revenues 9-14'!F211,'Revenues 9-14'!G211)</f>
        <v>126297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29869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3049</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794266</v>
      </c>
    </row>
    <row r="179" spans="1:7" ht="12" customHeight="1" x14ac:dyDescent="0.2">
      <c r="A179" s="1792"/>
      <c r="B179" s="1806"/>
      <c r="C179" s="1807"/>
      <c r="D179" s="1808" t="s">
        <v>2015</v>
      </c>
      <c r="E179" s="1809"/>
      <c r="F179" s="1811">
        <f>'PCTC-OEPP 27-28'!F77-F178</f>
        <v>2618059</v>
      </c>
    </row>
    <row r="180" spans="1:7" ht="12" customHeight="1" x14ac:dyDescent="0.2">
      <c r="A180" s="1792"/>
      <c r="B180" s="1806"/>
      <c r="C180" s="1807"/>
      <c r="D180" s="1808" t="s">
        <v>1924</v>
      </c>
      <c r="E180" s="1809"/>
      <c r="F180" s="1811">
        <f>'Cap Outlay Deprec 26'!I18</f>
        <v>207092.44</v>
      </c>
    </row>
    <row r="181" spans="1:7" ht="12" customHeight="1" x14ac:dyDescent="0.2">
      <c r="A181" s="1792"/>
      <c r="B181" s="1806"/>
      <c r="C181" s="1807"/>
      <c r="D181" s="1808" t="s">
        <v>2016</v>
      </c>
      <c r="E181" s="1809"/>
      <c r="F181" s="1811">
        <f>F179+F180</f>
        <v>2825151.44</v>
      </c>
    </row>
    <row r="182" spans="1:7" ht="12" customHeight="1" x14ac:dyDescent="0.2">
      <c r="A182" s="1792"/>
      <c r="B182" s="1812"/>
      <c r="C182" s="1807"/>
      <c r="D182" s="1808" t="str">
        <f>D78</f>
        <v>9 Month ADA from District Average Daily Attendance/Prior General State Aid Inquiry 2017-2018</v>
      </c>
      <c r="E182" s="1809"/>
      <c r="F182" s="1813">
        <f>'PCTC-OEPP 27-28'!F78</f>
        <v>324.99</v>
      </c>
      <c r="G182" s="931"/>
    </row>
    <row r="183" spans="1:7" ht="12" customHeight="1" thickBot="1" x14ac:dyDescent="0.25">
      <c r="A183" s="1792"/>
      <c r="B183" s="1812"/>
      <c r="C183" s="1807"/>
      <c r="D183" s="1808" t="s">
        <v>2017</v>
      </c>
      <c r="E183" s="1809" t="s">
        <v>1626</v>
      </c>
      <c r="F183" s="1814">
        <f>F181/F182</f>
        <v>8693.0411397273765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B57" sqref="B57:J67"/>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6" t="s">
        <v>1926</v>
      </c>
      <c r="B6" s="1557"/>
      <c r="C6" s="1557"/>
      <c r="D6" s="1557"/>
      <c r="E6" s="1557"/>
      <c r="F6" s="1557"/>
      <c r="G6" s="1558"/>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9" t="s">
        <v>1927</v>
      </c>
      <c r="B10" s="1560"/>
      <c r="C10" s="1560"/>
      <c r="D10" s="1560"/>
      <c r="E10" s="1560"/>
      <c r="F10" s="1560"/>
      <c r="G10" s="1561"/>
    </row>
    <row r="11" spans="1:7" ht="17.25" customHeight="1" x14ac:dyDescent="0.25">
      <c r="A11" s="2298" t="s">
        <v>1941</v>
      </c>
      <c r="B11" s="2299"/>
      <c r="C11" s="2299"/>
      <c r="D11" s="2299"/>
      <c r="E11" s="2299"/>
      <c r="F11" s="2299"/>
      <c r="G11" s="2300"/>
    </row>
    <row r="12" spans="1:7" ht="15" customHeight="1" x14ac:dyDescent="0.25">
      <c r="A12" s="1559" t="s">
        <v>1932</v>
      </c>
      <c r="B12" s="1560"/>
      <c r="C12" s="1560"/>
      <c r="D12" s="1560"/>
      <c r="E12" s="1560"/>
      <c r="F12" s="1560"/>
      <c r="G12" s="1561"/>
    </row>
    <row r="13" spans="1:7" ht="32.25" customHeight="1" x14ac:dyDescent="0.25">
      <c r="A13" s="2289" t="s">
        <v>1933</v>
      </c>
      <c r="B13" s="2290"/>
      <c r="C13" s="2290"/>
      <c r="D13" s="2290"/>
      <c r="E13" s="2290"/>
      <c r="F13" s="2290"/>
      <c r="G13" s="2291"/>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2136</v>
      </c>
      <c r="B17" s="1954" t="s">
        <v>2106</v>
      </c>
      <c r="C17" s="1955" t="s">
        <v>2107</v>
      </c>
      <c r="D17" s="1867">
        <v>127125</v>
      </c>
      <c r="E17" s="1562">
        <f t="shared" ref="E17:E141" si="1">IF(D17&lt;=25000,D17,IF(D17&gt;25000,25000,0))</f>
        <v>25000</v>
      </c>
      <c r="F17" s="1815">
        <f t="shared" si="0"/>
        <v>25000</v>
      </c>
      <c r="G17" s="1816">
        <f>IF(F17=0,0,D17-F17)</f>
        <v>102125</v>
      </c>
      <c r="H17" s="1669"/>
    </row>
    <row r="18" spans="1:8" x14ac:dyDescent="0.25">
      <c r="A18" s="1960" t="s">
        <v>2138</v>
      </c>
      <c r="B18" s="1954" t="s">
        <v>2108</v>
      </c>
      <c r="C18" s="1955" t="s">
        <v>2109</v>
      </c>
      <c r="D18" s="1867">
        <v>30632</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5632</v>
      </c>
    </row>
    <row r="19" spans="1:8" x14ac:dyDescent="0.25">
      <c r="A19" s="1960" t="s">
        <v>2137</v>
      </c>
      <c r="B19" s="1954" t="s">
        <v>2110</v>
      </c>
      <c r="C19" s="1955" t="s">
        <v>2111</v>
      </c>
      <c r="D19" s="1867">
        <v>25080</v>
      </c>
      <c r="E19" s="1562">
        <f t="shared" si="2"/>
        <v>25000</v>
      </c>
      <c r="F19" s="1815">
        <f t="shared" si="3"/>
        <v>25000</v>
      </c>
      <c r="G19" s="1816">
        <f t="shared" si="4"/>
        <v>80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182837</v>
      </c>
      <c r="E141" s="1563">
        <f t="shared" si="1"/>
        <v>25000</v>
      </c>
      <c r="F141" s="1817">
        <f>SUM(F17:F140)</f>
        <v>75000</v>
      </c>
      <c r="G141" s="1818">
        <f>SUM(G17:G140)</f>
        <v>107837</v>
      </c>
    </row>
  </sheetData>
  <sheetProtection sheet="1"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20" sqref="D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148211</v>
      </c>
      <c r="F10" s="975"/>
      <c r="G10" s="976"/>
      <c r="H10" s="162"/>
      <c r="I10" s="162"/>
    </row>
    <row r="11" spans="1:9" s="669" customFormat="1" ht="22.5" customHeight="1" x14ac:dyDescent="0.2">
      <c r="A11" s="2309" t="s">
        <v>1945</v>
      </c>
      <c r="B11" s="2310"/>
      <c r="C11" s="2310"/>
      <c r="D11" s="2311"/>
      <c r="E11" s="978">
        <v>20619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1835361</v>
      </c>
      <c r="F19" s="1822"/>
      <c r="G19" s="1824">
        <f>'Expenditures 15-22'!K33-SUM('Expenditures 15-22'!G33,'Expenditures 15-22'!I33)+'Expenditures 15-22'!D229</f>
        <v>1835361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86491</v>
      </c>
      <c r="F21" s="1825"/>
      <c r="G21" s="1828">
        <f>'Expenditures 15-22'!K42-SUM('Expenditures 15-22'!G42,'Expenditures 15-22'!I42)+'Expenditures 15-22'!K120-SUM('Expenditures 15-22'!G120,'Expenditures 15-22'!I120)+'Expenditures 15-22'!K180-SUM('Expenditures 15-22'!G180,'Expenditures 15-22'!I180)+'Expenditures 15-22'!D238</f>
        <v>86491</v>
      </c>
      <c r="H21" s="988"/>
      <c r="I21" s="162"/>
    </row>
    <row r="22" spans="1:9" s="669" customFormat="1" ht="12" customHeight="1" x14ac:dyDescent="0.2">
      <c r="A22" s="995" t="s">
        <v>585</v>
      </c>
      <c r="B22" s="996"/>
      <c r="C22" s="994">
        <v>2200</v>
      </c>
      <c r="D22" s="1825"/>
      <c r="E22" s="1827">
        <f>'Expenditures 15-22'!K47-SUM('Expenditures 15-22'!G47,'Expenditures 15-22'!I47)+'Expenditures 15-22'!D243</f>
        <v>58260</v>
      </c>
      <c r="F22" s="1825"/>
      <c r="G22" s="1828">
        <f>'Expenditures 15-22'!K47-SUM('Expenditures 15-22'!G47,'Expenditures 15-22'!I47)+'Expenditures 15-22'!D243</f>
        <v>58260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263156</v>
      </c>
      <c r="F23" s="1825"/>
      <c r="G23" s="1827">
        <f>'Expenditures 15-22'!K53-SUM('Expenditures 15-22'!G53,'Expenditures 15-22'!I53)+'Expenditures 15-22'!D257+'Expenditures 15-22'!K330-SUM('Expenditures 15-22'!G330,'Expenditures 15-22'!I330)</f>
        <v>263156</v>
      </c>
      <c r="H23" s="988"/>
      <c r="I23" s="162"/>
    </row>
    <row r="24" spans="1:9" s="669" customFormat="1" ht="12" customHeight="1" x14ac:dyDescent="0.2">
      <c r="A24" s="995" t="s">
        <v>587</v>
      </c>
      <c r="B24" s="996"/>
      <c r="C24" s="994">
        <v>2400</v>
      </c>
      <c r="D24" s="1825"/>
      <c r="E24" s="1827">
        <f>'Expenditures 15-22'!K57-SUM('Expenditures 15-22'!G57,'Expenditures 15-22'!I57)+'Expenditures 15-22'!D261</f>
        <v>204052</v>
      </c>
      <c r="F24" s="1825"/>
      <c r="G24" s="1828">
        <f>'Expenditures 15-22'!K57-SUM('Expenditures 15-22'!G57,'Expenditures 15-22'!I57)+'Expenditures 15-22'!D261</f>
        <v>204052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44413</v>
      </c>
      <c r="E27" s="1827">
        <f>E8</f>
        <v>0</v>
      </c>
      <c r="F27" s="1827">
        <f>'Expenditures 15-22'!K60-SUM('Expenditures 15-22'!G60,'Expenditures 15-22'!I60)+'Expenditures 15-22'!D264-E8</f>
        <v>44413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350615</v>
      </c>
      <c r="F28" s="1829">
        <f>'Expenditures 15-22'!K61-SUM('Expenditures 15-22'!G61,'Expenditures 15-22'!I61)+'Expenditures 15-22'!K124-SUM('Expenditures 15-22'!G124,'Expenditures 15-22'!I124)+'Expenditures 15-22'!D266-E9</f>
        <v>350615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250316</v>
      </c>
      <c r="F29" s="1825"/>
      <c r="G29" s="1828">
        <f>'Expenditures 15-22'!K62-SUM('Expenditures 15-22'!G62,'Expenditures 15-22'!I62)+'Expenditures 15-22'!K125-SUM('Expenditures 15-22'!G125,'Expenditures 15-22'!I125)+'Expenditures 15-22'!K182-SUM('Expenditures 15-22'!G182,'Expenditures 15-22'!I182)+'Expenditures 15-22'!D267</f>
        <v>250316</v>
      </c>
      <c r="H29" s="986"/>
    </row>
    <row r="30" spans="1:9" ht="12" customHeight="1" x14ac:dyDescent="0.2">
      <c r="A30" s="995" t="s">
        <v>102</v>
      </c>
      <c r="B30" s="998"/>
      <c r="C30" s="994">
        <v>2560</v>
      </c>
      <c r="D30" s="1825"/>
      <c r="E30" s="1827">
        <f>'Expenditures 15-22'!K63-SUM('Expenditures 15-22'!G63,'Expenditures 15-22'!I63)+'Expenditures 15-22'!D268-E10</f>
        <v>67269</v>
      </c>
      <c r="F30" s="1825"/>
      <c r="G30" s="1827">
        <f>'Expenditures 15-22'!K63-SUM('Expenditures 15-22'!G63,'Expenditures 15-22'!I63)+'Expenditures 15-22'!D268-E10</f>
        <v>67269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-107837</v>
      </c>
      <c r="F40" s="1825"/>
      <c r="G40" s="1829">
        <f>-'Contracts Paid in CY 29'!G141</f>
        <v>-107837</v>
      </c>
    </row>
    <row r="41" spans="1:7" ht="12" customHeight="1" x14ac:dyDescent="0.2">
      <c r="A41" s="999" t="s">
        <v>158</v>
      </c>
      <c r="B41" s="1000"/>
      <c r="C41" s="1001"/>
      <c r="D41" s="1829">
        <f>SUM(D19:D39)</f>
        <v>44413</v>
      </c>
      <c r="E41" s="1829">
        <f>SUM(E19:E40)</f>
        <v>3007683</v>
      </c>
      <c r="F41" s="1829">
        <f>SUM(F19:F39)</f>
        <v>395028</v>
      </c>
      <c r="G41" s="1829">
        <f>SUM(G19:G40)</f>
        <v>2657068</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44413</v>
      </c>
      <c r="F43" s="1830" t="s">
        <v>495</v>
      </c>
      <c r="G43" s="1831">
        <f>F41</f>
        <v>395028</v>
      </c>
    </row>
    <row r="44" spans="1:7" ht="12" customHeight="1" x14ac:dyDescent="0.2">
      <c r="A44" s="988"/>
      <c r="B44" s="162"/>
      <c r="C44" s="1002"/>
      <c r="D44" s="1830" t="s">
        <v>494</v>
      </c>
      <c r="E44" s="1831">
        <f>E41</f>
        <v>3007683</v>
      </c>
      <c r="F44" s="1830" t="s">
        <v>494</v>
      </c>
      <c r="G44" s="1831">
        <f>G41</f>
        <v>2657068</v>
      </c>
    </row>
    <row r="45" spans="1:7" ht="12" customHeight="1" x14ac:dyDescent="0.2">
      <c r="A45" s="988"/>
      <c r="B45" s="162"/>
      <c r="C45" s="162"/>
      <c r="D45" s="1832" t="s">
        <v>1063</v>
      </c>
      <c r="E45" s="1833">
        <f>(E43/E44)</f>
        <v>1.4766516285127122E-2</v>
      </c>
      <c r="F45" s="1832" t="s">
        <v>1063</v>
      </c>
      <c r="G45" s="1833">
        <f>(G43/G44)</f>
        <v>0.14867063996856686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20" sqref="D20"/>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5" t="s">
        <v>1446</v>
      </c>
      <c r="B1" s="2315"/>
      <c r="C1" s="2315"/>
      <c r="D1" s="2315"/>
      <c r="E1" s="2315"/>
      <c r="F1" s="2315"/>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6" t="s">
        <v>1627</v>
      </c>
      <c r="B5" s="2317"/>
      <c r="C5" s="2318"/>
      <c r="D5" s="2318"/>
      <c r="E5" s="2318"/>
      <c r="F5" s="2318"/>
    </row>
    <row r="6" spans="1:10" ht="12" customHeight="1" x14ac:dyDescent="0.25">
      <c r="A6" s="1875"/>
      <c r="B6" s="1876"/>
      <c r="C6" s="2319" t="str">
        <f>COVER!A17</f>
        <v>Century CUSD 100</v>
      </c>
      <c r="D6" s="2319"/>
      <c r="E6" s="2319"/>
      <c r="F6" s="1877"/>
    </row>
    <row r="7" spans="1:10" ht="11.25" customHeight="1" thickBot="1" x14ac:dyDescent="0.3">
      <c r="A7" s="1875"/>
      <c r="B7" s="1876"/>
      <c r="C7" s="2320">
        <f>COVER!A13</f>
        <v>30077100026</v>
      </c>
      <c r="D7" s="2320"/>
      <c r="E7" s="2320"/>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2081</v>
      </c>
      <c r="D26" s="1890" t="s">
        <v>2081</v>
      </c>
      <c r="E26" s="1893"/>
      <c r="F26" s="1892" t="s">
        <v>2096</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8"/>
      <c r="B39" s="1898"/>
      <c r="C39" s="1898"/>
      <c r="D39" s="1898"/>
      <c r="E39" s="1898"/>
      <c r="F39" s="1898"/>
    </row>
    <row r="40" spans="1:11" s="1895" customFormat="1" ht="12" customHeight="1" x14ac:dyDescent="0.25">
      <c r="A40" s="1899" t="s">
        <v>1458</v>
      </c>
      <c r="B40" s="1900"/>
      <c r="C40" s="2329"/>
      <c r="D40" s="2329"/>
      <c r="E40" s="2329"/>
      <c r="F40" s="2330"/>
      <c r="H40" s="1904"/>
      <c r="I40" s="1904"/>
      <c r="J40" s="1904"/>
      <c r="K40" s="1904"/>
    </row>
    <row r="41" spans="1:11" s="1895" customFormat="1" ht="12" customHeight="1" x14ac:dyDescent="0.25">
      <c r="A41" s="2331"/>
      <c r="B41" s="2332"/>
      <c r="C41" s="2332"/>
      <c r="D41" s="2332"/>
      <c r="E41" s="2332"/>
      <c r="F41" s="2333"/>
      <c r="H41" s="1904"/>
      <c r="I41" s="1904"/>
      <c r="J41" s="1904"/>
      <c r="K41" s="1904"/>
    </row>
    <row r="42" spans="1:11" s="1895" customFormat="1" ht="12" customHeight="1" x14ac:dyDescent="0.25">
      <c r="A42" s="2331"/>
      <c r="B42" s="2332"/>
      <c r="C42" s="2332"/>
      <c r="D42" s="2332"/>
      <c r="E42" s="2332"/>
      <c r="F42" s="2333"/>
      <c r="H42" s="1904"/>
      <c r="I42" s="1904"/>
      <c r="J42" s="1904"/>
      <c r="K42" s="1904"/>
    </row>
    <row r="43" spans="1:11" s="1895" customFormat="1" ht="15" x14ac:dyDescent="0.25">
      <c r="A43" s="2323"/>
      <c r="B43" s="2324"/>
      <c r="C43" s="2324"/>
      <c r="D43" s="2324"/>
      <c r="E43" s="2324"/>
      <c r="F43" s="2325"/>
      <c r="H43" s="1904"/>
      <c r="I43" s="1904"/>
      <c r="J43" s="1904"/>
      <c r="K43" s="1904"/>
    </row>
    <row r="44" spans="1:11" s="1895" customFormat="1" ht="12" hidden="1" customHeight="1" x14ac:dyDescent="0.25">
      <c r="A44" s="2323"/>
      <c r="B44" s="2324"/>
      <c r="C44" s="2324"/>
      <c r="D44" s="2324"/>
      <c r="E44" s="2324"/>
      <c r="F44" s="232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9" t="str">
        <f>COVER!A17</f>
        <v>Century CUSD 100</v>
      </c>
      <c r="J6" s="2340"/>
      <c r="Q6" s="1686"/>
    </row>
    <row r="7" spans="1:17" x14ac:dyDescent="0.2">
      <c r="A7" s="2341" t="s">
        <v>924</v>
      </c>
      <c r="B7" s="2342"/>
      <c r="C7" s="2342"/>
      <c r="D7" s="2342"/>
      <c r="E7" s="2343"/>
      <c r="F7" s="1018"/>
      <c r="G7" s="1010"/>
      <c r="H7" s="1017" t="s">
        <v>390</v>
      </c>
      <c r="I7" s="2344">
        <f>COVER!A13</f>
        <v>30077100026</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104959</v>
      </c>
      <c r="F12" s="1040"/>
      <c r="G12" s="1834">
        <f t="shared" ref="G12:G18" si="0">SUM(E12:F12)</f>
        <v>104959</v>
      </c>
      <c r="H12" s="1041">
        <v>108500</v>
      </c>
      <c r="I12" s="1040"/>
      <c r="J12" s="1834">
        <f t="shared" ref="J12:J18" si="1">SUM(H12:I12)</f>
        <v>108500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104959</v>
      </c>
      <c r="F19" s="1836">
        <f t="shared" si="2"/>
        <v>0</v>
      </c>
      <c r="G19" s="1836">
        <f t="shared" si="2"/>
        <v>104959</v>
      </c>
      <c r="H19" s="1836">
        <f t="shared" si="2"/>
        <v>108500</v>
      </c>
      <c r="I19" s="1836">
        <f t="shared" si="2"/>
        <v>0</v>
      </c>
      <c r="J19" s="1836">
        <f t="shared" si="2"/>
        <v>108500</v>
      </c>
    </row>
    <row r="20" spans="1:10" ht="13.5" thickTop="1" x14ac:dyDescent="0.2">
      <c r="A20" s="1036">
        <v>9</v>
      </c>
      <c r="B20" s="2351" t="s">
        <v>1703</v>
      </c>
      <c r="C20" s="2351"/>
      <c r="D20" s="2352"/>
      <c r="E20" s="1047"/>
      <c r="F20" s="1047"/>
      <c r="G20" s="1047"/>
      <c r="H20" s="1047"/>
      <c r="I20" s="1047"/>
      <c r="J20" s="1837">
        <f>IF(AND(G19&gt;0,J19&gt;0),(((J19-G19)/G19)),"Enter Budget Data")</f>
        <v>3.3736983012414373E-2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1944</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D71"/>
  <sheetViews>
    <sheetView showGridLines="0" zoomScale="85" zoomScaleNormal="85" workbookViewId="0">
      <selection activeCell="D20" sqref="D20"/>
    </sheetView>
  </sheetViews>
  <sheetFormatPr defaultColWidth="9.140625" defaultRowHeight="12.75" x14ac:dyDescent="0.2"/>
  <cols>
    <col min="1" max="1" width="3" style="329" customWidth="1"/>
    <col min="2" max="2" width="72.140625" style="329" customWidth="1"/>
    <col min="3" max="3" width="3.140625" style="329" customWidth="1"/>
    <col min="4" max="4" width="10" style="329" bestFit="1" customWidth="1"/>
    <col min="5" max="16384" width="9.140625" style="329"/>
  </cols>
  <sheetData>
    <row r="2" spans="1:4" x14ac:dyDescent="0.2">
      <c r="A2" s="389" t="s">
        <v>276</v>
      </c>
    </row>
    <row r="3" spans="1:4" x14ac:dyDescent="0.2">
      <c r="A3" s="329" t="s">
        <v>277</v>
      </c>
    </row>
    <row r="5" spans="1:4" ht="15.75" x14ac:dyDescent="0.25">
      <c r="A5" s="1069">
        <v>1</v>
      </c>
      <c r="B5" s="1956" t="s">
        <v>2097</v>
      </c>
      <c r="C5" s="1956"/>
      <c r="D5" s="1956"/>
    </row>
    <row r="6" spans="1:4" ht="16.5" thickBot="1" x14ac:dyDescent="0.3">
      <c r="A6" s="1069"/>
      <c r="B6" s="1956" t="s">
        <v>2098</v>
      </c>
      <c r="C6" s="1956"/>
      <c r="D6" s="1957">
        <v>9225</v>
      </c>
    </row>
    <row r="7" spans="1:4" ht="16.5" thickTop="1" x14ac:dyDescent="0.25">
      <c r="A7" s="1069"/>
      <c r="B7" s="1956"/>
      <c r="C7" s="1956"/>
      <c r="D7" s="1959"/>
    </row>
    <row r="8" spans="1:4" ht="15.75" x14ac:dyDescent="0.25">
      <c r="A8" s="1069">
        <v>2</v>
      </c>
      <c r="B8" s="1956" t="s">
        <v>2099</v>
      </c>
      <c r="C8" s="1956"/>
      <c r="D8" s="1958"/>
    </row>
    <row r="9" spans="1:4" ht="16.5" thickBot="1" x14ac:dyDescent="0.3">
      <c r="A9" s="1069"/>
      <c r="B9" s="1956" t="s">
        <v>2100</v>
      </c>
      <c r="C9" s="1956"/>
      <c r="D9" s="1957">
        <v>923</v>
      </c>
    </row>
    <row r="10" spans="1:4" ht="16.5" thickTop="1" x14ac:dyDescent="0.25">
      <c r="A10" s="1069"/>
      <c r="B10" s="1956"/>
      <c r="C10" s="1956"/>
      <c r="D10" s="1959"/>
    </row>
    <row r="11" spans="1:4" ht="15.75" x14ac:dyDescent="0.25">
      <c r="A11" s="1069">
        <v>3</v>
      </c>
      <c r="B11" s="1956" t="s">
        <v>2101</v>
      </c>
      <c r="C11" s="1956"/>
      <c r="D11" s="1958"/>
    </row>
    <row r="12" spans="1:4" ht="16.5" thickBot="1" x14ac:dyDescent="0.3">
      <c r="A12" s="1069"/>
      <c r="B12" s="1956" t="s">
        <v>2102</v>
      </c>
      <c r="C12" s="1956"/>
      <c r="D12" s="1957">
        <v>3049</v>
      </c>
    </row>
    <row r="13" spans="1:4" ht="16.5" thickTop="1" x14ac:dyDescent="0.25">
      <c r="A13" s="1069"/>
      <c r="B13" s="1956"/>
      <c r="C13" s="1956"/>
      <c r="D13" s="1959"/>
    </row>
    <row r="14" spans="1:4" ht="15.75" x14ac:dyDescent="0.25">
      <c r="A14" s="1069">
        <v>4</v>
      </c>
      <c r="B14" s="1956" t="s">
        <v>2103</v>
      </c>
      <c r="C14" s="1956"/>
      <c r="D14" s="1959"/>
    </row>
    <row r="15" spans="1:4" ht="16.5" thickBot="1" x14ac:dyDescent="0.3">
      <c r="A15" s="1070"/>
      <c r="B15" s="1956" t="s">
        <v>2104</v>
      </c>
      <c r="C15" s="1956"/>
      <c r="D15" s="1957">
        <v>371</v>
      </c>
    </row>
    <row r="16" spans="1:4" ht="16.5" thickTop="1" x14ac:dyDescent="0.25">
      <c r="A16" s="1070"/>
      <c r="B16" s="1956"/>
      <c r="C16" s="1956"/>
      <c r="D16" s="1956"/>
    </row>
    <row r="17" spans="1:4" ht="15.75" x14ac:dyDescent="0.25">
      <c r="A17" s="1070"/>
      <c r="B17" s="1956"/>
      <c r="C17" s="1956"/>
      <c r="D17" s="1959"/>
    </row>
    <row r="18" spans="1:4" x14ac:dyDescent="0.2">
      <c r="A18" s="1070"/>
    </row>
    <row r="19" spans="1:4" x14ac:dyDescent="0.2">
      <c r="A19" s="1070"/>
    </row>
    <row r="20" spans="1:4" x14ac:dyDescent="0.2">
      <c r="A20" s="1070"/>
    </row>
    <row r="21" spans="1:4" x14ac:dyDescent="0.2">
      <c r="A21" s="1070"/>
    </row>
    <row r="22" spans="1:4" x14ac:dyDescent="0.2">
      <c r="A22" s="1070"/>
    </row>
    <row r="23" spans="1:4" x14ac:dyDescent="0.2">
      <c r="A23" s="1070"/>
    </row>
    <row r="24" spans="1:4" x14ac:dyDescent="0.2">
      <c r="A24" s="1070"/>
    </row>
    <row r="25" spans="1:4" x14ac:dyDescent="0.2">
      <c r="A25" s="1070"/>
    </row>
    <row r="26" spans="1:4" x14ac:dyDescent="0.2">
      <c r="A26" s="1070"/>
    </row>
    <row r="27" spans="1:4" x14ac:dyDescent="0.2">
      <c r="A27" s="1070"/>
    </row>
    <row r="28" spans="1:4" x14ac:dyDescent="0.2">
      <c r="A28" s="1070"/>
    </row>
    <row r="29" spans="1:4" x14ac:dyDescent="0.2">
      <c r="A29" s="1070"/>
    </row>
    <row r="30" spans="1:4" x14ac:dyDescent="0.2">
      <c r="A30" s="1070"/>
    </row>
    <row r="31" spans="1:4" x14ac:dyDescent="0.2">
      <c r="A31" s="1070"/>
    </row>
    <row r="32" spans="1:4"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row>
    <row r="70" spans="1:2" x14ac:dyDescent="0.2">
      <c r="A70" s="1070"/>
      <c r="B70" s="258" t="str">
        <f>COVER!A17</f>
        <v>Century CUSD 100</v>
      </c>
    </row>
    <row r="71" spans="1:2" x14ac:dyDescent="0.2">
      <c r="B71" s="1071">
        <f>COVER!A13</f>
        <v>30077100026</v>
      </c>
    </row>
  </sheetData>
  <phoneticPr fontId="14" type="noConversion"/>
  <printOptions horizontalCentered="1" verticalCentered="1"/>
  <pageMargins left="1" right="1" top="1" bottom="1" header="0.5" footer="1"/>
  <pageSetup scale="7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2000250</xdr:colOff>
                <xdr:row>3</xdr:row>
                <xdr:rowOff>142875</xdr:rowOff>
              </from>
              <to>
                <xdr:col>1</xdr:col>
                <xdr:colOff>2914650</xdr:colOff>
                <xdr:row>8</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5"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2056</v>
      </c>
      <c r="B4" s="2379"/>
      <c r="C4" s="2379"/>
      <c r="D4" s="2379"/>
      <c r="E4" s="2379"/>
      <c r="F4" s="2380"/>
      <c r="G4" s="1075"/>
      <c r="H4" s="1075"/>
    </row>
    <row r="5" spans="1:8" ht="14.25" customHeight="1" x14ac:dyDescent="0.2">
      <c r="A5" s="2381" t="s">
        <v>2057</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3175362</v>
      </c>
      <c r="C8" s="1838">
        <f>'Acct Summary 7-8'!D8</f>
        <v>78943</v>
      </c>
      <c r="D8" s="1838">
        <f>'Acct Summary 7-8'!F8</f>
        <v>312942</v>
      </c>
      <c r="E8" s="1838">
        <f>'Acct Summary 7-8'!I8</f>
        <v>7854</v>
      </c>
      <c r="F8" s="1838">
        <f>SUM(B8:E8)</f>
        <v>3575101</v>
      </c>
    </row>
    <row r="9" spans="1:8" s="1080" customFormat="1" ht="14.25" customHeight="1" thickBot="1" x14ac:dyDescent="0.25">
      <c r="A9" s="1079" t="s">
        <v>1436</v>
      </c>
      <c r="B9" s="1839">
        <f>'Acct Summary 7-8'!C17</f>
        <v>2931434</v>
      </c>
      <c r="C9" s="1839">
        <f>'Acct Summary 7-8'!D17</f>
        <v>111064</v>
      </c>
      <c r="D9" s="1839">
        <f>'Acct Summary 7-8'!F17</f>
        <v>297290</v>
      </c>
      <c r="E9" s="1838"/>
      <c r="F9" s="1838">
        <f>SUM(B9:E9)</f>
        <v>3339788</v>
      </c>
    </row>
    <row r="10" spans="1:8" s="1080" customFormat="1" ht="14.25" thickTop="1" thickBot="1" x14ac:dyDescent="0.25">
      <c r="A10" s="1081" t="s">
        <v>1437</v>
      </c>
      <c r="B10" s="1840">
        <f>(B8-B9)</f>
        <v>243928</v>
      </c>
      <c r="C10" s="1840">
        <f>(C8-C9)</f>
        <v>-32121</v>
      </c>
      <c r="D10" s="1840">
        <f>(D8-D9)</f>
        <v>15652</v>
      </c>
      <c r="E10" s="1839">
        <f>(E8-E9)</f>
        <v>7854</v>
      </c>
      <c r="F10" s="1841">
        <f>SUM(F8-F9)</f>
        <v>235313</v>
      </c>
    </row>
    <row r="11" spans="1:8" s="1080" customFormat="1" ht="14.25" thickTop="1" thickBot="1" x14ac:dyDescent="0.25">
      <c r="A11" s="1082" t="s">
        <v>1785</v>
      </c>
      <c r="B11" s="1842">
        <f>'Acct Summary 7-8'!C81</f>
        <v>1599104</v>
      </c>
      <c r="C11" s="1842">
        <f>'Acct Summary 7-8'!D81</f>
        <v>64035</v>
      </c>
      <c r="D11" s="1842">
        <f>'Acct Summary 7-8'!F81</f>
        <v>207299</v>
      </c>
      <c r="E11" s="1842">
        <f>'Acct Summary 7-8'!I81</f>
        <v>0</v>
      </c>
      <c r="F11" s="1843">
        <f>SUM(B11:E11)</f>
        <v>1870438</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30077100026</v>
      </c>
    </row>
    <row r="3" spans="1:2" x14ac:dyDescent="0.2">
      <c r="A3" t="s">
        <v>1013</v>
      </c>
      <c r="B3" s="138" t="str">
        <f>COVER!A15</f>
        <v>Pulaski</v>
      </c>
    </row>
    <row r="4" spans="1:2" x14ac:dyDescent="0.2">
      <c r="A4" t="s">
        <v>1064</v>
      </c>
      <c r="B4" s="138" t="str">
        <f>COVER!A17</f>
        <v>Century CUSD 100</v>
      </c>
    </row>
    <row r="5" spans="1:2" x14ac:dyDescent="0.2">
      <c r="A5" t="s">
        <v>728</v>
      </c>
      <c r="B5" s="138" t="str">
        <f>COVER!A38</f>
        <v>Landon Sommer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066-003889</v>
      </c>
    </row>
    <row r="16" spans="1:2" x14ac:dyDescent="0.2">
      <c r="A16" t="s">
        <v>442</v>
      </c>
      <c r="B16" s="138" t="str">
        <f>COVER!T13</f>
        <v>Beussink, Hey, Roe &amp; Stroder</v>
      </c>
    </row>
    <row r="17" spans="1:2" x14ac:dyDescent="0.2">
      <c r="A17" t="s">
        <v>939</v>
      </c>
      <c r="B17" s="138" t="str">
        <f>COVER!T15</f>
        <v>Jeffrey C. Stroder, CPA</v>
      </c>
    </row>
    <row r="18" spans="1:2" x14ac:dyDescent="0.2">
      <c r="A18" t="s">
        <v>1212</v>
      </c>
      <c r="B18" s="138" t="str">
        <f>COVER!T17</f>
        <v>16 South Silver Springs Road</v>
      </c>
    </row>
    <row r="19" spans="1:2" x14ac:dyDescent="0.2">
      <c r="A19" t="s">
        <v>941</v>
      </c>
      <c r="B19" s="138" t="str">
        <f>COVER!T25</f>
        <v>jstroder@bhrscpas.com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9225</v>
      </c>
      <c r="D76" s="2" t="str">
        <f t="shared" si="0"/>
        <v>Error?</v>
      </c>
    </row>
    <row r="77" spans="1:4" x14ac:dyDescent="0.2">
      <c r="A77" s="5">
        <v>16</v>
      </c>
      <c r="B77" s="138">
        <f>'Assets-Liab 5-6'!C13</f>
        <v>1599104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1599104</v>
      </c>
      <c r="D92" s="2" t="str">
        <f t="shared" si="0"/>
        <v>Error?</v>
      </c>
    </row>
    <row r="93" spans="1:4" x14ac:dyDescent="0.2">
      <c r="A93" s="5">
        <v>32</v>
      </c>
      <c r="B93" s="138">
        <f>'Assets-Liab 5-6'!C41</f>
        <v>1599104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64035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64035</v>
      </c>
      <c r="D123" s="2" t="str">
        <f t="shared" si="0"/>
        <v>Error?</v>
      </c>
    </row>
    <row r="124" spans="1:4" x14ac:dyDescent="0.2">
      <c r="A124" s="5">
        <v>63</v>
      </c>
      <c r="B124" s="138">
        <f>'Assets-Liab 5-6'!D41</f>
        <v>64035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74923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74923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207299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207299</v>
      </c>
      <c r="D170" s="2" t="str">
        <f t="shared" si="1"/>
        <v>Error?</v>
      </c>
    </row>
    <row r="171" spans="1:4" x14ac:dyDescent="0.2">
      <c r="A171" s="5">
        <v>110</v>
      </c>
      <c r="B171" s="138">
        <f>'Assets-Liab 5-6'!F41</f>
        <v>207299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149093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149093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784684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784684</v>
      </c>
      <c r="D212" s="2" t="str">
        <f t="shared" si="2"/>
        <v>Error?</v>
      </c>
    </row>
    <row r="213" spans="1:4" x14ac:dyDescent="0.2">
      <c r="A213" s="12">
        <v>152</v>
      </c>
      <c r="B213" s="138">
        <f>'Assets-Liab 5-6'!H41</f>
        <v>784684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46865</v>
      </c>
      <c r="D273" s="2" t="str">
        <f t="shared" si="3"/>
        <v>Error?</v>
      </c>
    </row>
    <row r="274" spans="1:4" x14ac:dyDescent="0.2">
      <c r="A274" s="5">
        <v>213</v>
      </c>
      <c r="B274" s="138">
        <f>'Assets-Liab 5-6'!M17</f>
        <v>8217457</v>
      </c>
      <c r="D274" s="2" t="str">
        <f t="shared" si="3"/>
        <v>Error?</v>
      </c>
    </row>
    <row r="275" spans="1:4" x14ac:dyDescent="0.2">
      <c r="A275" s="5">
        <v>214</v>
      </c>
      <c r="B275" s="138">
        <f>'Assets-Liab 5-6'!M18</f>
        <v>322871</v>
      </c>
      <c r="D275" s="2" t="str">
        <f t="shared" si="3"/>
        <v>Error?</v>
      </c>
    </row>
    <row r="276" spans="1:4" x14ac:dyDescent="0.2">
      <c r="A276" s="5">
        <v>215</v>
      </c>
      <c r="B276" s="138">
        <f>'Assets-Liab 5-6'!M19</f>
        <v>2333089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10951207</v>
      </c>
      <c r="C279" s="2" t="s">
        <v>594</v>
      </c>
      <c r="D279" s="2" t="str">
        <f t="shared" si="3"/>
        <v>Error?</v>
      </c>
    </row>
    <row r="280" spans="1:4" x14ac:dyDescent="0.2">
      <c r="A280" s="5">
        <v>219</v>
      </c>
      <c r="B280" s="138">
        <f>'Assets-Liab 5-6'!M40</f>
        <v>10951207</v>
      </c>
      <c r="D280" s="2" t="str">
        <f t="shared" si="3"/>
        <v>Error?</v>
      </c>
    </row>
    <row r="281" spans="1:4" x14ac:dyDescent="0.2">
      <c r="A281" s="5">
        <v>220</v>
      </c>
      <c r="B281" s="138">
        <f>'Assets-Liab 5-6'!M41</f>
        <v>10951207</v>
      </c>
      <c r="C281" s="2" t="s">
        <v>594</v>
      </c>
      <c r="D281" s="2" t="str">
        <f t="shared" si="3"/>
        <v>Error?</v>
      </c>
    </row>
    <row r="282" spans="1:4" x14ac:dyDescent="0.2">
      <c r="A282" s="5">
        <v>221</v>
      </c>
      <c r="B282" s="138">
        <f>'Assets-Liab 5-6'!N21</f>
        <v>74923</v>
      </c>
      <c r="D282" s="2" t="str">
        <f t="shared" si="3"/>
        <v>Error?</v>
      </c>
    </row>
    <row r="283" spans="1:4" x14ac:dyDescent="0.2">
      <c r="A283" s="5">
        <v>222</v>
      </c>
      <c r="B283" s="138">
        <f>'Assets-Liab 5-6'!N22</f>
        <v>2971821</v>
      </c>
      <c r="D283" s="2" t="str">
        <f t="shared" si="3"/>
        <v>Error?</v>
      </c>
    </row>
    <row r="284" spans="1:4" x14ac:dyDescent="0.2">
      <c r="A284" s="5">
        <v>223</v>
      </c>
      <c r="B284" s="138">
        <f>'Assets-Liab 5-6'!N23</f>
        <v>3046744</v>
      </c>
      <c r="C284" s="2" t="s">
        <v>594</v>
      </c>
      <c r="D284" s="2" t="str">
        <f t="shared" si="3"/>
        <v>Error?</v>
      </c>
    </row>
    <row r="285" spans="1:4" x14ac:dyDescent="0.2">
      <c r="A285" s="5">
        <v>224</v>
      </c>
      <c r="B285" s="138">
        <f>'Assets-Liab 5-6'!N36</f>
        <v>3046744</v>
      </c>
      <c r="D285" s="2" t="str">
        <f t="shared" si="3"/>
        <v>Error?</v>
      </c>
    </row>
    <row r="286" spans="1:4" x14ac:dyDescent="0.2">
      <c r="A286" s="10">
        <v>225</v>
      </c>
      <c r="D286" s="2" t="str">
        <f t="shared" si="3"/>
        <v>OK</v>
      </c>
    </row>
    <row r="287" spans="1:4" x14ac:dyDescent="0.2">
      <c r="A287" s="5">
        <v>226</v>
      </c>
      <c r="B287" s="138">
        <f>'Assets-Liab 5-6'!N37</f>
        <v>3046744</v>
      </c>
      <c r="C287" s="2" t="s">
        <v>594</v>
      </c>
      <c r="D287" s="2" t="str">
        <f t="shared" si="3"/>
        <v>Error?</v>
      </c>
    </row>
    <row r="288" spans="1:4" x14ac:dyDescent="0.2">
      <c r="A288" s="5">
        <v>227</v>
      </c>
      <c r="B288" s="138">
        <f>'Assets-Liab 5-6'!N41</f>
        <v>3046744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7854</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1002766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77849</v>
      </c>
      <c r="D717" s="2" t="str">
        <f t="shared" si="10"/>
        <v>Error?</v>
      </c>
    </row>
    <row r="718" spans="1:4" x14ac:dyDescent="0.2">
      <c r="A718" s="5">
        <v>657</v>
      </c>
      <c r="B718" s="138">
        <f>'Expenditures 15-22'!C14</f>
        <v>39805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1519128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48486</v>
      </c>
      <c r="D722" s="2" t="str">
        <f t="shared" si="10"/>
        <v>Error?</v>
      </c>
    </row>
    <row r="723" spans="1:4" x14ac:dyDescent="0.2">
      <c r="A723" s="5">
        <v>662</v>
      </c>
      <c r="B723" s="138">
        <f>'Expenditures 15-22'!C38</f>
        <v>24261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72747</v>
      </c>
      <c r="C727" s="2" t="s">
        <v>594</v>
      </c>
      <c r="D727" s="2" t="str">
        <f t="shared" si="10"/>
        <v>Error?</v>
      </c>
    </row>
    <row r="728" spans="1:4" x14ac:dyDescent="0.2">
      <c r="A728" s="5">
        <v>667</v>
      </c>
      <c r="B728" s="138">
        <f>'Expenditures 15-22'!C44</f>
        <v>30008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30008</v>
      </c>
      <c r="C731" s="2" t="s">
        <v>594</v>
      </c>
      <c r="D731" s="2" t="str">
        <f t="shared" si="10"/>
        <v>Error?</v>
      </c>
    </row>
    <row r="732" spans="1:4" x14ac:dyDescent="0.2">
      <c r="A732" s="5">
        <v>671</v>
      </c>
      <c r="B732" s="138">
        <f>'Expenditures 15-22'!C49</f>
        <v>2905</v>
      </c>
      <c r="D732" s="2" t="str">
        <f t="shared" si="10"/>
        <v>Error?</v>
      </c>
    </row>
    <row r="733" spans="1:4" x14ac:dyDescent="0.2">
      <c r="A733" s="5">
        <v>672</v>
      </c>
      <c r="B733" s="138">
        <f>'Expenditures 15-22'!C50</f>
        <v>98521</v>
      </c>
      <c r="D733" s="2" t="str">
        <f t="shared" si="10"/>
        <v>Error?</v>
      </c>
    </row>
    <row r="734" spans="1:4" x14ac:dyDescent="0.2">
      <c r="A734" s="5">
        <v>673</v>
      </c>
      <c r="B734" s="138">
        <f>'Expenditures 15-22'!C53</f>
        <v>101426</v>
      </c>
      <c r="C734" s="2" t="s">
        <v>594</v>
      </c>
      <c r="D734" s="2" t="str">
        <f t="shared" si="10"/>
        <v>Error?</v>
      </c>
    </row>
    <row r="735" spans="1:4" x14ac:dyDescent="0.2">
      <c r="A735" s="5">
        <v>674</v>
      </c>
      <c r="B735" s="138">
        <f>'Expenditures 15-22'!C55</f>
        <v>149382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149382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35668</v>
      </c>
      <c r="D739" s="2" t="str">
        <f t="shared" si="10"/>
        <v>Error?</v>
      </c>
    </row>
    <row r="740" spans="1:4" x14ac:dyDescent="0.2">
      <c r="A740" s="5">
        <v>679</v>
      </c>
      <c r="B740" s="138">
        <f>'Expenditures 15-22'!C61</f>
        <v>96291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57100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189059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542622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2061750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75671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902</v>
      </c>
      <c r="D775" s="2" t="str">
        <f t="shared" si="11"/>
        <v>Error?</v>
      </c>
    </row>
    <row r="776" spans="1:4" x14ac:dyDescent="0.2">
      <c r="A776" s="5">
        <v>715</v>
      </c>
      <c r="B776" s="138">
        <f>'Expenditures 15-22'!D14</f>
        <v>1580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98794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2915</v>
      </c>
      <c r="D780" s="2" t="str">
        <f t="shared" si="11"/>
        <v>Error?</v>
      </c>
    </row>
    <row r="781" spans="1:4" x14ac:dyDescent="0.2">
      <c r="A781" s="5">
        <v>720</v>
      </c>
      <c r="B781" s="138">
        <f>'Expenditures 15-22'!D38</f>
        <v>64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2979</v>
      </c>
      <c r="C785" s="2" t="s">
        <v>594</v>
      </c>
      <c r="D785" s="2" t="str">
        <f t="shared" si="11"/>
        <v>Error?</v>
      </c>
    </row>
    <row r="786" spans="1:4" x14ac:dyDescent="0.2">
      <c r="A786" s="5">
        <v>725</v>
      </c>
      <c r="B786" s="138">
        <f>'Expenditures 15-22'!D44</f>
        <v>1065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1065</v>
      </c>
      <c r="C789" s="2" t="s">
        <v>594</v>
      </c>
      <c r="D789" s="2" t="str">
        <f t="shared" si="11"/>
        <v>Error?</v>
      </c>
    </row>
    <row r="790" spans="1:4" x14ac:dyDescent="0.2">
      <c r="A790" s="5">
        <v>729</v>
      </c>
      <c r="B790" s="138">
        <f>'Expenditures 15-22'!D49</f>
        <v>24675</v>
      </c>
      <c r="D790" s="2" t="str">
        <f t="shared" si="11"/>
        <v>Error?</v>
      </c>
    </row>
    <row r="791" spans="1:4" x14ac:dyDescent="0.2">
      <c r="A791" s="5">
        <v>730</v>
      </c>
      <c r="B791" s="138">
        <f>'Expenditures 15-22'!D50</f>
        <v>4647</v>
      </c>
      <c r="D791" s="2" t="str">
        <f t="shared" si="11"/>
        <v>Error?</v>
      </c>
    </row>
    <row r="792" spans="1:4" x14ac:dyDescent="0.2">
      <c r="A792" s="5">
        <v>731</v>
      </c>
      <c r="B792" s="138">
        <f>'Expenditures 15-22'!D53</f>
        <v>29322</v>
      </c>
      <c r="C792" s="2" t="s">
        <v>594</v>
      </c>
      <c r="D792" s="2" t="str">
        <f t="shared" si="11"/>
        <v>Error?</v>
      </c>
    </row>
    <row r="793" spans="1:4" x14ac:dyDescent="0.2">
      <c r="A793" s="5">
        <v>732</v>
      </c>
      <c r="B793" s="138">
        <f>'Expenditures 15-22'!D55</f>
        <v>6323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6323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8896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9111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48800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147594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28030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14850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43719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5225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5225</v>
      </c>
      <c r="C843" s="2" t="s">
        <v>594</v>
      </c>
      <c r="D843" s="2" t="str">
        <f t="shared" si="12"/>
        <v>Error?</v>
      </c>
    </row>
    <row r="844" spans="1:4" x14ac:dyDescent="0.2">
      <c r="A844" s="5">
        <v>783</v>
      </c>
      <c r="B844" s="138">
        <f>'Expenditures 15-22'!E44</f>
        <v>26129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26129</v>
      </c>
      <c r="C847" s="2" t="s">
        <v>594</v>
      </c>
      <c r="D847" s="2" t="str">
        <f t="shared" si="12"/>
        <v>Error?</v>
      </c>
    </row>
    <row r="848" spans="1:4" x14ac:dyDescent="0.2">
      <c r="A848" s="5">
        <v>787</v>
      </c>
      <c r="B848" s="138">
        <f>'Expenditures 15-22'!E49</f>
        <v>44027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44027</v>
      </c>
      <c r="C850" s="2" t="s">
        <v>594</v>
      </c>
      <c r="D850" s="2" t="str">
        <f t="shared" si="12"/>
        <v>Error?</v>
      </c>
    </row>
    <row r="851" spans="1:4" x14ac:dyDescent="0.2">
      <c r="A851" s="5">
        <v>790</v>
      </c>
      <c r="B851" s="138">
        <f>'Expenditures 15-22'!E55</f>
        <v>23898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23898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771</v>
      </c>
      <c r="D855" s="2" t="str">
        <f t="shared" si="12"/>
        <v>Error?</v>
      </c>
    </row>
    <row r="856" spans="1:4" x14ac:dyDescent="0.2">
      <c r="A856" s="5">
        <v>795</v>
      </c>
      <c r="B856" s="138">
        <f>'Expenditures 15-22'!E61</f>
        <v>6757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10007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109286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153005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68867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2360</v>
      </c>
      <c r="D891" s="2" t="str">
        <f t="shared" si="12"/>
        <v>Error?</v>
      </c>
    </row>
    <row r="892" spans="1:4" x14ac:dyDescent="0.2">
      <c r="A892" s="5">
        <v>831</v>
      </c>
      <c r="B892" s="138">
        <f>'Expenditures 15-22'!F14</f>
        <v>9460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102668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123</v>
      </c>
      <c r="D896" s="2" t="str">
        <f t="shared" si="13"/>
        <v>Error?</v>
      </c>
    </row>
    <row r="897" spans="1:4" x14ac:dyDescent="0.2">
      <c r="A897" s="5">
        <v>836</v>
      </c>
      <c r="B897" s="138">
        <f>'Expenditures 15-22'!F38</f>
        <v>798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648</v>
      </c>
      <c r="C905" s="2" t="s">
        <v>594</v>
      </c>
      <c r="D905" s="2" t="str">
        <f t="shared" si="13"/>
        <v>Error?</v>
      </c>
    </row>
    <row r="906" spans="1:4" x14ac:dyDescent="0.2">
      <c r="A906" s="5">
        <v>845</v>
      </c>
      <c r="B906" s="138">
        <f>'Expenditures 15-22'!F49</f>
        <v>2607</v>
      </c>
      <c r="D906" s="2" t="str">
        <f t="shared" si="13"/>
        <v>Error?</v>
      </c>
    </row>
    <row r="907" spans="1:4" x14ac:dyDescent="0.2">
      <c r="A907" s="5">
        <v>846</v>
      </c>
      <c r="B907" s="138">
        <f>'Expenditures 15-22'!F50</f>
        <v>986</v>
      </c>
      <c r="D907" s="2" t="str">
        <f t="shared" si="13"/>
        <v>Error?</v>
      </c>
    </row>
    <row r="908" spans="1:4" x14ac:dyDescent="0.2">
      <c r="A908" s="5">
        <v>847</v>
      </c>
      <c r="B908" s="138">
        <f>'Expenditures 15-22'!F53</f>
        <v>3593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498</v>
      </c>
      <c r="D913" s="2" t="str">
        <f t="shared" si="13"/>
        <v>Error?</v>
      </c>
    </row>
    <row r="914" spans="1:4" x14ac:dyDescent="0.2">
      <c r="A914" s="5">
        <v>853</v>
      </c>
      <c r="B914" s="138">
        <f>'Expenditures 15-22'!F61</f>
        <v>115227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145732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261457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266619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369287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650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24645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24645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2651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12897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6613</v>
      </c>
      <c r="D1022" s="2" t="str">
        <f t="shared" si="14"/>
        <v>Error?</v>
      </c>
    </row>
    <row r="1023" spans="1:4" x14ac:dyDescent="0.2">
      <c r="A1023" s="5">
        <v>962</v>
      </c>
      <c r="B1023" s="138">
        <f>'Expenditures 15-22'!H50</f>
        <v>805</v>
      </c>
      <c r="D1023" s="2" t="str">
        <f t="shared" ref="D1023:D1086" si="15">IF(ISBLANK(B1023),"OK",IF(A1023-B1023=0,"OK","Error?"))</f>
        <v>Error?</v>
      </c>
    </row>
    <row r="1024" spans="1:4" x14ac:dyDescent="0.2">
      <c r="A1024" s="5">
        <v>963</v>
      </c>
      <c r="B1024" s="138">
        <f>'Expenditures 15-22'!H53</f>
        <v>7418</v>
      </c>
      <c r="C1024" s="2" t="s">
        <v>594</v>
      </c>
      <c r="D1024" s="2" t="str">
        <f t="shared" si="15"/>
        <v>Error?</v>
      </c>
    </row>
    <row r="1025" spans="1:4" x14ac:dyDescent="0.2">
      <c r="A1025" s="5">
        <v>964</v>
      </c>
      <c r="B1025" s="138">
        <f>'Expenditures 15-22'!H55</f>
        <v>13796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13796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1658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2213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23427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138829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175153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1183079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81761</v>
      </c>
      <c r="C1105" s="2" t="s">
        <v>594</v>
      </c>
      <c r="D1105" s="2" t="str">
        <f t="shared" si="16"/>
        <v>Error?</v>
      </c>
    </row>
    <row r="1106" spans="1:4" x14ac:dyDescent="0.2">
      <c r="A1106" s="5">
        <v>1045</v>
      </c>
      <c r="B1106" s="138">
        <f>'Expenditures 15-22'!K14</f>
        <v>68346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1801851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51524</v>
      </c>
      <c r="C1110" s="2" t="s">
        <v>594</v>
      </c>
      <c r="D1110" s="2" t="str">
        <f t="shared" si="16"/>
        <v>Error?</v>
      </c>
    </row>
    <row r="1111" spans="1:4" x14ac:dyDescent="0.2">
      <c r="A1111" s="5">
        <v>1050</v>
      </c>
      <c r="B1111" s="138">
        <f>'Expenditures 15-22'!K38</f>
        <v>30348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81872</v>
      </c>
      <c r="C1115" s="2" t="s">
        <v>594</v>
      </c>
      <c r="D1115" s="2" t="str">
        <f t="shared" si="16"/>
        <v>Error?</v>
      </c>
    </row>
    <row r="1116" spans="1:4" x14ac:dyDescent="0.2">
      <c r="A1116" s="5">
        <v>1055</v>
      </c>
      <c r="B1116" s="138">
        <f>'Expenditures 15-22'!K44</f>
        <v>57202</v>
      </c>
      <c r="C1116" s="2" t="s">
        <v>594</v>
      </c>
      <c r="D1116" s="2" t="str">
        <f t="shared" si="16"/>
        <v>Error?</v>
      </c>
    </row>
    <row r="1117" spans="1:4" x14ac:dyDescent="0.2">
      <c r="A1117" s="5">
        <v>1056</v>
      </c>
      <c r="B1117" s="138">
        <f>'Expenditures 15-22'!K45</f>
        <v>648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57850</v>
      </c>
      <c r="C1119" s="2" t="s">
        <v>594</v>
      </c>
      <c r="D1119" s="2" t="str">
        <f t="shared" si="16"/>
        <v>Error?</v>
      </c>
    </row>
    <row r="1120" spans="1:4" x14ac:dyDescent="0.2">
      <c r="A1120" s="5">
        <v>1059</v>
      </c>
      <c r="B1120" s="138">
        <f>'Expenditures 15-22'!K49</f>
        <v>80827</v>
      </c>
      <c r="C1120" s="2" t="s">
        <v>594</v>
      </c>
      <c r="D1120" s="2" t="str">
        <f t="shared" si="16"/>
        <v>Error?</v>
      </c>
    </row>
    <row r="1121" spans="1:4" x14ac:dyDescent="0.2">
      <c r="A1121" s="5">
        <v>1060</v>
      </c>
      <c r="B1121" s="138">
        <f>'Expenditures 15-22'!K50</f>
        <v>104959</v>
      </c>
      <c r="C1121" s="2" t="s">
        <v>594</v>
      </c>
      <c r="D1121" s="2" t="str">
        <f t="shared" si="16"/>
        <v>Error?</v>
      </c>
    </row>
    <row r="1122" spans="1:4" x14ac:dyDescent="0.2">
      <c r="A1122" s="5">
        <v>1061</v>
      </c>
      <c r="B1122" s="138">
        <f>'Expenditures 15-22'!K53</f>
        <v>185786</v>
      </c>
      <c r="C1122" s="2" t="s">
        <v>594</v>
      </c>
      <c r="D1122" s="2" t="str">
        <f t="shared" si="16"/>
        <v>Error?</v>
      </c>
    </row>
    <row r="1123" spans="1:4" x14ac:dyDescent="0.2">
      <c r="A1123" s="5">
        <v>1062</v>
      </c>
      <c r="B1123" s="138">
        <f>'Expenditures 15-22'!K55</f>
        <v>193399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193399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38595</v>
      </c>
      <c r="C1127" s="2" t="s">
        <v>594</v>
      </c>
      <c r="D1127" s="2" t="str">
        <f t="shared" si="16"/>
        <v>Error?</v>
      </c>
    </row>
    <row r="1128" spans="1:4" x14ac:dyDescent="0.2">
      <c r="A1128" s="5">
        <v>1067</v>
      </c>
      <c r="B1128" s="138">
        <f>'Expenditures 15-22'!K61</f>
        <v>227171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206081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471847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990754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138829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2931434</v>
      </c>
      <c r="C1152" s="2" t="s">
        <v>594</v>
      </c>
      <c r="D1152" s="2" t="str">
        <f t="shared" si="17"/>
        <v>Error?</v>
      </c>
    </row>
    <row r="1153" spans="1:4" x14ac:dyDescent="0.2">
      <c r="A1153" s="5">
        <v>1092</v>
      </c>
      <c r="B1153" s="138">
        <f>'Expenditures 15-22'!K115</f>
        <v>243928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74921</v>
      </c>
      <c r="D1237" s="2" t="str">
        <f t="shared" si="18"/>
        <v>Error?</v>
      </c>
    </row>
    <row r="1238" spans="1:4" x14ac:dyDescent="0.2">
      <c r="A1238" s="10">
        <v>1177</v>
      </c>
      <c r="D1238" s="2" t="str">
        <f t="shared" si="18"/>
        <v>OK</v>
      </c>
    </row>
    <row r="1239" spans="1:4" x14ac:dyDescent="0.2">
      <c r="A1239" s="5">
        <v>1178</v>
      </c>
      <c r="B1239" s="138">
        <f>'Expenditures 15-22'!E127</f>
        <v>74921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74921</v>
      </c>
      <c r="C1241" s="2" t="s">
        <v>594</v>
      </c>
      <c r="D1241" s="2" t="str">
        <f t="shared" si="18"/>
        <v>Error?</v>
      </c>
    </row>
    <row r="1242" spans="1:4" x14ac:dyDescent="0.2">
      <c r="A1242" s="5">
        <v>1181</v>
      </c>
      <c r="B1242" s="138">
        <f>'Expenditures 15-22'!E151</f>
        <v>74921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33711</v>
      </c>
      <c r="D1245" s="2" t="str">
        <f t="shared" si="18"/>
        <v>Error?</v>
      </c>
    </row>
    <row r="1246" spans="1:4" x14ac:dyDescent="0.2">
      <c r="A1246" s="10">
        <v>1185</v>
      </c>
      <c r="D1246" s="2" t="str">
        <f t="shared" si="18"/>
        <v>OK</v>
      </c>
    </row>
    <row r="1247" spans="1:4" x14ac:dyDescent="0.2">
      <c r="A1247" s="5">
        <v>1186</v>
      </c>
      <c r="B1247" s="138">
        <f>'Expenditures 15-22'!F127</f>
        <v>33711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33711</v>
      </c>
      <c r="C1249" s="2" t="s">
        <v>594</v>
      </c>
      <c r="D1249" s="2" t="str">
        <f t="shared" si="18"/>
        <v>Error?</v>
      </c>
    </row>
    <row r="1250" spans="1:4" x14ac:dyDescent="0.2">
      <c r="A1250" s="5">
        <v>1189</v>
      </c>
      <c r="B1250" s="138">
        <f>'Expenditures 15-22'!F151</f>
        <v>33711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2432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2432</v>
      </c>
      <c r="C1258" s="2" t="s">
        <v>594</v>
      </c>
      <c r="D1258" s="2" t="str">
        <f t="shared" si="18"/>
        <v>Error?</v>
      </c>
    </row>
    <row r="1259" spans="1:4" x14ac:dyDescent="0.2">
      <c r="A1259" s="5">
        <v>1198</v>
      </c>
      <c r="B1259" s="138">
        <f>'Expenditures 15-22'!G151</f>
        <v>2432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111064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111064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111064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111064</v>
      </c>
      <c r="C1288" s="2" t="s">
        <v>594</v>
      </c>
      <c r="D1288" s="2" t="str">
        <f t="shared" si="19"/>
        <v>Error?</v>
      </c>
    </row>
    <row r="1289" spans="1:4" x14ac:dyDescent="0.2">
      <c r="A1289" s="5">
        <v>1228</v>
      </c>
      <c r="B1289" s="138">
        <f>'Expenditures 15-22'!K152</f>
        <v>-32121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103810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185000</v>
      </c>
      <c r="D1315" s="2" t="str">
        <f t="shared" si="19"/>
        <v>Error?</v>
      </c>
    </row>
    <row r="1316" spans="1:4" x14ac:dyDescent="0.2">
      <c r="A1316" s="5">
        <v>1255</v>
      </c>
      <c r="B1316" s="138">
        <f>'Expenditures 15-22'!H171</f>
        <v>371</v>
      </c>
      <c r="D1316" s="2" t="str">
        <f t="shared" si="19"/>
        <v>Error?</v>
      </c>
    </row>
    <row r="1317" spans="1:4" x14ac:dyDescent="0.2">
      <c r="A1317" s="5">
        <v>1256</v>
      </c>
      <c r="B1317" s="138">
        <f>'Expenditures 15-22'!H172</f>
        <v>289181</v>
      </c>
      <c r="C1317" s="2" t="s">
        <v>594</v>
      </c>
      <c r="D1317" s="2" t="str">
        <f t="shared" si="19"/>
        <v>Error?</v>
      </c>
    </row>
    <row r="1318" spans="1:4" x14ac:dyDescent="0.2">
      <c r="A1318" s="5">
        <v>1257</v>
      </c>
      <c r="B1318" s="138">
        <f>'Expenditures 15-22'!H174</f>
        <v>289181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103810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185000</v>
      </c>
      <c r="C1329" s="2" t="s">
        <v>594</v>
      </c>
      <c r="D1329" s="2" t="str">
        <f t="shared" si="19"/>
        <v>Error?</v>
      </c>
    </row>
    <row r="1330" spans="1:4" x14ac:dyDescent="0.2">
      <c r="A1330" s="5">
        <v>1269</v>
      </c>
      <c r="B1330" s="138">
        <f>'Expenditures 15-22'!K171</f>
        <v>371</v>
      </c>
      <c r="C1330" s="2" t="s">
        <v>594</v>
      </c>
      <c r="D1330" s="2" t="str">
        <f t="shared" si="19"/>
        <v>Error?</v>
      </c>
    </row>
    <row r="1331" spans="1:4" x14ac:dyDescent="0.2">
      <c r="A1331" s="5">
        <v>1270</v>
      </c>
      <c r="B1331" s="138">
        <f>'Expenditures 15-22'!K172</f>
        <v>289181</v>
      </c>
      <c r="C1331" s="2" t="s">
        <v>594</v>
      </c>
      <c r="D1331" s="2" t="str">
        <f t="shared" si="19"/>
        <v>Error?</v>
      </c>
    </row>
    <row r="1332" spans="1:4" x14ac:dyDescent="0.2">
      <c r="A1332" s="5">
        <v>1271</v>
      </c>
      <c r="B1332" s="138">
        <f>'Expenditures 15-22'!K174</f>
        <v>289181</v>
      </c>
      <c r="C1332" s="2" t="s">
        <v>594</v>
      </c>
      <c r="D1332" s="2" t="str">
        <f t="shared" si="19"/>
        <v>Error?</v>
      </c>
    </row>
    <row r="1333" spans="1:4" x14ac:dyDescent="0.2">
      <c r="A1333" s="5">
        <v>1272</v>
      </c>
      <c r="B1333" s="138">
        <f>'Expenditures 15-22'!K175</f>
        <v>2215</v>
      </c>
      <c r="C1333" s="2" t="s">
        <v>594</v>
      </c>
      <c r="D1333" s="2" t="str">
        <f t="shared" si="19"/>
        <v>Error?</v>
      </c>
    </row>
    <row r="1334" spans="1:4" x14ac:dyDescent="0.2">
      <c r="A1334" s="10">
        <v>1273</v>
      </c>
      <c r="D1334" s="2" t="str">
        <f t="shared" si="19"/>
        <v>OK</v>
      </c>
    </row>
    <row r="1335" spans="1:4" x14ac:dyDescent="0.2">
      <c r="A1335" s="5">
        <v>1274</v>
      </c>
      <c r="B1335" s="138">
        <f>'Expenditures 15-22'!C182</f>
        <v>123136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123136</v>
      </c>
      <c r="C1339" s="2" t="s">
        <v>594</v>
      </c>
      <c r="D1339" s="2" t="str">
        <f t="shared" si="19"/>
        <v>Error?</v>
      </c>
    </row>
    <row r="1340" spans="1:4" x14ac:dyDescent="0.2">
      <c r="A1340" s="5">
        <v>1279</v>
      </c>
      <c r="B1340" s="138">
        <f>'Expenditures 15-22'!C210</f>
        <v>123136</v>
      </c>
      <c r="C1340" s="2" t="s">
        <v>594</v>
      </c>
      <c r="D1340" s="2" t="str">
        <f t="shared" si="19"/>
        <v>Error?</v>
      </c>
    </row>
    <row r="1341" spans="1:4" x14ac:dyDescent="0.2">
      <c r="A1341" s="5">
        <v>1280</v>
      </c>
      <c r="B1341" s="138">
        <f>'Expenditures 15-22'!D182</f>
        <v>249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249</v>
      </c>
      <c r="C1345" s="2" t="s">
        <v>594</v>
      </c>
      <c r="D1345" s="2" t="str">
        <f t="shared" si="20"/>
        <v>Error?</v>
      </c>
    </row>
    <row r="1346" spans="1:4" x14ac:dyDescent="0.2">
      <c r="A1346" s="5">
        <v>1285</v>
      </c>
      <c r="B1346" s="138">
        <f>'Expenditures 15-22'!D210</f>
        <v>249</v>
      </c>
      <c r="C1346" s="2" t="s">
        <v>594</v>
      </c>
      <c r="D1346" s="2" t="str">
        <f t="shared" si="20"/>
        <v>Error?</v>
      </c>
    </row>
    <row r="1347" spans="1:4" x14ac:dyDescent="0.2">
      <c r="A1347" s="5">
        <v>1286</v>
      </c>
      <c r="B1347" s="138">
        <f>'Expenditures 15-22'!E182</f>
        <v>76405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76405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76405</v>
      </c>
      <c r="C1353" s="2" t="s">
        <v>594</v>
      </c>
      <c r="D1353" s="2" t="str">
        <f t="shared" si="20"/>
        <v>Error?</v>
      </c>
    </row>
    <row r="1354" spans="1:4" x14ac:dyDescent="0.2">
      <c r="A1354" s="5">
        <v>1293</v>
      </c>
      <c r="B1354" s="138">
        <f>'Expenditures 15-22'!F182</f>
        <v>31048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31048</v>
      </c>
      <c r="C1358" s="2" t="s">
        <v>594</v>
      </c>
      <c r="D1358" s="2" t="str">
        <f t="shared" si="20"/>
        <v>Error?</v>
      </c>
    </row>
    <row r="1359" spans="1:4" x14ac:dyDescent="0.2">
      <c r="A1359" s="5">
        <v>1298</v>
      </c>
      <c r="B1359" s="138">
        <f>'Expenditures 15-22'!F210</f>
        <v>31048</v>
      </c>
      <c r="C1359" s="2" t="s">
        <v>594</v>
      </c>
      <c r="D1359" s="2" t="str">
        <f t="shared" si="20"/>
        <v>Error?</v>
      </c>
    </row>
    <row r="1360" spans="1:4" x14ac:dyDescent="0.2">
      <c r="A1360" s="5">
        <v>1299</v>
      </c>
      <c r="B1360" s="138">
        <f>'Expenditures 15-22'!G182</f>
        <v>53244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53244</v>
      </c>
      <c r="C1364" s="2" t="s">
        <v>594</v>
      </c>
      <c r="D1364" s="2" t="str">
        <f t="shared" si="20"/>
        <v>Error?</v>
      </c>
    </row>
    <row r="1365" spans="1:4" x14ac:dyDescent="0.2">
      <c r="A1365" s="5">
        <v>1304</v>
      </c>
      <c r="B1365" s="138">
        <f>'Expenditures 15-22'!G210</f>
        <v>53244</v>
      </c>
      <c r="C1365" s="2" t="s">
        <v>594</v>
      </c>
      <c r="D1365" s="2" t="str">
        <f t="shared" si="20"/>
        <v>Error?</v>
      </c>
    </row>
    <row r="1366" spans="1:4" x14ac:dyDescent="0.2">
      <c r="A1366" s="5">
        <v>1305</v>
      </c>
      <c r="B1366" s="138">
        <f>'Expenditures 15-22'!H182</f>
        <v>1708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1708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11500</v>
      </c>
      <c r="C1375" s="2" t="s">
        <v>594</v>
      </c>
      <c r="D1375" s="2" t="str">
        <f t="shared" si="20"/>
        <v>Error?</v>
      </c>
    </row>
    <row r="1376" spans="1:4" x14ac:dyDescent="0.2">
      <c r="A1376" s="5">
        <v>1315</v>
      </c>
      <c r="B1376" s="138">
        <f>'Expenditures 15-22'!H210</f>
        <v>13208</v>
      </c>
      <c r="C1376" s="2" t="s">
        <v>594</v>
      </c>
      <c r="D1376" s="2" t="str">
        <f t="shared" si="20"/>
        <v>Error?</v>
      </c>
    </row>
    <row r="1377" spans="1:4" x14ac:dyDescent="0.2">
      <c r="A1377" s="5">
        <v>1316</v>
      </c>
      <c r="B1377" s="138">
        <f>'Expenditures 15-22'!K182</f>
        <v>285790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285790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11500</v>
      </c>
      <c r="C1387" s="2" t="s">
        <v>594</v>
      </c>
      <c r="D1387" s="2" t="str">
        <f t="shared" si="20"/>
        <v>Error?</v>
      </c>
    </row>
    <row r="1388" spans="1:4" x14ac:dyDescent="0.2">
      <c r="A1388" s="5">
        <v>1327</v>
      </c>
      <c r="B1388" s="138">
        <f>'Expenditures 15-22'!K210</f>
        <v>297290</v>
      </c>
      <c r="C1388" s="2" t="s">
        <v>594</v>
      </c>
      <c r="D1388" s="2" t="str">
        <f t="shared" si="20"/>
        <v>Error?</v>
      </c>
    </row>
    <row r="1389" spans="1:4" x14ac:dyDescent="0.2">
      <c r="A1389" s="5">
        <v>1328</v>
      </c>
      <c r="B1389" s="138">
        <f>'Expenditures 15-22'!K211</f>
        <v>15652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2412</v>
      </c>
      <c r="D1407" s="2" t="str">
        <f t="shared" ref="D1407:D1470" si="21">IF(ISBLANK(B1407),"OK",IF(A1407-B1407=0,"OK","Error?"))</f>
        <v>Error?</v>
      </c>
    </row>
    <row r="1408" spans="1:4" x14ac:dyDescent="0.2">
      <c r="A1408" s="5">
        <v>1347</v>
      </c>
      <c r="B1408" s="138">
        <f>'Expenditures 15-22'!D223</f>
        <v>1480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58155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660</v>
      </c>
      <c r="D1412" s="2" t="str">
        <f t="shared" si="21"/>
        <v>Error?</v>
      </c>
    </row>
    <row r="1413" spans="1:4" x14ac:dyDescent="0.2">
      <c r="A1413" s="5">
        <v>1352</v>
      </c>
      <c r="B1413" s="138">
        <f>'Expenditures 15-22'!D234</f>
        <v>3959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4619</v>
      </c>
      <c r="C1417" s="2" t="s">
        <v>594</v>
      </c>
      <c r="D1417" s="2" t="str">
        <f t="shared" si="21"/>
        <v>Error?</v>
      </c>
    </row>
    <row r="1418" spans="1:4" x14ac:dyDescent="0.2">
      <c r="A1418" s="5">
        <v>1357</v>
      </c>
      <c r="B1418" s="138">
        <f>'Expenditures 15-22'!D240</f>
        <v>410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410</v>
      </c>
      <c r="C1421" s="2" t="s">
        <v>594</v>
      </c>
      <c r="D1421" s="2" t="str">
        <f t="shared" si="21"/>
        <v>Error?</v>
      </c>
    </row>
    <row r="1422" spans="1:4" x14ac:dyDescent="0.2">
      <c r="A1422" s="5">
        <v>1361</v>
      </c>
      <c r="B1422" s="138">
        <f>'Expenditures 15-22'!D245</f>
        <v>222</v>
      </c>
      <c r="D1422" s="2" t="str">
        <f t="shared" si="21"/>
        <v>Error?</v>
      </c>
    </row>
    <row r="1423" spans="1:4" x14ac:dyDescent="0.2">
      <c r="A1423" s="5">
        <v>1362</v>
      </c>
      <c r="B1423" s="138">
        <f>'Expenditures 15-22'!D246</f>
        <v>1370</v>
      </c>
      <c r="D1423" s="2" t="str">
        <f t="shared" si="21"/>
        <v>Error?</v>
      </c>
    </row>
    <row r="1424" spans="1:4" x14ac:dyDescent="0.2">
      <c r="A1424" s="5">
        <v>1363</v>
      </c>
      <c r="B1424" s="138">
        <f>'Expenditures 15-22'!D257</f>
        <v>1592</v>
      </c>
      <c r="C1424" s="2" t="s">
        <v>594</v>
      </c>
      <c r="D1424" s="2" t="str">
        <f t="shared" si="21"/>
        <v>Error?</v>
      </c>
    </row>
    <row r="1425" spans="1:4" x14ac:dyDescent="0.2">
      <c r="A1425" s="5">
        <v>1364</v>
      </c>
      <c r="B1425" s="138">
        <f>'Expenditures 15-22'!D259</f>
        <v>10653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10653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5818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14812</v>
      </c>
      <c r="D1431" s="2" t="str">
        <f t="shared" si="21"/>
        <v>Error?</v>
      </c>
    </row>
    <row r="1432" spans="1:4" x14ac:dyDescent="0.2">
      <c r="A1432" s="5">
        <v>1371</v>
      </c>
      <c r="B1432" s="138">
        <f>'Expenditures 15-22'!D267</f>
        <v>17770</v>
      </c>
      <c r="D1432" s="2" t="str">
        <f t="shared" si="21"/>
        <v>Error?</v>
      </c>
    </row>
    <row r="1433" spans="1:4" x14ac:dyDescent="0.2">
      <c r="A1433" s="5">
        <v>1372</v>
      </c>
      <c r="B1433" s="138">
        <f>'Expenditures 15-22'!D268</f>
        <v>9399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47799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65073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123228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2412</v>
      </c>
      <c r="C1471" s="2" t="s">
        <v>594</v>
      </c>
      <c r="D1471" s="2" t="str">
        <f t="shared" ref="D1471:D1534" si="22">IF(ISBLANK(B1471),"OK",IF(A1471-B1471=0,"OK","Error?"))</f>
        <v>Error?</v>
      </c>
    </row>
    <row r="1472" spans="1:4" x14ac:dyDescent="0.2">
      <c r="A1472" s="5">
        <v>1411</v>
      </c>
      <c r="B1472" s="138">
        <f>'Expenditures 15-22'!K223</f>
        <v>1480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58155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660</v>
      </c>
      <c r="C1476" s="2" t="s">
        <v>594</v>
      </c>
      <c r="D1476" s="2" t="str">
        <f t="shared" si="22"/>
        <v>Error?</v>
      </c>
    </row>
    <row r="1477" spans="1:4" x14ac:dyDescent="0.2">
      <c r="A1477" s="5">
        <v>1416</v>
      </c>
      <c r="B1477" s="138">
        <f>'Expenditures 15-22'!K234</f>
        <v>3959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4619</v>
      </c>
      <c r="C1481" s="2" t="s">
        <v>594</v>
      </c>
      <c r="D1481" s="2" t="str">
        <f t="shared" si="22"/>
        <v>Error?</v>
      </c>
    </row>
    <row r="1482" spans="1:4" x14ac:dyDescent="0.2">
      <c r="A1482" s="5">
        <v>1421</v>
      </c>
      <c r="B1482" s="138">
        <f>'Expenditures 15-22'!K240</f>
        <v>410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410</v>
      </c>
      <c r="C1485" s="2" t="s">
        <v>594</v>
      </c>
      <c r="D1485" s="2" t="str">
        <f t="shared" si="22"/>
        <v>Error?</v>
      </c>
    </row>
    <row r="1486" spans="1:4" x14ac:dyDescent="0.2">
      <c r="A1486" s="5">
        <v>1425</v>
      </c>
      <c r="B1486" s="138">
        <f>'Expenditures 15-22'!K245</f>
        <v>222</v>
      </c>
      <c r="C1486" s="2" t="s">
        <v>594</v>
      </c>
      <c r="D1486" s="2" t="str">
        <f t="shared" si="22"/>
        <v>Error?</v>
      </c>
    </row>
    <row r="1487" spans="1:4" x14ac:dyDescent="0.2">
      <c r="A1487" s="5">
        <v>1426</v>
      </c>
      <c r="B1487" s="138">
        <f>'Expenditures 15-22'!K246</f>
        <v>1370</v>
      </c>
      <c r="C1487" s="2" t="s">
        <v>594</v>
      </c>
      <c r="D1487" s="2" t="str">
        <f t="shared" si="22"/>
        <v>Error?</v>
      </c>
    </row>
    <row r="1488" spans="1:4" x14ac:dyDescent="0.2">
      <c r="A1488" s="5">
        <v>1427</v>
      </c>
      <c r="B1488" s="138">
        <f>'Expenditures 15-22'!K257</f>
        <v>1592</v>
      </c>
      <c r="C1488" s="2" t="s">
        <v>594</v>
      </c>
      <c r="D1488" s="2" t="str">
        <f t="shared" si="22"/>
        <v>Error?</v>
      </c>
    </row>
    <row r="1489" spans="1:4" x14ac:dyDescent="0.2">
      <c r="A1489" s="5">
        <v>1428</v>
      </c>
      <c r="B1489" s="138">
        <f>'Expenditures 15-22'!K259</f>
        <v>10653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10653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5818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14812</v>
      </c>
      <c r="C1495" s="2" t="s">
        <v>594</v>
      </c>
      <c r="D1495" s="2" t="str">
        <f t="shared" si="22"/>
        <v>Error?</v>
      </c>
    </row>
    <row r="1496" spans="1:4" x14ac:dyDescent="0.2">
      <c r="A1496" s="5">
        <v>1435</v>
      </c>
      <c r="B1496" s="138">
        <f>'Expenditures 15-22'!K267</f>
        <v>17770</v>
      </c>
      <c r="C1496" s="2" t="s">
        <v>594</v>
      </c>
      <c r="D1496" s="2" t="str">
        <f t="shared" si="22"/>
        <v>Error?</v>
      </c>
    </row>
    <row r="1497" spans="1:4" x14ac:dyDescent="0.2">
      <c r="A1497" s="5">
        <v>1436</v>
      </c>
      <c r="B1497" s="138">
        <f>'Expenditures 15-22'!K268</f>
        <v>9399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47799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65073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123228</v>
      </c>
      <c r="C1517" s="2" t="s">
        <v>594</v>
      </c>
      <c r="D1517" s="2" t="str">
        <f t="shared" si="22"/>
        <v>Error?</v>
      </c>
    </row>
    <row r="1518" spans="1:4" x14ac:dyDescent="0.2">
      <c r="A1518" s="5">
        <v>1457</v>
      </c>
      <c r="B1518" s="138">
        <f>'Expenditures 15-22'!K296</f>
        <v>-11355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1113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1113</v>
      </c>
      <c r="C1535" s="2" t="s">
        <v>594</v>
      </c>
      <c r="D1535" s="2" t="str">
        <f t="shared" ref="D1535:D1598" si="23">IF(ISBLANK(B1535),"OK",IF(A1535-B1535=0,"OK","Error?"))</f>
        <v>Error?</v>
      </c>
    </row>
    <row r="1536" spans="1:4" x14ac:dyDescent="0.2">
      <c r="A1536" s="5">
        <v>1475</v>
      </c>
      <c r="B1536" s="138">
        <f>'Expenditures 15-22'!E312</f>
        <v>1113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1198318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1198318</v>
      </c>
      <c r="C1547" s="2" t="s">
        <v>594</v>
      </c>
      <c r="D1547" s="2" t="str">
        <f t="shared" si="23"/>
        <v>Error?</v>
      </c>
    </row>
    <row r="1548" spans="1:4" x14ac:dyDescent="0.2">
      <c r="A1548" s="5">
        <v>1487</v>
      </c>
      <c r="B1548" s="138">
        <f>'Expenditures 15-22'!G312</f>
        <v>1198318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1199431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1199431</v>
      </c>
      <c r="C1559" s="2" t="s">
        <v>594</v>
      </c>
      <c r="D1559" s="2" t="str">
        <f t="shared" si="23"/>
        <v>Error?</v>
      </c>
    </row>
    <row r="1560" spans="1:4" x14ac:dyDescent="0.2">
      <c r="A1560" s="5">
        <v>1499</v>
      </c>
      <c r="B1560" s="138">
        <f>'Expenditures 15-22'!K312</f>
        <v>1199431</v>
      </c>
      <c r="C1560" s="2" t="s">
        <v>594</v>
      </c>
      <c r="D1560" s="2" t="str">
        <f t="shared" si="23"/>
        <v>Error?</v>
      </c>
    </row>
    <row r="1561" spans="1:4" x14ac:dyDescent="0.2">
      <c r="A1561" s="5">
        <v>1500</v>
      </c>
      <c r="B1561" s="138">
        <f>'Expenditures 15-22'!K313</f>
        <v>-1186721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1337722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1599104</v>
      </c>
      <c r="C1630" s="2" t="s">
        <v>594</v>
      </c>
      <c r="D1630" s="2" t="str">
        <f t="shared" si="24"/>
        <v>Error?</v>
      </c>
    </row>
    <row r="1631" spans="1:4" x14ac:dyDescent="0.2">
      <c r="A1631" s="5">
        <v>1570</v>
      </c>
      <c r="B1631" s="138">
        <f>'Acct Summary 7-8'!D79</f>
        <v>96156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64035</v>
      </c>
      <c r="C1644" s="2" t="s">
        <v>594</v>
      </c>
      <c r="D1644" s="2" t="str">
        <f t="shared" si="24"/>
        <v>Error?</v>
      </c>
    </row>
    <row r="1645" spans="1:4" x14ac:dyDescent="0.2">
      <c r="A1645" s="5">
        <v>1584</v>
      </c>
      <c r="B1645" s="138">
        <f>'Acct Summary 7-8'!E79</f>
        <v>72708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74923</v>
      </c>
      <c r="C1658" s="2" t="s">
        <v>594</v>
      </c>
      <c r="D1658" s="2" t="str">
        <f t="shared" si="24"/>
        <v>Error?</v>
      </c>
    </row>
    <row r="1659" spans="1:4" x14ac:dyDescent="0.2">
      <c r="A1659" s="5">
        <v>1598</v>
      </c>
      <c r="B1659" s="138">
        <f>'Acct Summary 7-8'!F79</f>
        <v>138403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207299</v>
      </c>
      <c r="C1672" s="2" t="s">
        <v>594</v>
      </c>
      <c r="D1672" s="2" t="str">
        <f t="shared" si="25"/>
        <v>Error?</v>
      </c>
    </row>
    <row r="1673" spans="1:4" x14ac:dyDescent="0.2">
      <c r="A1673" s="5">
        <v>1612</v>
      </c>
      <c r="B1673" s="138">
        <f>'Acct Summary 7-8'!G79</f>
        <v>160448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149093</v>
      </c>
      <c r="C1686" s="2" t="s">
        <v>594</v>
      </c>
      <c r="D1686" s="2" t="str">
        <f t="shared" si="25"/>
        <v>Error?</v>
      </c>
    </row>
    <row r="1687" spans="1:4" x14ac:dyDescent="0.2">
      <c r="A1687" s="5">
        <v>1626</v>
      </c>
      <c r="B1687" s="138">
        <f>'Acct Summary 7-8'!H79</f>
        <v>1971405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784684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312116</v>
      </c>
      <c r="C1744" s="2" t="s">
        <v>594</v>
      </c>
      <c r="D1744" s="2" t="str">
        <f t="shared" si="26"/>
        <v>Error?</v>
      </c>
    </row>
    <row r="1745" spans="1:5" x14ac:dyDescent="0.2">
      <c r="A1745" s="5">
        <v>1684</v>
      </c>
      <c r="B1745" s="138">
        <f>'Tax Sched 23'!B5</f>
        <v>78240</v>
      </c>
      <c r="C1745" s="2" t="s">
        <v>594</v>
      </c>
      <c r="D1745" s="2" t="str">
        <f t="shared" si="26"/>
        <v>Error?</v>
      </c>
    </row>
    <row r="1746" spans="1:5" x14ac:dyDescent="0.2">
      <c r="A1746" s="5">
        <v>1685</v>
      </c>
      <c r="B1746" s="138">
        <f>'Tax Sched 23'!B6</f>
        <v>287710</v>
      </c>
      <c r="C1746" s="2" t="s">
        <v>594</v>
      </c>
      <c r="D1746" s="2" t="str">
        <f t="shared" si="26"/>
        <v>Error?</v>
      </c>
    </row>
    <row r="1747" spans="1:5" x14ac:dyDescent="0.2">
      <c r="A1747" s="5">
        <v>1686</v>
      </c>
      <c r="B1747" s="138">
        <f>'Tax Sched 23'!B7</f>
        <v>31211</v>
      </c>
      <c r="C1747" s="2" t="s">
        <v>594</v>
      </c>
      <c r="D1747" s="2" t="str">
        <f t="shared" si="26"/>
        <v>Error?</v>
      </c>
    </row>
    <row r="1748" spans="1:5" x14ac:dyDescent="0.2">
      <c r="A1748" s="5">
        <v>1687</v>
      </c>
      <c r="B1748" s="138">
        <f>'Tax Sched 23'!B8</f>
        <v>25306</v>
      </c>
      <c r="C1748" s="2" t="s">
        <v>594</v>
      </c>
      <c r="D1748" s="2" t="str">
        <f t="shared" si="26"/>
        <v>Error?</v>
      </c>
    </row>
    <row r="1749" spans="1:5" x14ac:dyDescent="0.2">
      <c r="A1749" s="5">
        <v>1688</v>
      </c>
      <c r="B1749" s="138">
        <f>'Tax Sched 23'!B10</f>
        <v>7803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28677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6243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797230</v>
      </c>
      <c r="C1759" s="2" t="s">
        <v>594</v>
      </c>
      <c r="D1759" s="2" t="str">
        <f t="shared" si="26"/>
        <v>Error?</v>
      </c>
    </row>
    <row r="1760" spans="1:5" x14ac:dyDescent="0.2">
      <c r="A1760" s="5">
        <v>1699</v>
      </c>
      <c r="B1760" s="138">
        <f>'Tax Sched 23'!D4</f>
        <v>312116</v>
      </c>
      <c r="C1760" s="2" t="s">
        <v>594</v>
      </c>
      <c r="D1760" s="2" t="str">
        <f t="shared" si="26"/>
        <v>Error?</v>
      </c>
    </row>
    <row r="1761" spans="1:5" x14ac:dyDescent="0.2">
      <c r="A1761" s="5">
        <v>1700</v>
      </c>
      <c r="B1761" s="138">
        <f>'Tax Sched 23'!D5</f>
        <v>78240</v>
      </c>
      <c r="C1761" s="2" t="s">
        <v>594</v>
      </c>
      <c r="D1761" s="2" t="str">
        <f t="shared" si="26"/>
        <v>Error?</v>
      </c>
    </row>
    <row r="1762" spans="1:5" s="8" customFormat="1" x14ac:dyDescent="0.2">
      <c r="A1762" s="5">
        <v>1701</v>
      </c>
      <c r="B1762" s="138">
        <f>'Tax Sched 23'!D6</f>
        <v>287710</v>
      </c>
      <c r="C1762" s="2" t="s">
        <v>594</v>
      </c>
      <c r="D1762" s="2" t="str">
        <f t="shared" si="26"/>
        <v>Error?</v>
      </c>
      <c r="E1762" s="9"/>
    </row>
    <row r="1763" spans="1:5" x14ac:dyDescent="0.2">
      <c r="A1763" s="5">
        <v>1702</v>
      </c>
      <c r="B1763" s="138">
        <f>'Tax Sched 23'!D7</f>
        <v>31211</v>
      </c>
      <c r="C1763" s="2" t="s">
        <v>594</v>
      </c>
      <c r="D1763" s="2" t="str">
        <f t="shared" si="26"/>
        <v>Error?</v>
      </c>
    </row>
    <row r="1764" spans="1:5" x14ac:dyDescent="0.2">
      <c r="A1764" s="5">
        <v>1703</v>
      </c>
      <c r="B1764" s="138">
        <f>'Tax Sched 23'!D8</f>
        <v>25306</v>
      </c>
      <c r="C1764" s="2" t="s">
        <v>594</v>
      </c>
      <c r="D1764" s="2" t="str">
        <f t="shared" si="26"/>
        <v>Error?</v>
      </c>
    </row>
    <row r="1765" spans="1:5" x14ac:dyDescent="0.2">
      <c r="A1765" s="5">
        <v>1704</v>
      </c>
      <c r="B1765" s="138">
        <f>'Tax Sched 23'!D10</f>
        <v>7803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28677</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6243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797230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334230</v>
      </c>
      <c r="C1792" s="2" t="s">
        <v>594</v>
      </c>
      <c r="D1792" s="2" t="str">
        <f t="shared" si="27"/>
        <v>Error?</v>
      </c>
    </row>
    <row r="1793" spans="1:4" x14ac:dyDescent="0.2">
      <c r="A1793" s="5">
        <v>1732</v>
      </c>
      <c r="B1793" s="138">
        <f>'Tax Sched 23'!F5</f>
        <v>79445</v>
      </c>
      <c r="C1793" s="2" t="s">
        <v>594</v>
      </c>
      <c r="D1793" s="2" t="str">
        <f t="shared" si="27"/>
        <v>Error?</v>
      </c>
    </row>
    <row r="1794" spans="1:4" x14ac:dyDescent="0.2">
      <c r="A1794" s="5">
        <v>1733</v>
      </c>
      <c r="B1794" s="138">
        <f>'Tax Sched 23'!F6</f>
        <v>227214</v>
      </c>
      <c r="C1794" s="2" t="s">
        <v>594</v>
      </c>
      <c r="D1794" s="2" t="str">
        <f t="shared" si="27"/>
        <v>Error?</v>
      </c>
    </row>
    <row r="1795" spans="1:4" x14ac:dyDescent="0.2">
      <c r="A1795" s="5">
        <v>1734</v>
      </c>
      <c r="B1795" s="138">
        <f>'Tax Sched 23'!F7</f>
        <v>35352</v>
      </c>
      <c r="C1795" s="2" t="s">
        <v>594</v>
      </c>
      <c r="D1795" s="2" t="str">
        <f t="shared" si="27"/>
        <v>Error?</v>
      </c>
    </row>
    <row r="1796" spans="1:4" x14ac:dyDescent="0.2">
      <c r="A1796" s="5">
        <v>1735</v>
      </c>
      <c r="B1796" s="138">
        <f>'Tax Sched 23'!F8</f>
        <v>25772</v>
      </c>
      <c r="C1796" s="2" t="s">
        <v>594</v>
      </c>
      <c r="D1796" s="2" t="str">
        <f t="shared" si="27"/>
        <v>Error?</v>
      </c>
    </row>
    <row r="1797" spans="1:4" x14ac:dyDescent="0.2">
      <c r="A1797" s="5">
        <v>1736</v>
      </c>
      <c r="B1797" s="138">
        <f>'Tax Sched 23'!F10</f>
        <v>7943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46611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6358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783212</v>
      </c>
      <c r="C1807" s="2" t="s">
        <v>594</v>
      </c>
      <c r="D1807" s="2" t="str">
        <f t="shared" si="27"/>
        <v>Error?</v>
      </c>
    </row>
    <row r="1808" spans="1:4" x14ac:dyDescent="0.2">
      <c r="A1808" s="5">
        <v>1747</v>
      </c>
      <c r="B1808" s="138">
        <f>'Tax Sched 23'!E4</f>
        <v>334230</v>
      </c>
      <c r="D1808" s="2" t="str">
        <f t="shared" si="27"/>
        <v>Error?</v>
      </c>
    </row>
    <row r="1809" spans="1:4" x14ac:dyDescent="0.2">
      <c r="A1809" s="5">
        <v>1748</v>
      </c>
      <c r="B1809" s="138">
        <f>'Tax Sched 23'!E5</f>
        <v>79445</v>
      </c>
      <c r="D1809" s="2" t="str">
        <f t="shared" si="27"/>
        <v>Error?</v>
      </c>
    </row>
    <row r="1810" spans="1:4" x14ac:dyDescent="0.2">
      <c r="A1810" s="5">
        <v>1749</v>
      </c>
      <c r="B1810" s="138">
        <f>'Tax Sched 23'!E6</f>
        <v>227214</v>
      </c>
      <c r="D1810" s="2" t="str">
        <f t="shared" si="27"/>
        <v>Error?</v>
      </c>
    </row>
    <row r="1811" spans="1:4" x14ac:dyDescent="0.2">
      <c r="A1811" s="5">
        <v>1750</v>
      </c>
      <c r="B1811" s="138">
        <f>'Tax Sched 23'!E7</f>
        <v>35352</v>
      </c>
      <c r="D1811" s="2" t="str">
        <f t="shared" si="27"/>
        <v>Error?</v>
      </c>
    </row>
    <row r="1812" spans="1:4" x14ac:dyDescent="0.2">
      <c r="A1812" s="5">
        <v>1751</v>
      </c>
      <c r="B1812" s="138">
        <f>'Tax Sched 23'!E8</f>
        <v>25772</v>
      </c>
      <c r="D1812" s="2" t="str">
        <f t="shared" si="27"/>
        <v>Error?</v>
      </c>
    </row>
    <row r="1813" spans="1:4" x14ac:dyDescent="0.2">
      <c r="A1813" s="5">
        <v>1752</v>
      </c>
      <c r="B1813" s="138">
        <f>'Tax Sched 23'!E10</f>
        <v>7943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46611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6358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783212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3190000</v>
      </c>
      <c r="C1939" s="2" t="s">
        <v>594</v>
      </c>
      <c r="D1939" s="2" t="str">
        <f t="shared" si="29"/>
        <v>Error?</v>
      </c>
    </row>
    <row r="1940" spans="1:5" x14ac:dyDescent="0.2">
      <c r="A1940" s="5">
        <v>1879</v>
      </c>
      <c r="B1940" s="138">
        <f>'Short-Term Long-Term Debt 24'!F49</f>
        <v>53244</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6243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6243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46865</v>
      </c>
      <c r="D2008" s="2" t="str">
        <f t="shared" si="30"/>
        <v>Error?</v>
      </c>
    </row>
    <row r="2009" spans="1:4" x14ac:dyDescent="0.2">
      <c r="A2009" s="5">
        <v>1948</v>
      </c>
      <c r="B2009" s="138">
        <f>'Cap Outlay Deprec 26'!C8</f>
        <v>6924897</v>
      </c>
      <c r="D2009" s="2" t="str">
        <f t="shared" si="30"/>
        <v>Error?</v>
      </c>
    </row>
    <row r="2010" spans="1:4" x14ac:dyDescent="0.2">
      <c r="A2010" s="5">
        <v>1949</v>
      </c>
      <c r="B2010" s="138">
        <f>'Cap Outlay Deprec 26'!C10</f>
        <v>322871</v>
      </c>
      <c r="D2010" s="2" t="str">
        <f t="shared" si="30"/>
        <v>Error?</v>
      </c>
    </row>
    <row r="2011" spans="1:4" x14ac:dyDescent="0.2">
      <c r="A2011" s="5">
        <v>1950</v>
      </c>
      <c r="B2011" s="138">
        <f>'Cap Outlay Deprec 26'!C12</f>
        <v>1362217</v>
      </c>
      <c r="D2011" s="2" t="str">
        <f t="shared" si="30"/>
        <v>Error?</v>
      </c>
    </row>
    <row r="2012" spans="1:4" x14ac:dyDescent="0.2">
      <c r="A2012" s="5">
        <v>1951</v>
      </c>
      <c r="B2012" s="138">
        <f>'Cap Outlay Deprec 26'!C13</f>
        <v>889891</v>
      </c>
      <c r="D2012" s="2" t="str">
        <f t="shared" si="30"/>
        <v>Error?</v>
      </c>
    </row>
    <row r="2013" spans="1:4" x14ac:dyDescent="0.2">
      <c r="A2013" s="5">
        <v>1952</v>
      </c>
      <c r="B2013" s="138">
        <f>'Cap Outlay Deprec 26'!C16</f>
        <v>9672568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1279930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27077</v>
      </c>
      <c r="D2017" s="2" t="str">
        <f t="shared" si="30"/>
        <v>Error?</v>
      </c>
    </row>
    <row r="2018" spans="1:4" x14ac:dyDescent="0.2">
      <c r="A2018" s="5">
        <v>1957</v>
      </c>
      <c r="B2018" s="138">
        <f>'Cap Outlay Deprec 26'!D13</f>
        <v>53244</v>
      </c>
      <c r="D2018" s="2" t="str">
        <f t="shared" si="30"/>
        <v>Error?</v>
      </c>
    </row>
    <row r="2019" spans="1:4" x14ac:dyDescent="0.2">
      <c r="A2019" s="5">
        <v>1958</v>
      </c>
      <c r="B2019" s="138">
        <f>'Cap Outlay Deprec 26'!D16</f>
        <v>2158381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879742</v>
      </c>
      <c r="C2025" s="2" t="s">
        <v>594</v>
      </c>
      <c r="D2025" s="2" t="str">
        <f t="shared" si="30"/>
        <v>Error?</v>
      </c>
    </row>
    <row r="2026" spans="1:4" x14ac:dyDescent="0.2">
      <c r="A2026" s="5">
        <v>1965</v>
      </c>
      <c r="B2026" s="138">
        <f>'Cap Outlay Deprec 26'!F5</f>
        <v>46865</v>
      </c>
      <c r="C2026" s="2" t="s">
        <v>594</v>
      </c>
      <c r="D2026" s="2" t="str">
        <f t="shared" si="30"/>
        <v>Error?</v>
      </c>
    </row>
    <row r="2027" spans="1:4" x14ac:dyDescent="0.2">
      <c r="A2027" s="5">
        <v>1966</v>
      </c>
      <c r="B2027" s="138">
        <f>'Cap Outlay Deprec 26'!F8</f>
        <v>8204827</v>
      </c>
      <c r="C2027" s="2" t="s">
        <v>594</v>
      </c>
      <c r="D2027" s="2" t="str">
        <f t="shared" si="30"/>
        <v>Error?</v>
      </c>
    </row>
    <row r="2028" spans="1:4" x14ac:dyDescent="0.2">
      <c r="A2028" s="5">
        <v>1967</v>
      </c>
      <c r="B2028" s="138">
        <f>'Cap Outlay Deprec 26'!F10</f>
        <v>322871</v>
      </c>
      <c r="C2028" s="2" t="s">
        <v>594</v>
      </c>
      <c r="D2028" s="2" t="str">
        <f t="shared" si="30"/>
        <v>Error?</v>
      </c>
    </row>
    <row r="2029" spans="1:4" x14ac:dyDescent="0.2">
      <c r="A2029" s="5">
        <v>1968</v>
      </c>
      <c r="B2029" s="138">
        <f>'Cap Outlay Deprec 26'!F12</f>
        <v>1389294</v>
      </c>
      <c r="C2029" s="2" t="s">
        <v>594</v>
      </c>
      <c r="D2029" s="2" t="str">
        <f t="shared" si="30"/>
        <v>Error?</v>
      </c>
    </row>
    <row r="2030" spans="1:4" x14ac:dyDescent="0.2">
      <c r="A2030" s="5">
        <v>1969</v>
      </c>
      <c r="B2030" s="138">
        <f>'Cap Outlay Deprec 26'!F13</f>
        <v>943135</v>
      </c>
      <c r="C2030" s="2" t="s">
        <v>594</v>
      </c>
      <c r="D2030" s="2" t="str">
        <f t="shared" si="30"/>
        <v>Error?</v>
      </c>
    </row>
    <row r="2031" spans="1:4" x14ac:dyDescent="0.2">
      <c r="A2031" s="5">
        <v>1970</v>
      </c>
      <c r="B2031" s="138">
        <f>'Cap Outlay Deprec 26'!F16</f>
        <v>10951207</v>
      </c>
      <c r="C2031" s="2" t="s">
        <v>594</v>
      </c>
      <c r="D2031" s="2" t="str">
        <f t="shared" si="30"/>
        <v>Error?</v>
      </c>
    </row>
    <row r="2032" spans="1:4" x14ac:dyDescent="0.2">
      <c r="A2032" s="10">
        <v>1971</v>
      </c>
      <c r="D2032" s="2" t="str">
        <f t="shared" si="30"/>
        <v>OK</v>
      </c>
    </row>
    <row r="2033" spans="1:4" x14ac:dyDescent="0.2">
      <c r="A2033" s="5">
        <v>1972</v>
      </c>
      <c r="B2033" s="138">
        <f>'Cap Outlay Deprec 26'!H8</f>
        <v>1753301</v>
      </c>
      <c r="D2033" s="2" t="str">
        <f t="shared" si="30"/>
        <v>Error?</v>
      </c>
    </row>
    <row r="2034" spans="1:4" x14ac:dyDescent="0.2">
      <c r="A2034" s="5">
        <v>1973</v>
      </c>
      <c r="B2034" s="138">
        <f>'Cap Outlay Deprec 26'!H10</f>
        <v>199968</v>
      </c>
      <c r="D2034" s="2" t="str">
        <f t="shared" si="30"/>
        <v>Error?</v>
      </c>
    </row>
    <row r="2035" spans="1:4" x14ac:dyDescent="0.2">
      <c r="A2035" s="5">
        <v>1974</v>
      </c>
      <c r="B2035" s="138">
        <f>'Cap Outlay Deprec 26'!H12</f>
        <v>1239688</v>
      </c>
      <c r="D2035" s="2" t="str">
        <f t="shared" si="30"/>
        <v>Error?</v>
      </c>
    </row>
    <row r="2036" spans="1:4" x14ac:dyDescent="0.2">
      <c r="A2036" s="5">
        <v>1975</v>
      </c>
      <c r="B2036" s="138">
        <f>'Cap Outlay Deprec 26'!H13</f>
        <v>857236</v>
      </c>
      <c r="D2036" s="2" t="str">
        <f t="shared" si="30"/>
        <v>Error?</v>
      </c>
    </row>
    <row r="2037" spans="1:4" x14ac:dyDescent="0.2">
      <c r="A2037" s="5">
        <v>1976</v>
      </c>
      <c r="B2037" s="138">
        <f>'Cap Outlay Deprec 26'!H16</f>
        <v>4056376</v>
      </c>
      <c r="C2037" s="2" t="s">
        <v>594</v>
      </c>
      <c r="D2037" s="2" t="str">
        <f t="shared" si="30"/>
        <v>Error?</v>
      </c>
    </row>
    <row r="2038" spans="1:4" x14ac:dyDescent="0.2">
      <c r="A2038" s="10">
        <v>1977</v>
      </c>
      <c r="D2038" s="2" t="str">
        <f t="shared" si="30"/>
        <v>OK</v>
      </c>
    </row>
    <row r="2039" spans="1:4" x14ac:dyDescent="0.2">
      <c r="A2039" s="5">
        <v>1978</v>
      </c>
      <c r="B2039" s="138">
        <f>'Cap Outlay Deprec 26'!I8</f>
        <v>157977</v>
      </c>
      <c r="D2039" s="2" t="str">
        <f t="shared" si="30"/>
        <v>Error?</v>
      </c>
    </row>
    <row r="2040" spans="1:4" x14ac:dyDescent="0.2">
      <c r="A2040" s="5">
        <v>1979</v>
      </c>
      <c r="B2040" s="138">
        <f>'Cap Outlay Deprec 26'!I10</f>
        <v>9442.44</v>
      </c>
      <c r="D2040" s="2" t="str">
        <f t="shared" si="30"/>
        <v>Error?</v>
      </c>
    </row>
    <row r="2041" spans="1:4" x14ac:dyDescent="0.2">
      <c r="A2041" s="5">
        <v>1980</v>
      </c>
      <c r="B2041" s="138">
        <f>'Cap Outlay Deprec 26'!I12</f>
        <v>21894</v>
      </c>
      <c r="D2041" s="2" t="str">
        <f t="shared" si="30"/>
        <v>Error?</v>
      </c>
    </row>
    <row r="2042" spans="1:4" x14ac:dyDescent="0.2">
      <c r="A2042" s="5">
        <v>1981</v>
      </c>
      <c r="B2042" s="138">
        <f>'Cap Outlay Deprec 26'!I13</f>
        <v>17274</v>
      </c>
      <c r="D2042" s="2" t="str">
        <f t="shared" si="30"/>
        <v>Error?</v>
      </c>
    </row>
    <row r="2043" spans="1:4" x14ac:dyDescent="0.2">
      <c r="A2043" s="5">
        <v>1982</v>
      </c>
      <c r="B2043" s="138">
        <f>'Cap Outlay Deprec 26'!I16</f>
        <v>207092.44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1911278</v>
      </c>
      <c r="C2051" s="2" t="s">
        <v>594</v>
      </c>
      <c r="D2051" s="2" t="str">
        <f t="shared" si="31"/>
        <v>Error?</v>
      </c>
    </row>
    <row r="2052" spans="1:4" x14ac:dyDescent="0.2">
      <c r="A2052" s="5">
        <v>1991</v>
      </c>
      <c r="B2052" s="138">
        <f>'Cap Outlay Deprec 26'!K10</f>
        <v>209410.44</v>
      </c>
      <c r="C2052" s="2" t="s">
        <v>594</v>
      </c>
      <c r="D2052" s="2" t="str">
        <f t="shared" si="31"/>
        <v>Error?</v>
      </c>
    </row>
    <row r="2053" spans="1:4" x14ac:dyDescent="0.2">
      <c r="A2053" s="5">
        <v>1992</v>
      </c>
      <c r="B2053" s="138">
        <f>'Cap Outlay Deprec 26'!K12</f>
        <v>1261582</v>
      </c>
      <c r="C2053" s="2" t="s">
        <v>594</v>
      </c>
      <c r="D2053" s="2" t="str">
        <f t="shared" si="31"/>
        <v>Error?</v>
      </c>
    </row>
    <row r="2054" spans="1:4" x14ac:dyDescent="0.2">
      <c r="A2054" s="5">
        <v>1993</v>
      </c>
      <c r="B2054" s="138">
        <f>'Cap Outlay Deprec 26'!K13</f>
        <v>874510</v>
      </c>
      <c r="C2054" s="2" t="s">
        <v>594</v>
      </c>
      <c r="D2054" s="2" t="str">
        <f t="shared" si="31"/>
        <v>Error?</v>
      </c>
    </row>
    <row r="2055" spans="1:4" x14ac:dyDescent="0.2">
      <c r="A2055" s="5">
        <v>1994</v>
      </c>
      <c r="B2055" s="138">
        <f>'Cap Outlay Deprec 26'!K16</f>
        <v>4263468.4400000004</v>
      </c>
      <c r="C2055" s="2" t="s">
        <v>594</v>
      </c>
      <c r="D2055" s="2" t="str">
        <f t="shared" si="31"/>
        <v>Error?</v>
      </c>
    </row>
    <row r="2056" spans="1:4" x14ac:dyDescent="0.2">
      <c r="A2056" s="5">
        <v>1995</v>
      </c>
      <c r="B2056" s="138">
        <f>'Cap Outlay Deprec 26'!L5</f>
        <v>46865</v>
      </c>
      <c r="C2056" s="2" t="s">
        <v>594</v>
      </c>
      <c r="D2056" s="2" t="str">
        <f t="shared" si="31"/>
        <v>Error?</v>
      </c>
    </row>
    <row r="2057" spans="1:4" x14ac:dyDescent="0.2">
      <c r="A2057" s="5">
        <v>1996</v>
      </c>
      <c r="B2057" s="138">
        <f>'Cap Outlay Deprec 26'!L8</f>
        <v>6293549</v>
      </c>
      <c r="C2057" s="2" t="s">
        <v>594</v>
      </c>
      <c r="D2057" s="2" t="str">
        <f t="shared" si="31"/>
        <v>Error?</v>
      </c>
    </row>
    <row r="2058" spans="1:4" x14ac:dyDescent="0.2">
      <c r="A2058" s="5">
        <v>1997</v>
      </c>
      <c r="B2058" s="138">
        <f>'Cap Outlay Deprec 26'!L10</f>
        <v>113460.56</v>
      </c>
      <c r="C2058" s="2" t="s">
        <v>594</v>
      </c>
      <c r="D2058" s="2" t="str">
        <f t="shared" si="31"/>
        <v>Error?</v>
      </c>
    </row>
    <row r="2059" spans="1:4" x14ac:dyDescent="0.2">
      <c r="A2059" s="5">
        <v>1998</v>
      </c>
      <c r="B2059" s="138">
        <f>'Cap Outlay Deprec 26'!L12</f>
        <v>127712</v>
      </c>
      <c r="C2059" s="2" t="s">
        <v>594</v>
      </c>
      <c r="D2059" s="2" t="str">
        <f t="shared" si="31"/>
        <v>Error?</v>
      </c>
    </row>
    <row r="2060" spans="1:4" x14ac:dyDescent="0.2">
      <c r="A2060" s="5">
        <v>1999</v>
      </c>
      <c r="B2060" s="138">
        <f>'Cap Outlay Deprec 26'!L13</f>
        <v>68625</v>
      </c>
      <c r="C2060" s="2" t="s">
        <v>594</v>
      </c>
      <c r="D2060" s="2" t="str">
        <f t="shared" si="31"/>
        <v>Error?</v>
      </c>
    </row>
    <row r="2061" spans="1:4" x14ac:dyDescent="0.2">
      <c r="A2061" s="5">
        <v>2000</v>
      </c>
      <c r="B2061" s="138">
        <f>'Cap Outlay Deprec 26'!L16</f>
        <v>6687738.5599999996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138429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138429</v>
      </c>
      <c r="C2088" s="2" t="s">
        <v>594</v>
      </c>
      <c r="D2088" s="2" t="str">
        <f t="shared" si="31"/>
        <v>Error?</v>
      </c>
    </row>
    <row r="2089" spans="1:4" x14ac:dyDescent="0.2">
      <c r="A2089" s="5">
        <v>2028</v>
      </c>
      <c r="B2089" s="138">
        <f>'Expenditures 15-22'!K92</f>
        <v>400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7854</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149093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74923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365446</v>
      </c>
      <c r="C2551" s="2" t="s">
        <v>594</v>
      </c>
      <c r="D2551" s="2" t="str">
        <f t="shared" si="38"/>
        <v>Error?</v>
      </c>
    </row>
    <row r="2552" spans="1:4" x14ac:dyDescent="0.2">
      <c r="A2552" s="10">
        <v>2491</v>
      </c>
      <c r="D2552" s="2" t="str">
        <f t="shared" si="38"/>
        <v>OK</v>
      </c>
    </row>
    <row r="2553" spans="1:4" x14ac:dyDescent="0.2">
      <c r="A2553" s="5">
        <v>2492</v>
      </c>
      <c r="B2553" s="138">
        <f>'Acct Summary 7-8'!C6</f>
        <v>2412147</v>
      </c>
      <c r="C2553" s="2" t="s">
        <v>594</v>
      </c>
      <c r="D2553" s="2" t="str">
        <f t="shared" si="38"/>
        <v>Error?</v>
      </c>
    </row>
    <row r="2554" spans="1:4" x14ac:dyDescent="0.2">
      <c r="A2554" s="5">
        <v>2493</v>
      </c>
      <c r="B2554" s="138">
        <f>'Acct Summary 7-8'!C7</f>
        <v>348253</v>
      </c>
      <c r="C2554" s="2" t="s">
        <v>594</v>
      </c>
      <c r="D2554" s="2" t="str">
        <f t="shared" si="38"/>
        <v>Error?</v>
      </c>
    </row>
    <row r="2555" spans="1:4" x14ac:dyDescent="0.2">
      <c r="A2555" s="5">
        <v>2494</v>
      </c>
      <c r="B2555" s="138">
        <f>'Acct Summary 7-8'!C8</f>
        <v>3175362</v>
      </c>
      <c r="C2555" s="2" t="s">
        <v>594</v>
      </c>
      <c r="D2555" s="2" t="str">
        <f t="shared" si="38"/>
        <v>Error?</v>
      </c>
    </row>
    <row r="2556" spans="1:4" x14ac:dyDescent="0.2">
      <c r="A2556" s="5">
        <v>2495</v>
      </c>
      <c r="B2556" s="138">
        <f>'Acct Summary 7-8'!C12</f>
        <v>1801851</v>
      </c>
      <c r="C2556" s="2" t="s">
        <v>594</v>
      </c>
      <c r="D2556" s="2" t="str">
        <f t="shared" si="38"/>
        <v>Error?</v>
      </c>
    </row>
    <row r="2557" spans="1:4" x14ac:dyDescent="0.2">
      <c r="A2557" s="5">
        <v>2496</v>
      </c>
      <c r="B2557" s="138">
        <f>'Acct Summary 7-8'!C13</f>
        <v>990754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138829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2931434</v>
      </c>
      <c r="C2561" s="2" t="s">
        <v>594</v>
      </c>
      <c r="D2561" s="2" t="str">
        <f t="shared" si="39"/>
        <v>Error?</v>
      </c>
    </row>
    <row r="2562" spans="1:4" x14ac:dyDescent="0.2">
      <c r="A2562" s="5">
        <v>2501</v>
      </c>
      <c r="B2562" s="138">
        <f>'Acct Summary 7-8'!C20</f>
        <v>243928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78943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78943</v>
      </c>
      <c r="C2568" s="2" t="s">
        <v>594</v>
      </c>
      <c r="D2568" s="2" t="str">
        <f t="shared" si="39"/>
        <v>Error?</v>
      </c>
    </row>
    <row r="2569" spans="1:4" x14ac:dyDescent="0.2">
      <c r="A2569" s="5">
        <v>2508</v>
      </c>
      <c r="B2569" s="138">
        <f>'Acct Summary 7-8'!D13</f>
        <v>111064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111064</v>
      </c>
      <c r="C2573" s="2" t="s">
        <v>594</v>
      </c>
      <c r="D2573" s="2" t="str">
        <f t="shared" si="39"/>
        <v>Error?</v>
      </c>
    </row>
    <row r="2574" spans="1:4" x14ac:dyDescent="0.2">
      <c r="A2574" s="5">
        <v>2513</v>
      </c>
      <c r="B2574" s="138">
        <f>'Acct Summary 7-8'!D20</f>
        <v>-32121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31821</v>
      </c>
      <c r="C2591" s="2" t="s">
        <v>594</v>
      </c>
      <c r="D2591" s="2" t="str">
        <f t="shared" si="39"/>
        <v>Error?</v>
      </c>
    </row>
    <row r="2592" spans="1:4" x14ac:dyDescent="0.2">
      <c r="A2592" s="10">
        <v>2531</v>
      </c>
      <c r="D2592" s="2" t="str">
        <f t="shared" si="39"/>
        <v>OK</v>
      </c>
    </row>
    <row r="2593" spans="1:4" x14ac:dyDescent="0.2">
      <c r="A2593" s="5">
        <v>2532</v>
      </c>
      <c r="B2593" s="138">
        <f>'Acct Summary 7-8'!F6</f>
        <v>281121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312942</v>
      </c>
      <c r="C2595" s="2" t="s">
        <v>594</v>
      </c>
      <c r="D2595" s="2" t="str">
        <f t="shared" si="39"/>
        <v>Error?</v>
      </c>
    </row>
    <row r="2596" spans="1:4" x14ac:dyDescent="0.2">
      <c r="A2596" s="5">
        <v>2535</v>
      </c>
      <c r="B2596" s="138">
        <f>'Acct Summary 7-8'!F13</f>
        <v>285790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11500</v>
      </c>
      <c r="C2599" s="2" t="s">
        <v>594</v>
      </c>
      <c r="D2599" s="2" t="str">
        <f t="shared" si="39"/>
        <v>Error?</v>
      </c>
    </row>
    <row r="2600" spans="1:4" x14ac:dyDescent="0.2">
      <c r="A2600" s="5">
        <v>2539</v>
      </c>
      <c r="B2600" s="138">
        <f>'Acct Summary 7-8'!F17</f>
        <v>297290</v>
      </c>
      <c r="C2600" s="2" t="s">
        <v>594</v>
      </c>
      <c r="D2600" s="2" t="str">
        <f t="shared" si="39"/>
        <v>Error?</v>
      </c>
    </row>
    <row r="2601" spans="1:4" x14ac:dyDescent="0.2">
      <c r="A2601" s="5">
        <v>2540</v>
      </c>
      <c r="B2601" s="138">
        <f>'Acct Summary 7-8'!F20</f>
        <v>15652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111873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111873</v>
      </c>
      <c r="C2606" s="2" t="s">
        <v>594</v>
      </c>
      <c r="D2606" s="2" t="str">
        <f t="shared" si="39"/>
        <v>Error?</v>
      </c>
    </row>
    <row r="2607" spans="1:4" x14ac:dyDescent="0.2">
      <c r="A2607" s="5">
        <v>2546</v>
      </c>
      <c r="B2607" s="138">
        <f>'Acct Summary 7-8'!G12</f>
        <v>58155</v>
      </c>
      <c r="C2607" s="2" t="s">
        <v>594</v>
      </c>
      <c r="D2607" s="2" t="str">
        <f t="shared" si="39"/>
        <v>Error?</v>
      </c>
    </row>
    <row r="2608" spans="1:4" x14ac:dyDescent="0.2">
      <c r="A2608" s="5">
        <v>2547</v>
      </c>
      <c r="B2608" s="138">
        <f>'Acct Summary 7-8'!G13</f>
        <v>65073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123228</v>
      </c>
      <c r="C2612" s="2" t="s">
        <v>594</v>
      </c>
      <c r="D2612" s="2" t="str">
        <f t="shared" si="39"/>
        <v>Error?</v>
      </c>
    </row>
    <row r="2613" spans="1:4" x14ac:dyDescent="0.2">
      <c r="A2613" s="5">
        <v>2552</v>
      </c>
      <c r="B2613" s="138">
        <f>'Acct Summary 7-8'!G20</f>
        <v>-11355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291396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291396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289181</v>
      </c>
      <c r="C2634" s="2" t="s">
        <v>594</v>
      </c>
      <c r="D2634" s="2" t="str">
        <f t="shared" si="40"/>
        <v>Error?</v>
      </c>
    </row>
    <row r="2635" spans="1:4" x14ac:dyDescent="0.2">
      <c r="A2635" s="5">
        <v>2574</v>
      </c>
      <c r="B2635" s="138">
        <f>'Acct Summary 7-8'!E17</f>
        <v>289181</v>
      </c>
      <c r="C2635" s="2" t="s">
        <v>594</v>
      </c>
      <c r="D2635" s="2" t="str">
        <f t="shared" si="40"/>
        <v>Error?</v>
      </c>
    </row>
    <row r="2636" spans="1:4" x14ac:dyDescent="0.2">
      <c r="A2636" s="5">
        <v>2575</v>
      </c>
      <c r="B2636" s="138">
        <f>'Acct Summary 7-8'!E20</f>
        <v>2215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12710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12710</v>
      </c>
      <c r="C2658" s="2" t="s">
        <v>594</v>
      </c>
      <c r="D2658" s="2" t="str">
        <f t="shared" si="40"/>
        <v>Error?</v>
      </c>
    </row>
    <row r="2659" spans="1:4" x14ac:dyDescent="0.2">
      <c r="A2659" s="5">
        <v>2598</v>
      </c>
      <c r="B2659" s="138">
        <f>'Acct Summary 7-8'!H13</f>
        <v>1199431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1199431</v>
      </c>
      <c r="C2661" s="2" t="s">
        <v>594</v>
      </c>
      <c r="D2661" s="2" t="str">
        <f t="shared" si="40"/>
        <v>Error?</v>
      </c>
    </row>
    <row r="2662" spans="1:4" x14ac:dyDescent="0.2">
      <c r="A2662" s="5">
        <v>2601</v>
      </c>
      <c r="B2662" s="138">
        <f>'Acct Summary 7-8'!H20</f>
        <v>-1186721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30925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85597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85597</v>
      </c>
      <c r="D2914" s="2" t="str">
        <f t="shared" si="44"/>
        <v>Error?</v>
      </c>
    </row>
    <row r="2915" spans="1:4" x14ac:dyDescent="0.2">
      <c r="A2915" s="10">
        <v>2854</v>
      </c>
      <c r="D2915" s="2" t="str">
        <f t="shared" si="44"/>
        <v>OK</v>
      </c>
    </row>
    <row r="2916" spans="1:4" x14ac:dyDescent="0.2">
      <c r="A2916" s="5">
        <v>2855</v>
      </c>
      <c r="B2916" s="138">
        <f>'Assets-Liab 5-6'!L34</f>
        <v>85597</v>
      </c>
      <c r="C2916" s="2" t="s">
        <v>594</v>
      </c>
      <c r="D2916" s="2" t="str">
        <f t="shared" si="44"/>
        <v>Error?</v>
      </c>
    </row>
    <row r="2917" spans="1:4" x14ac:dyDescent="0.2">
      <c r="A2917" s="5">
        <v>2856</v>
      </c>
      <c r="B2917" s="138">
        <f>'Assets-Liab 5-6'!L41</f>
        <v>85597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135032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3397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135032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3397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98861</v>
      </c>
      <c r="D3055" s="2" t="str">
        <f t="shared" si="46"/>
        <v>Error?</v>
      </c>
    </row>
    <row r="3056" spans="1:4" x14ac:dyDescent="0.2">
      <c r="A3056" s="5">
        <v>2995</v>
      </c>
      <c r="B3056" s="138">
        <f>'Expenditures 15-22'!D10</f>
        <v>11699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19564</v>
      </c>
      <c r="D3058" s="2" t="str">
        <f t="shared" si="46"/>
        <v>Error?</v>
      </c>
    </row>
    <row r="3059" spans="1:4" x14ac:dyDescent="0.2">
      <c r="A3059" s="5">
        <v>2998</v>
      </c>
      <c r="B3059" s="138">
        <f>'Expenditures 15-22'!G10</f>
        <v>23995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154119</v>
      </c>
      <c r="C3062" s="2" t="s">
        <v>594</v>
      </c>
      <c r="D3062" s="2" t="str">
        <f t="shared" si="46"/>
        <v>Error?</v>
      </c>
    </row>
    <row r="3063" spans="1:4" x14ac:dyDescent="0.2">
      <c r="A3063" s="10">
        <v>3002</v>
      </c>
      <c r="D3063" s="2" t="str">
        <f t="shared" si="46"/>
        <v>OK</v>
      </c>
    </row>
    <row r="3064" spans="1:4" x14ac:dyDescent="0.2">
      <c r="A3064" s="5">
        <v>3003</v>
      </c>
      <c r="B3064" s="138">
        <f>'Expenditures 15-22'!D219</f>
        <v>15227</v>
      </c>
      <c r="D3064" s="2" t="str">
        <f t="shared" si="46"/>
        <v>Error?</v>
      </c>
    </row>
    <row r="3065" spans="1:4" x14ac:dyDescent="0.2">
      <c r="A3065" s="5">
        <v>3004</v>
      </c>
      <c r="B3065" s="138">
        <f>'Expenditures 15-22'!K219</f>
        <v>15227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53244</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7854</v>
      </c>
      <c r="C3225" s="2" t="s">
        <v>594</v>
      </c>
      <c r="D3225" s="2" t="str">
        <f t="shared" si="49"/>
        <v>Error?</v>
      </c>
    </row>
    <row r="3226" spans="1:4" x14ac:dyDescent="0.2">
      <c r="A3226" s="5">
        <v>3165</v>
      </c>
      <c r="B3226" s="138">
        <f>'Acct Summary 7-8'!I8</f>
        <v>7854</v>
      </c>
      <c r="C3226" s="2" t="s">
        <v>594</v>
      </c>
      <c r="D3226" s="2" t="str">
        <f t="shared" si="49"/>
        <v>Error?</v>
      </c>
    </row>
    <row r="3227" spans="1:4" x14ac:dyDescent="0.2">
      <c r="A3227" s="5">
        <v>3166</v>
      </c>
      <c r="B3227" s="138">
        <f>'Acct Summary 7-8'!I20</f>
        <v>7854</v>
      </c>
      <c r="C3227" s="2" t="s">
        <v>594</v>
      </c>
      <c r="D3227" s="2" t="str">
        <f t="shared" si="49"/>
        <v>Error?</v>
      </c>
    </row>
    <row r="3228" spans="1:4" x14ac:dyDescent="0.2">
      <c r="A3228" s="5">
        <v>3167</v>
      </c>
      <c r="B3228" s="138">
        <f>'Acct Summary 7-8'!C43</f>
        <v>9600</v>
      </c>
      <c r="D3228" s="2" t="str">
        <f t="shared" si="49"/>
        <v>Error?</v>
      </c>
    </row>
    <row r="3229" spans="1:4" x14ac:dyDescent="0.2">
      <c r="A3229" s="5">
        <v>3168</v>
      </c>
      <c r="B3229" s="138">
        <f>'Acct Summary 7-8'!C44</f>
        <v>17454</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17454</v>
      </c>
      <c r="C3232" s="2" t="s">
        <v>594</v>
      </c>
      <c r="D3232" s="2" t="str">
        <f t="shared" si="49"/>
        <v>Error?</v>
      </c>
    </row>
    <row r="3233" spans="1:4" x14ac:dyDescent="0.2">
      <c r="A3233" s="5">
        <v>3172</v>
      </c>
      <c r="B3233" s="138">
        <f>'Acct Summary 7-8'!C78</f>
        <v>261382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-32121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53244</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53244</v>
      </c>
      <c r="C3255" s="2" t="s">
        <v>594</v>
      </c>
      <c r="D3255" s="2" t="str">
        <f t="shared" si="49"/>
        <v>Error?</v>
      </c>
    </row>
    <row r="3256" spans="1:4" x14ac:dyDescent="0.2">
      <c r="A3256" s="5">
        <v>3195</v>
      </c>
      <c r="B3256" s="138">
        <f>'Acct Summary 7-8'!F78</f>
        <v>68896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-11355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2215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-1186721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7854</v>
      </c>
      <c r="C3318" s="2" t="s">
        <v>594</v>
      </c>
      <c r="D3318" s="2" t="str">
        <f t="shared" si="50"/>
        <v>Error?</v>
      </c>
    </row>
    <row r="3319" spans="1:4" x14ac:dyDescent="0.2">
      <c r="A3319" s="5">
        <v>3258</v>
      </c>
      <c r="B3319" s="138">
        <f>'Acct Summary 7-8'!I77</f>
        <v>-7854</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255360</v>
      </c>
      <c r="D3366" s="2" t="str">
        <f t="shared" si="51"/>
        <v>Error?</v>
      </c>
    </row>
    <row r="3367" spans="1:4" x14ac:dyDescent="0.2">
      <c r="A3367" s="5">
        <v>3306</v>
      </c>
      <c r="B3367" s="138">
        <f>'Expenditures 15-22'!C19</f>
        <v>28501</v>
      </c>
      <c r="D3367" s="2" t="str">
        <f t="shared" si="51"/>
        <v>Error?</v>
      </c>
    </row>
    <row r="3368" spans="1:4" x14ac:dyDescent="0.2">
      <c r="A3368" s="5">
        <v>3307</v>
      </c>
      <c r="B3368" s="138">
        <f>'Expenditures 15-22'!D8</f>
        <v>8558</v>
      </c>
      <c r="D3368" s="2" t="str">
        <f t="shared" si="51"/>
        <v>Error?</v>
      </c>
    </row>
    <row r="3369" spans="1:4" x14ac:dyDescent="0.2">
      <c r="A3369" s="5">
        <v>3308</v>
      </c>
      <c r="B3369" s="138">
        <f>'Expenditures 15-22'!D19</f>
        <v>211</v>
      </c>
      <c r="D3369" s="2" t="str">
        <f t="shared" si="51"/>
        <v>Error?</v>
      </c>
    </row>
    <row r="3370" spans="1:4" x14ac:dyDescent="0.2">
      <c r="A3370" s="5">
        <v>3309</v>
      </c>
      <c r="B3370" s="138">
        <f>'Expenditures 15-22'!E8</f>
        <v>798</v>
      </c>
      <c r="D3370" s="2" t="str">
        <f t="shared" si="51"/>
        <v>Error?</v>
      </c>
    </row>
    <row r="3371" spans="1:4" x14ac:dyDescent="0.2">
      <c r="A3371" s="5">
        <v>3310</v>
      </c>
      <c r="B3371" s="138">
        <f>'Expenditures 15-22'!E19</f>
        <v>41</v>
      </c>
      <c r="D3371" s="2" t="str">
        <f t="shared" si="51"/>
        <v>Error?</v>
      </c>
    </row>
    <row r="3372" spans="1:4" x14ac:dyDescent="0.2">
      <c r="A3372" s="5">
        <v>3311</v>
      </c>
      <c r="B3372" s="138">
        <f>'Expenditures 15-22'!F8</f>
        <v>486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2501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267703</v>
      </c>
      <c r="C3380" s="2" t="s">
        <v>594</v>
      </c>
      <c r="D3380" s="2" t="str">
        <f t="shared" si="51"/>
        <v>Error?</v>
      </c>
    </row>
    <row r="3381" spans="1:4" x14ac:dyDescent="0.2">
      <c r="A3381" s="5">
        <v>3320</v>
      </c>
      <c r="B3381" s="138">
        <f>'Expenditures 15-22'!K19</f>
        <v>28753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14940</v>
      </c>
      <c r="D3387" s="2" t="str">
        <f t="shared" si="51"/>
        <v>Error?</v>
      </c>
    </row>
    <row r="3388" spans="1:4" x14ac:dyDescent="0.2">
      <c r="A3388" s="5">
        <v>3327</v>
      </c>
      <c r="B3388" s="138">
        <f>'Expenditures 15-22'!D217</f>
        <v>23706</v>
      </c>
      <c r="D3388" s="2" t="str">
        <f t="shared" si="51"/>
        <v>Error?</v>
      </c>
    </row>
    <row r="3389" spans="1:4" x14ac:dyDescent="0.2">
      <c r="A3389" s="5">
        <v>3328</v>
      </c>
      <c r="B3389" s="138">
        <f>'Expenditures 15-22'!D228</f>
        <v>161</v>
      </c>
      <c r="D3389" s="2" t="str">
        <f t="shared" si="51"/>
        <v>Error?</v>
      </c>
    </row>
    <row r="3390" spans="1:4" x14ac:dyDescent="0.2">
      <c r="A3390" s="5">
        <v>3329</v>
      </c>
      <c r="B3390" s="138">
        <f>'Expenditures 15-22'!K215</f>
        <v>14940</v>
      </c>
      <c r="C3390" s="2" t="s">
        <v>594</v>
      </c>
      <c r="D3390" s="2" t="str">
        <f t="shared" si="51"/>
        <v>Error?</v>
      </c>
    </row>
    <row r="3391" spans="1:4" x14ac:dyDescent="0.2">
      <c r="A3391" s="5">
        <v>3330</v>
      </c>
      <c r="B3391" s="138">
        <f>'Expenditures 15-22'!K217</f>
        <v>23706</v>
      </c>
      <c r="C3391" s="2" t="s">
        <v>594</v>
      </c>
      <c r="D3391" s="2" t="str">
        <f t="shared" ref="D3391:D3454" si="52">IF(ISBLANK(B3391),"OK",IF(A3391-B3391=0,"OK","Error?"))</f>
        <v>Error?</v>
      </c>
    </row>
    <row r="3392" spans="1:4" x14ac:dyDescent="0.2">
      <c r="A3392" s="5">
        <v>3331</v>
      </c>
      <c r="B3392" s="138">
        <f>'Expenditures 15-22'!K228</f>
        <v>161</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49516</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1589754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64035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74923</v>
      </c>
      <c r="D3417" s="2" t="str">
        <f t="shared" si="52"/>
        <v>Error?</v>
      </c>
    </row>
    <row r="3418" spans="1:4" x14ac:dyDescent="0.2">
      <c r="A3418" s="10">
        <v>3357</v>
      </c>
      <c r="D3418" s="2" t="str">
        <f t="shared" si="52"/>
        <v>OK</v>
      </c>
    </row>
    <row r="3419" spans="1:4" x14ac:dyDescent="0.2">
      <c r="A3419" s="5">
        <v>3358</v>
      </c>
      <c r="B3419" s="138">
        <f>'Assets-Liab 5-6'!F4</f>
        <v>207299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149093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784684</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85597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19924</v>
      </c>
      <c r="C3446" s="2" t="s">
        <v>594</v>
      </c>
      <c r="D3446" s="2" t="str">
        <f t="shared" si="52"/>
        <v>Error?</v>
      </c>
    </row>
    <row r="3447" spans="1:4" x14ac:dyDescent="0.2">
      <c r="A3447" s="5">
        <v>3386</v>
      </c>
      <c r="B3447" s="138">
        <f>'Tax Sched 23'!D16</f>
        <v>19924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20287</v>
      </c>
      <c r="C3449" s="2" t="s">
        <v>594</v>
      </c>
      <c r="D3449" s="2" t="str">
        <f t="shared" si="52"/>
        <v>Error?</v>
      </c>
    </row>
    <row r="3450" spans="1:4" x14ac:dyDescent="0.2">
      <c r="A3450" s="5">
        <v>3389</v>
      </c>
      <c r="B3450" s="138">
        <f>'Tax Sched 23'!E16</f>
        <v>20287</v>
      </c>
      <c r="D3450" s="2" t="str">
        <f t="shared" si="52"/>
        <v>Error?</v>
      </c>
    </row>
    <row r="3451" spans="1:4" x14ac:dyDescent="0.2">
      <c r="A3451" s="5">
        <v>3390</v>
      </c>
      <c r="B3451" s="138">
        <f>'Cap Outlay Deprec 26'!C15</f>
        <v>112537</v>
      </c>
      <c r="D3451" s="2" t="str">
        <f t="shared" si="52"/>
        <v>Error?</v>
      </c>
    </row>
    <row r="3452" spans="1:4" x14ac:dyDescent="0.2">
      <c r="A3452" s="5">
        <v>3391</v>
      </c>
      <c r="B3452" s="138">
        <f>'Cap Outlay Deprec 26'!D15</f>
        <v>798130</v>
      </c>
      <c r="D3452" s="2" t="str">
        <f t="shared" si="52"/>
        <v>Error?</v>
      </c>
    </row>
    <row r="3453" spans="1:4" x14ac:dyDescent="0.2">
      <c r="A3453" s="5">
        <v>3392</v>
      </c>
      <c r="B3453" s="138">
        <f>'Cap Outlay Deprec 26'!E15</f>
        <v>879742</v>
      </c>
      <c r="D3453" s="2" t="str">
        <f t="shared" si="52"/>
        <v>Error?</v>
      </c>
    </row>
    <row r="3454" spans="1:4" x14ac:dyDescent="0.2">
      <c r="A3454" s="5">
        <v>3393</v>
      </c>
      <c r="B3454" s="138">
        <f>'Cap Outlay Deprec 26'!F15</f>
        <v>30925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30925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51574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51574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51574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51574</v>
      </c>
      <c r="C3568" s="2" t="s">
        <v>594</v>
      </c>
      <c r="D3568" s="2" t="str">
        <f t="shared" si="54"/>
        <v>Error?</v>
      </c>
    </row>
    <row r="3569" spans="1:4" x14ac:dyDescent="0.2">
      <c r="A3569" s="5">
        <v>3508</v>
      </c>
      <c r="B3569" s="138">
        <f>'Acct Summary 7-8'!K4</f>
        <v>81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81</v>
      </c>
      <c r="C3588" s="2" t="s">
        <v>594</v>
      </c>
      <c r="D3588" s="2" t="str">
        <f t="shared" si="55"/>
        <v>Error?</v>
      </c>
    </row>
    <row r="3589" spans="1:4" x14ac:dyDescent="0.2">
      <c r="A3589" s="5">
        <v>3528</v>
      </c>
      <c r="B3589" s="138">
        <f>'Acct Summary 7-8'!K79</f>
        <v>51493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51574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148211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1071143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4246505</v>
      </c>
      <c r="C4122" s="2" t="s">
        <v>594</v>
      </c>
      <c r="D4122" s="2" t="str">
        <f t="shared" si="63"/>
        <v>Error?</v>
      </c>
    </row>
    <row r="4123" spans="1:4" x14ac:dyDescent="0.2">
      <c r="A4123" s="5">
        <v>4062</v>
      </c>
      <c r="B4123" s="138">
        <f>'Acct Summary 7-8'!D10</f>
        <v>78943</v>
      </c>
      <c r="C4123" s="2" t="s">
        <v>594</v>
      </c>
      <c r="D4123" s="2" t="str">
        <f t="shared" si="63"/>
        <v>Error?</v>
      </c>
    </row>
    <row r="4124" spans="1:4" x14ac:dyDescent="0.2">
      <c r="A4124" s="5">
        <v>4063</v>
      </c>
      <c r="B4124" s="138">
        <f>'Acct Summary 7-8'!E10</f>
        <v>291396</v>
      </c>
      <c r="C4124" s="2" t="s">
        <v>594</v>
      </c>
      <c r="D4124" s="2" t="str">
        <f t="shared" si="63"/>
        <v>Error?</v>
      </c>
    </row>
    <row r="4125" spans="1:4" x14ac:dyDescent="0.2">
      <c r="A4125" s="5">
        <v>4064</v>
      </c>
      <c r="B4125" s="138">
        <f>'Acct Summary 7-8'!F10</f>
        <v>312942</v>
      </c>
      <c r="C4125" s="2" t="s">
        <v>594</v>
      </c>
      <c r="D4125" s="2" t="str">
        <f t="shared" si="63"/>
        <v>Error?</v>
      </c>
    </row>
    <row r="4126" spans="1:4" x14ac:dyDescent="0.2">
      <c r="A4126" s="5">
        <v>4065</v>
      </c>
      <c r="B4126" s="138">
        <f>'Acct Summary 7-8'!G10</f>
        <v>111873</v>
      </c>
      <c r="C4126" s="2" t="s">
        <v>594</v>
      </c>
      <c r="D4126" s="2" t="str">
        <f t="shared" si="63"/>
        <v>Error?</v>
      </c>
    </row>
    <row r="4127" spans="1:4" x14ac:dyDescent="0.2">
      <c r="A4127" s="5">
        <v>4066</v>
      </c>
      <c r="B4127" s="138">
        <f>'Acct Summary 7-8'!H10</f>
        <v>12710</v>
      </c>
      <c r="C4127" s="2" t="s">
        <v>594</v>
      </c>
      <c r="D4127" s="2" t="str">
        <f t="shared" si="63"/>
        <v>Error?</v>
      </c>
    </row>
    <row r="4128" spans="1:4" x14ac:dyDescent="0.2">
      <c r="A4128" s="5">
        <v>4067</v>
      </c>
      <c r="B4128" s="138">
        <f>'Acct Summary 7-8'!I10</f>
        <v>7854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81</v>
      </c>
      <c r="C4130" s="2" t="s">
        <v>594</v>
      </c>
      <c r="D4130" s="2" t="str">
        <f t="shared" si="63"/>
        <v>Error?</v>
      </c>
    </row>
    <row r="4131" spans="1:4" x14ac:dyDescent="0.2">
      <c r="A4131" s="5">
        <v>4070</v>
      </c>
      <c r="B4131" s="138">
        <f>'Acct Summary 7-8'!C18</f>
        <v>1071143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4002577</v>
      </c>
      <c r="C4136" s="2" t="s">
        <v>594</v>
      </c>
      <c r="D4136" s="2" t="str">
        <f t="shared" si="63"/>
        <v>Error?</v>
      </c>
    </row>
    <row r="4137" spans="1:4" x14ac:dyDescent="0.2">
      <c r="A4137" s="5">
        <v>4076</v>
      </c>
      <c r="B4137" s="138">
        <f>'Acct Summary 7-8'!D19</f>
        <v>111064</v>
      </c>
      <c r="C4137" s="2" t="s">
        <v>594</v>
      </c>
      <c r="D4137" s="2" t="str">
        <f t="shared" si="63"/>
        <v>Error?</v>
      </c>
    </row>
    <row r="4138" spans="1:4" x14ac:dyDescent="0.2">
      <c r="A4138" s="5">
        <v>4077</v>
      </c>
      <c r="B4138" s="138">
        <f>'Acct Summary 7-8'!E19</f>
        <v>289181</v>
      </c>
      <c r="C4138" s="2" t="s">
        <v>594</v>
      </c>
      <c r="D4138" s="2" t="str">
        <f t="shared" si="63"/>
        <v>Error?</v>
      </c>
    </row>
    <row r="4139" spans="1:4" x14ac:dyDescent="0.2">
      <c r="A4139" s="5">
        <v>4078</v>
      </c>
      <c r="B4139" s="138">
        <f>'Acct Summary 7-8'!F19</f>
        <v>297290</v>
      </c>
      <c r="C4139" s="2" t="s">
        <v>594</v>
      </c>
      <c r="D4139" s="2" t="str">
        <f t="shared" si="63"/>
        <v>Error?</v>
      </c>
    </row>
    <row r="4140" spans="1:4" x14ac:dyDescent="0.2">
      <c r="A4140" s="5">
        <v>4079</v>
      </c>
      <c r="B4140" s="138">
        <f>'Acct Summary 7-8'!G19</f>
        <v>123228</v>
      </c>
      <c r="C4140" s="2" t="s">
        <v>594</v>
      </c>
      <c r="D4140" s="2" t="str">
        <f t="shared" si="63"/>
        <v>Error?</v>
      </c>
    </row>
    <row r="4141" spans="1:4" x14ac:dyDescent="0.2">
      <c r="A4141" s="5">
        <v>4080</v>
      </c>
      <c r="B4141" s="138">
        <f>'Acct Summary 7-8'!H19</f>
        <v>1199431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3046744</v>
      </c>
      <c r="C4171" s="2" t="s">
        <v>594</v>
      </c>
      <c r="D4171" s="2" t="str">
        <f t="shared" si="64"/>
        <v>Error?</v>
      </c>
    </row>
    <row r="4172" spans="1:4" x14ac:dyDescent="0.2">
      <c r="A4172" s="5">
        <v>4111</v>
      </c>
      <c r="B4172" s="138">
        <f>'Short-Term Long-Term Debt 24'!J49</f>
        <v>2971821</v>
      </c>
      <c r="C4172" s="2" t="s">
        <v>594</v>
      </c>
      <c r="D4172" s="2" t="str">
        <f t="shared" si="64"/>
        <v>Error?</v>
      </c>
    </row>
    <row r="4173" spans="1:4" x14ac:dyDescent="0.2">
      <c r="A4173" s="5">
        <v>4112</v>
      </c>
      <c r="B4173" s="138">
        <f>'Short-Term Long-Term Debt 24'!H49</f>
        <v>196500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11500</v>
      </c>
      <c r="D4210" s="2" t="str">
        <f t="shared" si="64"/>
        <v>Error?</v>
      </c>
    </row>
    <row r="4211" spans="1:4" x14ac:dyDescent="0.2">
      <c r="A4211" s="5">
        <v>4150</v>
      </c>
      <c r="B4211" s="138">
        <f>'Expenditures 15-22'!K206</f>
        <v>11500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1811.6799999999998</v>
      </c>
      <c r="C4265" s="2" t="s">
        <v>594</v>
      </c>
      <c r="D4265" s="2" t="str">
        <f t="shared" si="65"/>
        <v>Error?</v>
      </c>
      <c r="E4265" s="128"/>
    </row>
    <row r="4266" spans="1:5" x14ac:dyDescent="0.2">
      <c r="A4266" s="12">
        <v>4205</v>
      </c>
      <c r="B4266" s="138">
        <f>('FP Info 3'!F10)*100000</f>
        <v>429.98999999999995</v>
      </c>
      <c r="C4266" s="2" t="s">
        <v>594</v>
      </c>
      <c r="D4266" s="2" t="str">
        <f t="shared" si="65"/>
        <v>Error?</v>
      </c>
      <c r="E4266" s="128"/>
    </row>
    <row r="4267" spans="1:5" x14ac:dyDescent="0.2">
      <c r="A4267" s="12">
        <v>4206</v>
      </c>
      <c r="B4267" s="138">
        <f>('FP Info 3'!H10)*100000</f>
        <v>191.98</v>
      </c>
      <c r="C4267" s="2" t="s">
        <v>594</v>
      </c>
      <c r="D4267" s="2" t="str">
        <f t="shared" si="65"/>
        <v>Error?</v>
      </c>
      <c r="E4267" s="128"/>
    </row>
    <row r="4268" spans="1:5" x14ac:dyDescent="0.2">
      <c r="A4268" s="12">
        <v>4207</v>
      </c>
      <c r="B4268" s="138">
        <f>('FP Info 3'!J10)*100000</f>
        <v>2434</v>
      </c>
      <c r="C4268" s="2" t="s">
        <v>594</v>
      </c>
      <c r="D4268" s="2" t="str">
        <f t="shared" si="65"/>
        <v>Error?</v>
      </c>
    </row>
    <row r="4269" spans="1:5" x14ac:dyDescent="0.2">
      <c r="A4269" s="12">
        <v>4208</v>
      </c>
      <c r="B4269" s="138">
        <f>'FP Info 3'!J16</f>
        <v>1870438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29869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42.99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3049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18392548</v>
      </c>
      <c r="D4995" s="2" t="str">
        <f t="shared" si="77"/>
        <v>Error?</v>
      </c>
    </row>
    <row r="4996" spans="1:4" x14ac:dyDescent="0.2">
      <c r="A4996" s="12">
        <v>4935</v>
      </c>
      <c r="B4996" s="138">
        <f>'FP Info 3'!H31</f>
        <v>2538171.6240000003</v>
      </c>
      <c r="D4996" s="2" t="str">
        <f t="shared" si="77"/>
        <v>Error?</v>
      </c>
    </row>
    <row r="4997" spans="1:4" x14ac:dyDescent="0.2">
      <c r="A4997" s="12">
        <v>4936</v>
      </c>
      <c r="B4997" s="138">
        <f>'FP Info 3'!H37</f>
        <v>3046744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312116</v>
      </c>
      <c r="D5061" s="2" t="str">
        <f t="shared" si="78"/>
        <v>Error?</v>
      </c>
    </row>
    <row r="5062" spans="1:4" x14ac:dyDescent="0.2">
      <c r="A5062" s="10">
        <v>5001</v>
      </c>
      <c r="D5062" s="2" t="str">
        <f t="shared" si="78"/>
        <v>OK</v>
      </c>
    </row>
    <row r="5063" spans="1:4" x14ac:dyDescent="0.2">
      <c r="A5063" s="5">
        <v>5002</v>
      </c>
      <c r="B5063" s="138">
        <f>'Revenues 9-14'!C7</f>
        <v>6243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318359</v>
      </c>
      <c r="C5066" s="2" t="s">
        <v>594</v>
      </c>
      <c r="D5066" s="2" t="str">
        <f t="shared" si="78"/>
        <v>Error?</v>
      </c>
    </row>
    <row r="5067" spans="1:4" x14ac:dyDescent="0.2">
      <c r="A5067" s="5">
        <v>5006</v>
      </c>
      <c r="B5067" s="138">
        <f>'Revenues 9-14'!C14</f>
        <v>240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15240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5650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5650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4074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4074</v>
      </c>
      <c r="C5096" s="2" t="s">
        <v>594</v>
      </c>
      <c r="D5096" s="2" t="str">
        <f t="shared" si="78"/>
        <v>Error?</v>
      </c>
    </row>
    <row r="5097" spans="1:4" x14ac:dyDescent="0.2">
      <c r="A5097" s="5">
        <v>5036</v>
      </c>
      <c r="B5097" s="138">
        <f>'Revenues 9-14'!C77</f>
        <v>11648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2601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14249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6951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923</v>
      </c>
      <c r="D5119" s="2" t="str">
        <f t="shared" ref="D5119:D5182" si="79">IF(ISBLANK(B5119),"OK",IF(A5119-B5119=0,"OK","Error?"))</f>
        <v>Error?</v>
      </c>
    </row>
    <row r="5120" spans="1:4" x14ac:dyDescent="0.2">
      <c r="A5120" s="5">
        <v>5059</v>
      </c>
      <c r="B5120" s="138">
        <f>'Revenues 9-14'!C108</f>
        <v>7874</v>
      </c>
      <c r="C5120" s="2" t="s">
        <v>594</v>
      </c>
      <c r="D5120" s="2" t="str">
        <f t="shared" si="79"/>
        <v>Error?</v>
      </c>
    </row>
    <row r="5121" spans="1:4" x14ac:dyDescent="0.2">
      <c r="A5121" s="5">
        <v>5060</v>
      </c>
      <c r="B5121" s="138">
        <f>'Revenues 9-14'!C109</f>
        <v>365446</v>
      </c>
      <c r="C5121" s="2" t="s">
        <v>594</v>
      </c>
      <c r="D5121" s="2" t="str">
        <f t="shared" si="79"/>
        <v>Error?</v>
      </c>
    </row>
    <row r="5122" spans="1:4" x14ac:dyDescent="0.2">
      <c r="A5122" s="5">
        <v>5061</v>
      </c>
      <c r="B5122" s="138">
        <f>'Revenues 9-14'!C111</f>
        <v>36812</v>
      </c>
      <c r="D5122" s="2" t="str">
        <f t="shared" si="79"/>
        <v>Error?</v>
      </c>
    </row>
    <row r="5123" spans="1:4" x14ac:dyDescent="0.2">
      <c r="A5123" s="5">
        <v>5062</v>
      </c>
      <c r="B5123" s="138">
        <f>'Revenues 9-14'!C112</f>
        <v>12704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49516</v>
      </c>
      <c r="C5125" s="2" t="s">
        <v>594</v>
      </c>
      <c r="D5125" s="2" t="str">
        <f t="shared" si="79"/>
        <v>Error?</v>
      </c>
    </row>
    <row r="5126" spans="1:4" x14ac:dyDescent="0.2">
      <c r="A5126" s="5">
        <v>5065</v>
      </c>
      <c r="B5126" s="138">
        <f>'Revenues 9-14'!C117</f>
        <v>2265578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2265578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26722</v>
      </c>
      <c r="D5134" s="2" t="str">
        <f t="shared" si="79"/>
        <v>Error?</v>
      </c>
    </row>
    <row r="5135" spans="1:4" x14ac:dyDescent="0.2">
      <c r="A5135" s="5">
        <v>5074</v>
      </c>
      <c r="B5135" s="138">
        <f>'Revenues 9-14'!C126</f>
        <v>21983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48705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6498</v>
      </c>
      <c r="D5167" s="2" t="str">
        <f t="shared" si="79"/>
        <v>Error?</v>
      </c>
    </row>
    <row r="5168" spans="1:4" x14ac:dyDescent="0.2">
      <c r="A5168" s="5">
        <v>5107</v>
      </c>
      <c r="B5168" s="138">
        <f>'Revenues 9-14'!C147</f>
        <v>4973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84893</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146569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2412147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139088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49950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189038</v>
      </c>
      <c r="C5246" s="2" t="s">
        <v>594</v>
      </c>
      <c r="D5246" s="2" t="str">
        <f t="shared" si="80"/>
        <v>Error?</v>
      </c>
    </row>
    <row r="5247" spans="1:4" x14ac:dyDescent="0.2">
      <c r="A5247" s="5">
        <v>5186</v>
      </c>
      <c r="B5247" s="138">
        <f>'Revenues 9-14'!C203</f>
        <v>126297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126297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348253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348253</v>
      </c>
      <c r="C5326" s="2" t="s">
        <v>594</v>
      </c>
      <c r="D5326" s="2" t="str">
        <f t="shared" si="82"/>
        <v>Error?</v>
      </c>
    </row>
    <row r="5327" spans="1:4" x14ac:dyDescent="0.2">
      <c r="A5327" s="5">
        <v>5266</v>
      </c>
      <c r="B5327" s="138">
        <f>'Revenues 9-14'!C275</f>
        <v>3175362</v>
      </c>
      <c r="C5327" s="2" t="s">
        <v>594</v>
      </c>
      <c r="D5327" s="2" t="str">
        <f t="shared" si="82"/>
        <v>Error?</v>
      </c>
    </row>
    <row r="5328" spans="1:4" x14ac:dyDescent="0.2">
      <c r="A5328" s="5">
        <v>5267</v>
      </c>
      <c r="B5328" s="138">
        <f>'Revenues 9-14'!D5</f>
        <v>78240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78240</v>
      </c>
      <c r="C5334" s="2" t="s">
        <v>594</v>
      </c>
      <c r="D5334" s="2" t="str">
        <f t="shared" si="82"/>
        <v>Error?</v>
      </c>
    </row>
    <row r="5335" spans="1:4" x14ac:dyDescent="0.2">
      <c r="A5335" s="5">
        <v>5274</v>
      </c>
      <c r="B5335" s="138">
        <f>'Revenues 9-14'!D14</f>
        <v>42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42</v>
      </c>
      <c r="C5339" s="2" t="s">
        <v>594</v>
      </c>
      <c r="D5339" s="2" t="str">
        <f t="shared" si="82"/>
        <v>Error?</v>
      </c>
    </row>
    <row r="5340" spans="1:4" x14ac:dyDescent="0.2">
      <c r="A5340" s="5">
        <v>5279</v>
      </c>
      <c r="B5340" s="138">
        <f>'Revenues 9-14'!D65</f>
        <v>661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661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78943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78943</v>
      </c>
      <c r="C5508" s="2" t="s">
        <v>594</v>
      </c>
      <c r="D5508" s="2" t="str">
        <f t="shared" si="85"/>
        <v>Error?</v>
      </c>
    </row>
    <row r="5509" spans="1:4" x14ac:dyDescent="0.2">
      <c r="A5509" s="5">
        <v>5448</v>
      </c>
      <c r="B5509" s="138">
        <f>'Revenues 9-14'!E5</f>
        <v>287710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287710</v>
      </c>
      <c r="C5513" s="2" t="s">
        <v>594</v>
      </c>
      <c r="D5513" s="2" t="str">
        <f t="shared" si="85"/>
        <v>Error?</v>
      </c>
    </row>
    <row r="5514" spans="1:4" x14ac:dyDescent="0.2">
      <c r="A5514" s="5">
        <v>5453</v>
      </c>
      <c r="B5514" s="138">
        <f>'Revenues 9-14'!E14</f>
        <v>156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3000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3156</v>
      </c>
      <c r="C5518" s="2" t="s">
        <v>594</v>
      </c>
      <c r="D5518" s="2" t="str">
        <f t="shared" si="85"/>
        <v>Error?</v>
      </c>
    </row>
    <row r="5519" spans="1:4" x14ac:dyDescent="0.2">
      <c r="A5519" s="5">
        <v>5458</v>
      </c>
      <c r="B5519" s="138">
        <f>'Revenues 9-14'!E65</f>
        <v>530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530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291396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291396</v>
      </c>
      <c r="C5552" s="2" t="s">
        <v>594</v>
      </c>
      <c r="D5552" s="2" t="str">
        <f t="shared" si="85"/>
        <v>Error?</v>
      </c>
    </row>
    <row r="5553" spans="1:4" x14ac:dyDescent="0.2">
      <c r="A5553" s="5">
        <v>5492</v>
      </c>
      <c r="B5553" s="138">
        <f>'Revenues 9-14'!F5</f>
        <v>31211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31211</v>
      </c>
      <c r="C5557" s="2" t="s">
        <v>594</v>
      </c>
      <c r="D5557" s="2" t="str">
        <f t="shared" si="85"/>
        <v>Error?</v>
      </c>
    </row>
    <row r="5558" spans="1:4" x14ac:dyDescent="0.2">
      <c r="A5558" s="5">
        <v>5497</v>
      </c>
      <c r="B5558" s="138">
        <f>'Revenues 9-14'!F14</f>
        <v>17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593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31821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198840</v>
      </c>
      <c r="D5615" s="2" t="str">
        <f t="shared" si="86"/>
        <v>Error?</v>
      </c>
    </row>
    <row r="5616" spans="1:4" x14ac:dyDescent="0.2">
      <c r="A5616" s="10">
        <v>5555</v>
      </c>
      <c r="D5616" s="2" t="str">
        <f t="shared" si="86"/>
        <v>OK</v>
      </c>
    </row>
    <row r="5617" spans="1:4" x14ac:dyDescent="0.2">
      <c r="A5617" s="5">
        <v>5556</v>
      </c>
      <c r="B5617" s="138">
        <f>'Revenues 9-14'!F152</f>
        <v>82281</v>
      </c>
      <c r="D5617" s="2" t="str">
        <f t="shared" si="86"/>
        <v>Error?</v>
      </c>
    </row>
    <row r="5618" spans="1:4" x14ac:dyDescent="0.2">
      <c r="A5618" s="5">
        <v>5557</v>
      </c>
      <c r="B5618" s="138">
        <f>'Revenues 9-14'!F154</f>
        <v>281121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281121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281121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312942</v>
      </c>
      <c r="C5720" s="2" t="s">
        <v>594</v>
      </c>
      <c r="D5720" s="2" t="str">
        <f t="shared" si="88"/>
        <v>Error?</v>
      </c>
    </row>
    <row r="5721" spans="1:4" x14ac:dyDescent="0.2">
      <c r="A5721" s="5">
        <v>5660</v>
      </c>
      <c r="B5721" s="138">
        <f>'Revenues 9-14'!G5</f>
        <v>25306</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45230</v>
      </c>
      <c r="C5725" s="2" t="s">
        <v>594</v>
      </c>
      <c r="D5725" s="2" t="str">
        <f t="shared" si="88"/>
        <v>Error?</v>
      </c>
    </row>
    <row r="5726" spans="1:4" x14ac:dyDescent="0.2">
      <c r="A5726" s="5">
        <v>5665</v>
      </c>
      <c r="B5726" s="138">
        <f>'Revenues 9-14'!G14</f>
        <v>24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66024</v>
      </c>
      <c r="C5730" s="2" t="s">
        <v>594</v>
      </c>
      <c r="D5730" s="2" t="str">
        <f t="shared" si="88"/>
        <v>Error?</v>
      </c>
    </row>
    <row r="5731" spans="1:4" x14ac:dyDescent="0.2">
      <c r="A5731" s="5">
        <v>5670</v>
      </c>
      <c r="B5731" s="138">
        <f>'Revenues 9-14'!G65</f>
        <v>619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619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111873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12710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12710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12710</v>
      </c>
      <c r="C5915" s="2" t="s">
        <v>594</v>
      </c>
      <c r="D5915" s="2" t="str">
        <f t="shared" si="91"/>
        <v>Error?</v>
      </c>
    </row>
    <row r="5916" spans="1:4" x14ac:dyDescent="0.2">
      <c r="A5916" s="5">
        <v>5855</v>
      </c>
      <c r="B5916" s="138">
        <f>'Revenues 9-14'!I5</f>
        <v>7803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7803</v>
      </c>
      <c r="C5918" s="2" t="s">
        <v>594</v>
      </c>
      <c r="D5918" s="2" t="str">
        <f t="shared" si="91"/>
        <v>Error?</v>
      </c>
    </row>
    <row r="5919" spans="1:4" x14ac:dyDescent="0.2">
      <c r="A5919" s="5">
        <v>5858</v>
      </c>
      <c r="B5919" s="138">
        <f>'Revenues 9-14'!I14</f>
        <v>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v>
      </c>
      <c r="C5923" s="2" t="s">
        <v>594</v>
      </c>
      <c r="D5923" s="2" t="str">
        <f t="shared" si="91"/>
        <v>Error?</v>
      </c>
    </row>
    <row r="5924" spans="1:4" x14ac:dyDescent="0.2">
      <c r="A5924" s="5">
        <v>5863</v>
      </c>
      <c r="B5924" s="138">
        <f>'Revenues 9-14'!I65</f>
        <v>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7854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81</v>
      </c>
      <c r="C6023" s="2" t="s">
        <v>594</v>
      </c>
      <c r="D6023" s="2" t="str">
        <f t="shared" si="93"/>
        <v>Error?</v>
      </c>
    </row>
    <row r="6024" spans="1:5" x14ac:dyDescent="0.2">
      <c r="A6024" s="5">
        <v>5963</v>
      </c>
      <c r="B6024" s="138">
        <f>'Revenues 9-14'!G109</f>
        <v>111873</v>
      </c>
      <c r="C6024" s="2" t="s">
        <v>594</v>
      </c>
      <c r="D6024" s="2" t="str">
        <f t="shared" si="93"/>
        <v>Error?</v>
      </c>
    </row>
    <row r="6025" spans="1:5" x14ac:dyDescent="0.2">
      <c r="A6025" s="5">
        <v>5964</v>
      </c>
      <c r="B6025" s="138">
        <f>'Revenues 9-14'!H109</f>
        <v>12710</v>
      </c>
      <c r="C6025" s="2" t="s">
        <v>594</v>
      </c>
      <c r="D6025" s="2" t="str">
        <f t="shared" si="93"/>
        <v>Error?</v>
      </c>
    </row>
    <row r="6026" spans="1:5" x14ac:dyDescent="0.2">
      <c r="A6026" s="5">
        <v>5965</v>
      </c>
      <c r="B6026" s="138">
        <f>'Revenues 9-14'!I109</f>
        <v>7854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20619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324.99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125</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67223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67223</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67223</v>
      </c>
      <c r="D6216" s="2" t="str">
        <f t="shared" si="96"/>
        <v>Error?</v>
      </c>
      <c r="E6216" s="2" t="s">
        <v>199</v>
      </c>
    </row>
    <row r="6217" spans="1:5" x14ac:dyDescent="0.2">
      <c r="A6217">
        <v>6156</v>
      </c>
      <c r="B6217" s="138">
        <f>'Assets-Liab 5-6'!J4</f>
        <v>67223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57803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57803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57803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75778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75778</v>
      </c>
      <c r="D6229" s="2" t="str">
        <f t="shared" si="96"/>
        <v>Error?</v>
      </c>
      <c r="E6229" s="2" t="s">
        <v>199</v>
      </c>
    </row>
    <row r="6230" spans="1:5" x14ac:dyDescent="0.2">
      <c r="A6230">
        <v>6169</v>
      </c>
      <c r="B6230" s="138">
        <f>'Acct Summary 7-8'!J20</f>
        <v>-17975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9600</v>
      </c>
      <c r="D6260" s="2" t="str">
        <f t="shared" si="96"/>
        <v>Error?</v>
      </c>
      <c r="E6260" s="2" t="s">
        <v>199</v>
      </c>
    </row>
    <row r="6261" spans="1:5" x14ac:dyDescent="0.2">
      <c r="A6261">
        <v>6200</v>
      </c>
      <c r="B6261" s="138">
        <f>'Acct Summary 7-8'!J76</f>
        <v>9600</v>
      </c>
      <c r="D6261" s="2" t="str">
        <f t="shared" si="96"/>
        <v>Error?</v>
      </c>
      <c r="E6261" s="2" t="s">
        <v>199</v>
      </c>
    </row>
    <row r="6262" spans="1:5" x14ac:dyDescent="0.2">
      <c r="A6262">
        <v>6201</v>
      </c>
      <c r="B6262" s="138">
        <f>'Acct Summary 7-8'!J77</f>
        <v>-9600</v>
      </c>
      <c r="D6262" s="2" t="str">
        <f t="shared" si="96"/>
        <v>Error?</v>
      </c>
      <c r="E6262" s="2" t="s">
        <v>199</v>
      </c>
    </row>
    <row r="6263" spans="1:5" x14ac:dyDescent="0.2">
      <c r="A6263">
        <v>6202</v>
      </c>
      <c r="B6263" s="138">
        <f>'Acct Summary 7-8'!J78</f>
        <v>-27575</v>
      </c>
      <c r="D6263" s="2" t="str">
        <f t="shared" si="96"/>
        <v>Error?</v>
      </c>
      <c r="E6263" s="2" t="s">
        <v>199</v>
      </c>
    </row>
    <row r="6264" spans="1:5" x14ac:dyDescent="0.2">
      <c r="A6264">
        <v>6203</v>
      </c>
      <c r="B6264" s="138">
        <f>'Acct Summary 7-8'!J79</f>
        <v>94798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67223</v>
      </c>
      <c r="D6266" s="2" t="str">
        <f t="shared" si="96"/>
        <v>Error?</v>
      </c>
      <c r="E6266" s="2" t="s">
        <v>199</v>
      </c>
    </row>
    <row r="6267" spans="1:5" x14ac:dyDescent="0.2">
      <c r="A6267">
        <v>6206</v>
      </c>
      <c r="B6267" s="138">
        <f>'Acct Summary 7-8'!C82</f>
        <v>261382</v>
      </c>
      <c r="D6267" s="2" t="str">
        <f t="shared" si="96"/>
        <v>Error?</v>
      </c>
      <c r="E6267" s="2" t="s">
        <v>199</v>
      </c>
    </row>
    <row r="6268" spans="1:5" x14ac:dyDescent="0.2">
      <c r="A6268">
        <v>6207</v>
      </c>
      <c r="B6268" s="138">
        <f>'Acct Summary 7-8'!D82</f>
        <v>-32121</v>
      </c>
      <c r="D6268" s="2" t="str">
        <f t="shared" si="96"/>
        <v>Error?</v>
      </c>
      <c r="E6268" s="2" t="s">
        <v>199</v>
      </c>
    </row>
    <row r="6269" spans="1:5" x14ac:dyDescent="0.2">
      <c r="A6269">
        <v>6208</v>
      </c>
      <c r="B6269" s="138">
        <f>'Acct Summary 7-8'!E82</f>
        <v>2215</v>
      </c>
      <c r="D6269" s="2" t="str">
        <f t="shared" si="96"/>
        <v>Error?</v>
      </c>
      <c r="E6269" s="2" t="s">
        <v>199</v>
      </c>
    </row>
    <row r="6270" spans="1:5" x14ac:dyDescent="0.2">
      <c r="A6270">
        <v>6209</v>
      </c>
      <c r="B6270" s="138">
        <f>'Acct Summary 7-8'!F82</f>
        <v>68896</v>
      </c>
      <c r="D6270" s="2" t="str">
        <f t="shared" si="96"/>
        <v>Error?</v>
      </c>
      <c r="E6270" s="2" t="s">
        <v>199</v>
      </c>
    </row>
    <row r="6271" spans="1:5" x14ac:dyDescent="0.2">
      <c r="A6271">
        <v>6210</v>
      </c>
      <c r="B6271" s="138">
        <f>'Acct Summary 7-8'!G82</f>
        <v>-11355</v>
      </c>
      <c r="D6271" s="2" t="str">
        <f t="shared" ref="D6271:D6334" si="97">IF(ISBLANK(B6271),"OK",IF(A6271-B6271=0,"OK","Error?"))</f>
        <v>Error?</v>
      </c>
      <c r="E6271" s="2" t="s">
        <v>199</v>
      </c>
    </row>
    <row r="6272" spans="1:5" x14ac:dyDescent="0.2">
      <c r="A6272">
        <v>6211</v>
      </c>
      <c r="B6272" s="138">
        <f>'Acct Summary 7-8'!H82</f>
        <v>-1186721</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-27575</v>
      </c>
      <c r="D6274" s="2" t="str">
        <f t="shared" si="97"/>
        <v>Error?</v>
      </c>
      <c r="E6274" s="2" t="s">
        <v>199</v>
      </c>
    </row>
    <row r="6275" spans="1:5" x14ac:dyDescent="0.2">
      <c r="A6275">
        <v>6214</v>
      </c>
      <c r="B6275" s="138">
        <f>'Acct Summary 7-8'!K82</f>
        <v>81</v>
      </c>
      <c r="D6275" s="2" t="str">
        <f t="shared" si="97"/>
        <v>Error?</v>
      </c>
      <c r="E6275" s="2" t="s">
        <v>199</v>
      </c>
    </row>
    <row r="6276" spans="1:5" x14ac:dyDescent="0.2">
      <c r="A6276">
        <v>6215</v>
      </c>
      <c r="B6276" s="138">
        <f>'Acct Summary 7-8'!C83</f>
        <v>0.16345528495957737</v>
      </c>
      <c r="D6276" s="2" t="str">
        <f t="shared" si="97"/>
        <v>Error?</v>
      </c>
      <c r="E6276" s="2" t="s">
        <v>199</v>
      </c>
    </row>
    <row r="6277" spans="1:5" x14ac:dyDescent="0.2">
      <c r="A6277">
        <v>6216</v>
      </c>
      <c r="B6277" s="138">
        <f>'Acct Summary 7-8'!D83</f>
        <v>-0.50161630358397746</v>
      </c>
      <c r="D6277" s="2" t="str">
        <f t="shared" si="97"/>
        <v>Error?</v>
      </c>
      <c r="E6277" s="2" t="s">
        <v>199</v>
      </c>
    </row>
    <row r="6278" spans="1:5" x14ac:dyDescent="0.2">
      <c r="A6278">
        <v>6217</v>
      </c>
      <c r="B6278" s="138">
        <f>'Acct Summary 7-8'!E83</f>
        <v>2.9563685383660557E-2</v>
      </c>
      <c r="D6278" s="2" t="str">
        <f t="shared" si="97"/>
        <v>Error?</v>
      </c>
      <c r="E6278" s="2" t="s">
        <v>199</v>
      </c>
    </row>
    <row r="6279" spans="1:5" x14ac:dyDescent="0.2">
      <c r="A6279">
        <v>6218</v>
      </c>
      <c r="B6279" s="138">
        <f>'Acct Summary 7-8'!F83</f>
        <v>0.33235085552752303</v>
      </c>
      <c r="D6279" s="2" t="str">
        <f t="shared" si="97"/>
        <v>Error?</v>
      </c>
      <c r="E6279" s="2" t="s">
        <v>199</v>
      </c>
    </row>
    <row r="6280" spans="1:5" x14ac:dyDescent="0.2">
      <c r="A6280">
        <v>6219</v>
      </c>
      <c r="B6280" s="138">
        <f>'Acct Summary 7-8'!G83</f>
        <v>-7.616051726103841E-2</v>
      </c>
      <c r="D6280" s="2" t="str">
        <f t="shared" si="97"/>
        <v>Error?</v>
      </c>
      <c r="E6280" s="2" t="s">
        <v>199</v>
      </c>
    </row>
    <row r="6281" spans="1:5" x14ac:dyDescent="0.2">
      <c r="A6281">
        <v>6220</v>
      </c>
      <c r="B6281" s="138">
        <f>'Acct Summary 7-8'!H83</f>
        <v>-1.5123552920666155</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-0.41020186543296194</v>
      </c>
      <c r="D6283" s="2" t="str">
        <f t="shared" si="97"/>
        <v>Error?</v>
      </c>
      <c r="E6283" s="2" t="s">
        <v>199</v>
      </c>
    </row>
    <row r="6284" spans="1:5" x14ac:dyDescent="0.2">
      <c r="A6284">
        <v>6223</v>
      </c>
      <c r="B6284" s="138">
        <f>'Acct Summary 7-8'!K83</f>
        <v>1.5705588087020592E-3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28677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28677</v>
      </c>
      <c r="D6301" s="2" t="str">
        <f t="shared" si="97"/>
        <v>Error?</v>
      </c>
      <c r="E6301" s="2" t="s">
        <v>199</v>
      </c>
    </row>
    <row r="6302" spans="1:5" x14ac:dyDescent="0.2">
      <c r="A6302">
        <v>6241</v>
      </c>
      <c r="B6302" s="138">
        <f>'Revenues 9-14'!J14</f>
        <v>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28696</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28704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57803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18090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400</v>
      </c>
      <c r="D6985" s="2" t="str">
        <f t="shared" si="108"/>
        <v>Error?</v>
      </c>
    </row>
    <row r="6986" spans="1:4" x14ac:dyDescent="0.2">
      <c r="A6986">
        <v>6925</v>
      </c>
      <c r="B6986" s="138">
        <f>'Expenditures 15-22'!K87</f>
        <v>400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75778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57803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229</v>
      </c>
      <c r="D7079" s="2" t="str">
        <f t="shared" si="109"/>
        <v>Error?</v>
      </c>
    </row>
    <row r="7080" spans="1:4" x14ac:dyDescent="0.2">
      <c r="A7080">
        <v>7019</v>
      </c>
      <c r="B7080" s="138">
        <f>'Expenditures 15-22'!K226</f>
        <v>229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8977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8977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66801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66801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75778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75778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75778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75778</v>
      </c>
      <c r="D7224" s="2" t="str">
        <f t="shared" si="111"/>
        <v>Error?</v>
      </c>
    </row>
    <row r="7225" spans="1:4" x14ac:dyDescent="0.2">
      <c r="A7225">
        <v>7164</v>
      </c>
      <c r="B7225" s="138">
        <f>'Expenditures 15-22'!K343</f>
        <v>-17975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15986</v>
      </c>
      <c r="D7263" s="2" t="str">
        <f t="shared" si="112"/>
        <v>Error?</v>
      </c>
    </row>
    <row r="7264" spans="1:4" x14ac:dyDescent="0.2">
      <c r="A7264">
        <f t="shared" si="113"/>
        <v>7203</v>
      </c>
      <c r="B7264" s="138">
        <f>'Expenditures 15-22'!D17</f>
        <v>173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1931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12630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12630</v>
      </c>
      <c r="D7609" s="2" t="str">
        <f t="shared" si="122"/>
        <v>Error?</v>
      </c>
      <c r="E7609" s="2" t="s">
        <v>19</v>
      </c>
    </row>
    <row r="7610" spans="1:5" x14ac:dyDescent="0.2">
      <c r="A7610">
        <f t="shared" si="123"/>
        <v>7549</v>
      </c>
      <c r="B7610" s="138">
        <f>'Cap Outlay Deprec 26'!H9</f>
        <v>5523</v>
      </c>
      <c r="D7610" s="2" t="str">
        <f t="shared" si="122"/>
        <v>Error?</v>
      </c>
      <c r="E7610" s="2" t="s">
        <v>19</v>
      </c>
    </row>
    <row r="7611" spans="1:5" x14ac:dyDescent="0.2">
      <c r="A7611">
        <f t="shared" si="123"/>
        <v>7550</v>
      </c>
      <c r="B7611" s="138">
        <f>'Cap Outlay Deprec 26'!I9</f>
        <v>505</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6028</v>
      </c>
      <c r="D7613" s="2" t="str">
        <f t="shared" si="122"/>
        <v>Error?</v>
      </c>
      <c r="E7613" s="2" t="s">
        <v>19</v>
      </c>
    </row>
    <row r="7614" spans="1:5" x14ac:dyDescent="0.2">
      <c r="A7614">
        <f t="shared" si="123"/>
        <v>7553</v>
      </c>
      <c r="B7614" s="138">
        <f>'Cap Outlay Deprec 26'!L9</f>
        <v>6602</v>
      </c>
      <c r="D7614" s="2" t="str">
        <f t="shared" si="122"/>
        <v>Error?</v>
      </c>
      <c r="E7614" s="2" t="s">
        <v>19</v>
      </c>
    </row>
    <row r="7615" spans="1:5" x14ac:dyDescent="0.2">
      <c r="A7615">
        <f t="shared" si="123"/>
        <v>7554</v>
      </c>
      <c r="B7615" s="138">
        <f>'Cap Outlay Deprec 26'!C14</f>
        <v>660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660</v>
      </c>
      <c r="D7618" s="2" t="str">
        <f t="shared" si="124"/>
        <v>Error?</v>
      </c>
      <c r="E7618" s="2" t="s">
        <v>19</v>
      </c>
    </row>
    <row r="7619" spans="1:5" x14ac:dyDescent="0.2">
      <c r="A7619">
        <f t="shared" si="123"/>
        <v>7558</v>
      </c>
      <c r="B7619" s="138">
        <f>'Cap Outlay Deprec 26'!H14</f>
        <v>660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660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207092.44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4973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4973</v>
      </c>
      <c r="D7719" s="2" t="str">
        <f t="shared" si="126"/>
        <v>Error?</v>
      </c>
      <c r="E7719" s="2" t="s">
        <v>881</v>
      </c>
    </row>
    <row r="7720" spans="1:6" x14ac:dyDescent="0.2">
      <c r="A7720">
        <v>7659</v>
      </c>
      <c r="B7720" s="138">
        <f>'Rest Tax Levies-Tort Im 25'!H14</f>
        <v>6243</v>
      </c>
      <c r="D7720" s="2" t="str">
        <f t="shared" si="126"/>
        <v>Error?</v>
      </c>
      <c r="E7720" s="2" t="s">
        <v>881</v>
      </c>
    </row>
    <row r="7721" spans="1:6" x14ac:dyDescent="0.2">
      <c r="A7721">
        <v>7660</v>
      </c>
      <c r="B7721" s="138">
        <f>'Rest Tax Levies-Tort Im 25'!K14</f>
        <v>4973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182837</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107837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5" t="str">
        <f>COVER!A17</f>
        <v>Century CUSD 100</v>
      </c>
      <c r="B7" s="2426"/>
      <c r="C7" s="2426"/>
      <c r="D7" s="2427"/>
      <c r="E7" s="2428">
        <f>COVER!A13</f>
        <v>30077100026</v>
      </c>
      <c r="F7" s="2429"/>
      <c r="G7" s="2435" t="str">
        <f>COVER!T23</f>
        <v>066-003889</v>
      </c>
      <c r="H7" s="2436"/>
      <c r="I7" s="2436"/>
      <c r="J7" s="2436"/>
      <c r="K7" s="2436"/>
      <c r="L7" s="243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8"/>
      <c r="B9" s="2439"/>
      <c r="C9" s="2439"/>
      <c r="D9" s="2439"/>
      <c r="E9" s="2439"/>
      <c r="F9" s="2440"/>
      <c r="G9" s="2409" t="str">
        <f>COVER!T13</f>
        <v>Beussink, Hey, Roe &amp; Stroder</v>
      </c>
      <c r="H9" s="2441"/>
      <c r="I9" s="2441"/>
      <c r="J9" s="2441"/>
      <c r="K9" s="2441"/>
      <c r="L9" s="2442"/>
    </row>
    <row r="10" spans="1:29" ht="13.5" customHeight="1" x14ac:dyDescent="0.2">
      <c r="A10" s="2415" t="str">
        <f>COVER!A38</f>
        <v>Landon Sommer</v>
      </c>
      <c r="B10" s="2416"/>
      <c r="C10" s="2416"/>
      <c r="D10" s="2416"/>
      <c r="E10" s="2416"/>
      <c r="F10" s="2417"/>
      <c r="G10" s="2409" t="str">
        <f>COVER!T17</f>
        <v>16 South Silver Springs Road</v>
      </c>
      <c r="H10" s="2410"/>
      <c r="I10" s="2410"/>
      <c r="J10" s="2410"/>
      <c r="K10" s="2410"/>
      <c r="L10" s="2411"/>
    </row>
    <row r="11" spans="1:29" ht="13.5" customHeight="1" x14ac:dyDescent="0.2">
      <c r="A11" s="1185" t="s">
        <v>1599</v>
      </c>
      <c r="B11" s="1186"/>
      <c r="C11" s="1187"/>
      <c r="D11" s="1192"/>
      <c r="E11" s="1187"/>
      <c r="F11" s="1191"/>
      <c r="G11" s="2409" t="str">
        <f>COVER!T19</f>
        <v>Cape Girardeau</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jstroder@bhrscpas.com</v>
      </c>
      <c r="J13" s="2422"/>
      <c r="K13" s="2422"/>
      <c r="L13" s="2423"/>
    </row>
    <row r="14" spans="1:29" ht="13.5" customHeight="1" x14ac:dyDescent="0.2">
      <c r="A14" s="2409" t="str">
        <f>COVER!A19</f>
        <v>4721 Shawnee College Road</v>
      </c>
      <c r="B14" s="2410"/>
      <c r="C14" s="2410"/>
      <c r="D14" s="2410"/>
      <c r="E14" s="2410"/>
      <c r="F14" s="2411"/>
      <c r="G14" s="1196" t="s">
        <v>1247</v>
      </c>
      <c r="H14" s="1194"/>
      <c r="I14" s="1194"/>
      <c r="J14" s="1194"/>
      <c r="K14" s="1194"/>
      <c r="L14" s="1195"/>
    </row>
    <row r="15" spans="1:29" ht="13.5" customHeight="1" x14ac:dyDescent="0.2">
      <c r="A15" s="2409" t="str">
        <f>COVER!A21</f>
        <v>Ullin</v>
      </c>
      <c r="B15" s="2410"/>
      <c r="C15" s="2410"/>
      <c r="D15" s="2410"/>
      <c r="E15" s="2410"/>
      <c r="F15" s="2411"/>
      <c r="G15" s="2406" t="str">
        <f>COVER!T15</f>
        <v>Jeffrey C. Stroder, CPA</v>
      </c>
      <c r="H15" s="2407"/>
      <c r="I15" s="2407"/>
      <c r="J15" s="2407"/>
      <c r="K15" s="2407"/>
      <c r="L15" s="2408"/>
    </row>
    <row r="16" spans="1:29" ht="12.2" customHeight="1" x14ac:dyDescent="0.2">
      <c r="A16" s="2431">
        <f>COVER!A25</f>
        <v>62992</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6" t="s">
        <v>1246</v>
      </c>
      <c r="H17" s="1194"/>
      <c r="I17" s="1194"/>
      <c r="J17" s="1194"/>
      <c r="K17" s="1198" t="s">
        <v>1245</v>
      </c>
      <c r="L17" s="1191"/>
      <c r="M17" s="1184"/>
    </row>
    <row r="18" spans="1:13" ht="12.2" customHeight="1" x14ac:dyDescent="0.2">
      <c r="A18" s="2415"/>
      <c r="B18" s="2416"/>
      <c r="C18" s="2416"/>
      <c r="D18" s="2416"/>
      <c r="E18" s="2416"/>
      <c r="F18" s="2417"/>
      <c r="G18" s="2425" t="str">
        <f>COVER!T21</f>
        <v>573-334-7971</v>
      </c>
      <c r="H18" s="2426"/>
      <c r="I18" s="2426"/>
      <c r="J18" s="2426"/>
      <c r="K18" s="2425" t="str">
        <f>COVER!X21</f>
        <v>573-334-8875</v>
      </c>
      <c r="L18" s="243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Century CUSD 100</v>
      </c>
      <c r="B1" s="2424"/>
      <c r="C1" s="2424"/>
      <c r="D1" s="2424"/>
    </row>
    <row r="2" spans="1:11" s="1215" customFormat="1" ht="12.75" x14ac:dyDescent="0.2">
      <c r="A2" s="2448">
        <f>'Single Audit Cover'!E7</f>
        <v>30077100026</v>
      </c>
      <c r="B2" s="2449"/>
      <c r="C2" s="2449"/>
      <c r="D2" s="2449"/>
    </row>
    <row r="3" spans="1:11" s="1215" customFormat="1" ht="12.75" x14ac:dyDescent="0.2">
      <c r="A3" s="2447" t="s">
        <v>1593</v>
      </c>
      <c r="B3" s="2424"/>
      <c r="C3" s="2424"/>
      <c r="D3" s="242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Century CUSD 100</v>
      </c>
      <c r="B1" s="2451"/>
      <c r="C1" s="2451"/>
      <c r="D1" s="2451"/>
      <c r="E1" s="2451"/>
    </row>
    <row r="2" spans="1:5" x14ac:dyDescent="0.2">
      <c r="A2" s="2452">
        <f>'Single Audit Cover'!E7</f>
        <v>30077100026</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348253</v>
      </c>
    </row>
    <row r="11" spans="1:5" ht="18" customHeight="1" x14ac:dyDescent="0.2">
      <c r="A11" s="1261" t="s">
        <v>1302</v>
      </c>
      <c r="B11" s="1262"/>
      <c r="C11" s="1262"/>
    </row>
    <row r="12" spans="1:5" x14ac:dyDescent="0.2">
      <c r="A12" s="1261" t="s">
        <v>1301</v>
      </c>
      <c r="B12" s="1262" t="s">
        <v>1300</v>
      </c>
      <c r="C12" s="1262"/>
      <c r="D12" s="1264">
        <f>SUM('Revenues 9-14'!C112:D112,'Revenues 9-14'!F112:G112)</f>
        <v>12704</v>
      </c>
    </row>
    <row r="13" spans="1:5" x14ac:dyDescent="0.2">
      <c r="A13" s="1261" t="s">
        <v>1299</v>
      </c>
      <c r="B13" s="1262"/>
      <c r="C13" s="1262"/>
    </row>
    <row r="14" spans="1:5" x14ac:dyDescent="0.2">
      <c r="A14" s="1261" t="s">
        <v>1830</v>
      </c>
      <c r="B14" s="1262"/>
      <c r="C14" s="1262"/>
      <c r="D14" s="1264">
        <f>'ICR Computation 30'!E11</f>
        <v>20619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381576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381576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0</v>
      </c>
    </row>
    <row r="49" spans="2:4" x14ac:dyDescent="0.2">
      <c r="B49" s="1272" t="s">
        <v>1288</v>
      </c>
      <c r="C49" s="1272"/>
      <c r="D49" s="1273">
        <f>D32-D47</f>
        <v>381576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4" t="str">
        <f>'Single Audit Cover'!A7</f>
        <v>Century CUSD 100</v>
      </c>
      <c r="C1" s="2455"/>
      <c r="D1" s="2455"/>
      <c r="E1" s="2455"/>
      <c r="F1" s="2455"/>
      <c r="G1" s="2455"/>
      <c r="H1" s="2455"/>
      <c r="I1" s="2455"/>
      <c r="J1" s="2455"/>
      <c r="K1" s="2455"/>
      <c r="L1" s="2455"/>
      <c r="M1" s="2455"/>
    </row>
    <row r="2" spans="2:14" ht="15" x14ac:dyDescent="0.2">
      <c r="B2" s="2456">
        <f>'Single Audit Cover'!E7</f>
        <v>30077100026</v>
      </c>
      <c r="C2" s="2456"/>
      <c r="D2" s="2456"/>
      <c r="E2" s="2456"/>
      <c r="F2" s="2456"/>
      <c r="G2" s="2456"/>
      <c r="H2" s="2456"/>
      <c r="I2" s="2456"/>
      <c r="J2" s="2456"/>
      <c r="K2" s="2456"/>
      <c r="L2" s="2456"/>
      <c r="M2" s="2456"/>
      <c r="N2" s="1302"/>
    </row>
    <row r="3" spans="2:14" ht="15" x14ac:dyDescent="0.2">
      <c r="B3" s="2457" t="s">
        <v>1281</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verticalCentered="1"/>
  <pageMargins left="1" right="1" top="1" bottom="1" header="0.25" footer="0.75"/>
  <pageSetup scale="71"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Century CUSD 100</v>
      </c>
      <c r="B1" s="2468"/>
      <c r="C1" s="2468"/>
      <c r="D1" s="2468"/>
      <c r="E1" s="2468"/>
      <c r="F1" s="2468"/>
    </row>
    <row r="2" spans="1:7" ht="13.5" customHeight="1" x14ac:dyDescent="0.2">
      <c r="A2" s="2456">
        <f>'Single Audit Cover'!E7</f>
        <v>30077100026</v>
      </c>
      <c r="B2" s="2456"/>
      <c r="C2" s="2456"/>
      <c r="D2" s="2456"/>
      <c r="E2" s="2456"/>
      <c r="F2" s="2456"/>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7" t="s">
        <v>1832</v>
      </c>
      <c r="B7" s="2467"/>
      <c r="C7" s="2467"/>
      <c r="D7" s="2467"/>
      <c r="E7" s="2467"/>
      <c r="F7" s="246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7" t="s">
        <v>1834</v>
      </c>
      <c r="B13" s="2467"/>
      <c r="C13" s="2467"/>
      <c r="D13" s="2467"/>
      <c r="E13" s="2467"/>
      <c r="F13" s="2467"/>
    </row>
    <row r="14" spans="1:7" ht="9.75" customHeight="1" x14ac:dyDescent="0.2">
      <c r="C14" s="1260"/>
      <c r="D14" s="1260"/>
    </row>
    <row r="15" spans="1:7" ht="13.5" customHeight="1" x14ac:dyDescent="0.2">
      <c r="C15" s="1871" t="s">
        <v>1332</v>
      </c>
      <c r="D15" s="2465" t="s">
        <v>1331</v>
      </c>
      <c r="E15" s="2465"/>
      <c r="F15" s="2465"/>
    </row>
    <row r="16" spans="1:7" ht="13.5" customHeight="1" x14ac:dyDescent="0.2">
      <c r="A16" s="1282"/>
      <c r="B16" s="1276" t="s">
        <v>1330</v>
      </c>
      <c r="C16" s="1871" t="s">
        <v>1329</v>
      </c>
      <c r="D16" s="2466" t="s">
        <v>1670</v>
      </c>
      <c r="E16" s="2466"/>
      <c r="F16" s="2466"/>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2081</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2081</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2135</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Century CUSD 100</v>
      </c>
      <c r="C1" s="2483"/>
      <c r="D1" s="2483"/>
      <c r="E1" s="2483"/>
      <c r="F1" s="2483"/>
      <c r="G1" s="2483"/>
      <c r="H1" s="2483"/>
      <c r="I1" s="2483"/>
      <c r="J1" s="1422"/>
    </row>
    <row r="2" spans="2:10" s="317" customFormat="1" ht="12.75" customHeight="1" x14ac:dyDescent="0.2">
      <c r="B2" s="2484">
        <f>'Single Audit Cover'!E7</f>
        <v>30077100026</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c r="D11" s="248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c r="E29" s="2489"/>
      <c r="F29" s="2489"/>
      <c r="G29" s="2489"/>
      <c r="H29" s="2489"/>
      <c r="I29" s="248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0" t="s">
        <v>1854</v>
      </c>
      <c r="D37" s="2491"/>
      <c r="E37" s="2491"/>
      <c r="F37" s="2492"/>
      <c r="G37" s="2490" t="s">
        <v>1674</v>
      </c>
      <c r="H37" s="2491"/>
      <c r="I37" s="2492"/>
    </row>
    <row r="38" spans="2:9" ht="16.5" customHeight="1" x14ac:dyDescent="0.2">
      <c r="B38" s="1444"/>
      <c r="C38" s="2478"/>
      <c r="D38" s="2479"/>
      <c r="E38" s="2479"/>
      <c r="F38" s="2480"/>
      <c r="G38" s="2493"/>
      <c r="H38" s="2494"/>
      <c r="I38" s="2495"/>
    </row>
    <row r="39" spans="2:9" ht="16.5" customHeight="1" x14ac:dyDescent="0.2">
      <c r="B39" s="1444"/>
      <c r="C39" s="2478"/>
      <c r="D39" s="2479"/>
      <c r="E39" s="2479"/>
      <c r="F39" s="2480"/>
      <c r="G39" s="2481"/>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71" t="s">
        <v>1675</v>
      </c>
      <c r="D43" s="2472"/>
      <c r="E43" s="2472"/>
      <c r="F43" s="2473"/>
      <c r="G43" s="2474">
        <f>SUM(G38:I42)</f>
        <v>0</v>
      </c>
      <c r="H43" s="2474"/>
      <c r="I43" s="2474"/>
    </row>
    <row r="44" spans="2:9" ht="12.75" customHeight="1" x14ac:dyDescent="0.2"/>
    <row r="45" spans="2:9" ht="12.75" customHeight="1" x14ac:dyDescent="0.2">
      <c r="B45" s="1435" t="s">
        <v>1952</v>
      </c>
      <c r="D45" s="2475">
        <v>0</v>
      </c>
      <c r="E45" s="2476"/>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7"/>
      <c r="F49" s="2477"/>
      <c r="G49" s="2477"/>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1" right="1" top="1" bottom="1" header="0.51" footer="0.28999999999999998"/>
  <pageSetup scale="83"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Century CUSD 100</v>
      </c>
      <c r="C1" s="2482"/>
      <c r="D1" s="2482"/>
      <c r="E1" s="2482"/>
      <c r="F1" s="2482"/>
      <c r="G1" s="2482"/>
      <c r="H1" s="2482"/>
      <c r="I1" s="2482"/>
      <c r="J1" s="2482"/>
      <c r="K1" s="2482"/>
      <c r="L1" s="1374"/>
      <c r="M1" s="1374"/>
    </row>
    <row r="2" spans="1:13" ht="12" customHeight="1" x14ac:dyDescent="0.2">
      <c r="B2" s="2484">
        <f>'Single Audit Cover'!E7</f>
        <v>30077100026</v>
      </c>
      <c r="C2" s="2484"/>
      <c r="D2" s="2484"/>
      <c r="E2" s="2484"/>
      <c r="F2" s="2484"/>
      <c r="G2" s="2484"/>
      <c r="H2" s="2484"/>
      <c r="I2" s="2484"/>
      <c r="J2" s="2484"/>
      <c r="K2" s="2484"/>
      <c r="L2" s="1375"/>
      <c r="M2" s="1376"/>
    </row>
    <row r="3" spans="1:13" ht="10.35" customHeight="1" x14ac:dyDescent="0.2">
      <c r="B3" s="2498" t="s">
        <v>1347</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t="s">
        <v>2081</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2125</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2127</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2126</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2128</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2129</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2130</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6.25" customHeight="1" x14ac:dyDescent="0.2">
      <c r="B32" s="2496" t="s">
        <v>2139</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Century CUSD 100</v>
      </c>
      <c r="C1" s="2505"/>
      <c r="D1" s="2505"/>
      <c r="E1" s="2505"/>
      <c r="F1" s="2505"/>
      <c r="G1" s="2505"/>
      <c r="H1" s="2505"/>
      <c r="I1" s="2505"/>
      <c r="J1" s="2505"/>
      <c r="K1" s="2505"/>
      <c r="L1" s="1465"/>
    </row>
    <row r="2" spans="1:12" ht="12.75" customHeight="1" x14ac:dyDescent="0.2">
      <c r="B2" s="2506">
        <f>'Single Audit Cover'!E7</f>
        <v>30077100026</v>
      </c>
      <c r="C2" s="2506"/>
      <c r="D2" s="2506"/>
      <c r="E2" s="2506"/>
      <c r="F2" s="2506"/>
      <c r="G2" s="2506"/>
      <c r="H2" s="2506"/>
      <c r="I2" s="2506"/>
      <c r="J2" s="2506"/>
      <c r="K2" s="2506"/>
      <c r="L2" s="1466"/>
    </row>
    <row r="3" spans="1:12" ht="12.75" customHeight="1" x14ac:dyDescent="0.2">
      <c r="B3" s="2498" t="s">
        <v>1347</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1231</v>
      </c>
      <c r="C5" s="1260"/>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1" right="1" top="1" bottom="1" header="0.5" footer="0.18"/>
  <pageSetup scale="85"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Century CUSD 100</v>
      </c>
      <c r="C1" s="2482"/>
      <c r="D1" s="2482"/>
      <c r="E1" s="1491"/>
    </row>
    <row r="2" spans="2:5" s="1282" customFormat="1" ht="12.75" customHeight="1" x14ac:dyDescent="0.2">
      <c r="B2" s="2484">
        <f>'Single Audit Cover'!E7</f>
        <v>30077100026</v>
      </c>
      <c r="C2" s="2484"/>
      <c r="D2" s="2484"/>
      <c r="E2" s="1492"/>
    </row>
    <row r="3" spans="2:5" ht="12.75" customHeight="1" x14ac:dyDescent="0.2">
      <c r="B3" s="2498" t="s">
        <v>1869</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2112</v>
      </c>
      <c r="C8" s="324" t="s">
        <v>2113</v>
      </c>
      <c r="D8" s="324" t="s">
        <v>2131</v>
      </c>
      <c r="E8" s="324"/>
    </row>
    <row r="9" spans="2:5" ht="13.5" customHeight="1" x14ac:dyDescent="0.2">
      <c r="B9" s="1497"/>
      <c r="C9" s="323" t="s">
        <v>2114</v>
      </c>
      <c r="D9" s="323"/>
      <c r="E9" s="323"/>
    </row>
    <row r="10" spans="2:5" ht="13.5" customHeight="1" x14ac:dyDescent="0.2">
      <c r="B10" s="1496"/>
      <c r="C10" s="323" t="s">
        <v>2115</v>
      </c>
      <c r="D10" s="323"/>
      <c r="E10" s="323"/>
    </row>
    <row r="11" spans="2:5" ht="13.5" customHeight="1" x14ac:dyDescent="0.2">
      <c r="B11" s="1496"/>
      <c r="C11" s="323" t="s">
        <v>2116</v>
      </c>
      <c r="D11" s="323"/>
      <c r="E11" s="323"/>
    </row>
    <row r="12" spans="2:5" ht="13.5" customHeight="1" x14ac:dyDescent="0.2">
      <c r="B12" s="1496"/>
      <c r="C12" s="323" t="s">
        <v>2117</v>
      </c>
      <c r="D12" s="323"/>
      <c r="E12" s="323"/>
    </row>
    <row r="13" spans="2:5" ht="13.5" customHeight="1" x14ac:dyDescent="0.2">
      <c r="B13" s="1496"/>
      <c r="C13" s="323"/>
      <c r="D13" s="323"/>
      <c r="E13" s="323"/>
    </row>
    <row r="14" spans="2:5" ht="13.5" customHeight="1" x14ac:dyDescent="0.2">
      <c r="B14" s="1496" t="s">
        <v>2118</v>
      </c>
      <c r="C14" s="323" t="s">
        <v>2132</v>
      </c>
      <c r="D14" s="323" t="s">
        <v>2134</v>
      </c>
      <c r="E14" s="323"/>
    </row>
    <row r="15" spans="2:5" ht="13.5" customHeight="1" x14ac:dyDescent="0.2">
      <c r="B15" s="1496"/>
      <c r="C15" s="323" t="s">
        <v>2119</v>
      </c>
      <c r="D15" s="323"/>
      <c r="E15" s="323"/>
    </row>
    <row r="16" spans="2:5" ht="13.5" customHeight="1" x14ac:dyDescent="0.2">
      <c r="B16" s="1496"/>
      <c r="C16" s="323" t="s">
        <v>2120</v>
      </c>
      <c r="D16" s="323"/>
      <c r="E16" s="323"/>
    </row>
    <row r="17" spans="2:5" ht="13.5" customHeight="1" x14ac:dyDescent="0.2">
      <c r="B17" s="1496"/>
      <c r="C17" s="323" t="s">
        <v>2121</v>
      </c>
      <c r="D17" s="323"/>
      <c r="E17" s="323"/>
    </row>
    <row r="18" spans="2:5" ht="13.5" customHeight="1" x14ac:dyDescent="0.2">
      <c r="B18" s="1496"/>
      <c r="C18" s="323"/>
      <c r="D18" s="323"/>
      <c r="E18" s="323"/>
    </row>
    <row r="19" spans="2:5" ht="13.5" customHeight="1" x14ac:dyDescent="0.2">
      <c r="B19" s="1496" t="s">
        <v>2122</v>
      </c>
      <c r="C19" s="323" t="s">
        <v>2123</v>
      </c>
      <c r="D19" s="323" t="s">
        <v>2134</v>
      </c>
      <c r="E19" s="323"/>
    </row>
    <row r="20" spans="2:5" ht="13.5" customHeight="1" x14ac:dyDescent="0.2">
      <c r="B20" s="1496"/>
      <c r="C20" s="323" t="s">
        <v>2124</v>
      </c>
      <c r="D20" s="323"/>
      <c r="E20" s="323"/>
    </row>
    <row r="21" spans="2:5" ht="13.5" customHeight="1" x14ac:dyDescent="0.2">
      <c r="B21" s="1496"/>
      <c r="C21" s="323" t="s">
        <v>2133</v>
      </c>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18392548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1.8116799999999999E-2</v>
      </c>
      <c r="E10" s="356" t="s">
        <v>1062</v>
      </c>
      <c r="F10" s="355">
        <v>4.2998999999999997E-3</v>
      </c>
      <c r="G10" s="356" t="s">
        <v>1062</v>
      </c>
      <c r="H10" s="355">
        <v>1.9197999999999999E-3</v>
      </c>
      <c r="I10" s="356" t="s">
        <v>1063</v>
      </c>
      <c r="J10" s="1754">
        <f>ROUND(D10+F10+H10,5)</f>
        <v>2.4340000000000001E-2</v>
      </c>
      <c r="K10" s="222"/>
      <c r="L10" s="355">
        <v>4.2989999999999999E-4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3575101</v>
      </c>
      <c r="E16" s="356"/>
      <c r="F16" s="1755">
        <f>SUM('Acct Summary 7-8'!C17,'Acct Summary 7-8'!D17,'Acct Summary 7-8'!F17)</f>
        <v>3339788</v>
      </c>
      <c r="G16" s="356"/>
      <c r="H16" s="1755">
        <f>SUM(D16-F16)</f>
        <v>235313</v>
      </c>
      <c r="I16" s="222"/>
      <c r="J16" s="1755">
        <f>SUM('Acct Summary 7-8'!C81,'Acct Summary 7-8'!D81,'Acct Summary 7-8'!F81,'Acct Summary 7-8'!I81)</f>
        <v>1870438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2538171.6240000003</v>
      </c>
      <c r="I31" s="368"/>
      <c r="J31" s="222"/>
      <c r="K31" s="222"/>
      <c r="L31" s="222"/>
      <c r="M31" s="222"/>
    </row>
    <row r="32" spans="1:13" ht="13.35" customHeight="1" x14ac:dyDescent="0.2">
      <c r="B32" s="369" t="s">
        <v>2081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3046744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B55" sqref="B5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Century CUSD 100</v>
      </c>
      <c r="E7" s="391"/>
      <c r="G7" s="252"/>
      <c r="H7" s="387"/>
      <c r="I7" s="387"/>
      <c r="J7" s="387"/>
      <c r="K7" s="387"/>
      <c r="L7" s="329"/>
      <c r="M7" s="329"/>
      <c r="N7" s="329"/>
      <c r="O7" s="329"/>
      <c r="P7" s="329"/>
    </row>
    <row r="8" spans="1:18" ht="12.75" x14ac:dyDescent="0.2">
      <c r="A8" s="329"/>
      <c r="B8" s="329"/>
      <c r="C8" s="389" t="s">
        <v>1187</v>
      </c>
      <c r="D8" s="392">
        <f>COVER!A13</f>
        <v>30077100026</v>
      </c>
      <c r="E8" s="393"/>
      <c r="G8" s="329"/>
      <c r="H8" s="329"/>
      <c r="I8" s="329"/>
      <c r="J8" s="329"/>
      <c r="K8" s="329"/>
      <c r="L8" s="329"/>
      <c r="M8" s="329"/>
      <c r="N8" s="329"/>
      <c r="O8" s="329"/>
      <c r="P8" s="329"/>
    </row>
    <row r="9" spans="1:18" ht="12.75" x14ac:dyDescent="0.2">
      <c r="A9" s="329"/>
      <c r="B9" s="329"/>
      <c r="C9" s="389" t="s">
        <v>737</v>
      </c>
      <c r="D9" s="394" t="str">
        <f>COVER!A15</f>
        <v>Pulaski</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1870438</v>
      </c>
      <c r="I12" s="404"/>
      <c r="J12" s="404"/>
      <c r="K12" s="405">
        <f>TRUNC((H12/H13*100000),5)/100000</f>
        <v>0.52318465960000005</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3575101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3339788</v>
      </c>
      <c r="I17" s="404"/>
      <c r="J17" s="416"/>
      <c r="K17" s="405">
        <f>TRUNC((H17/H18*100000),5)/100000</f>
        <v>0.93418004129999999</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3575101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1861088</v>
      </c>
      <c r="I24" s="422"/>
      <c r="J24" s="422"/>
      <c r="K24" s="423">
        <f>TRUNC(((H24/H25*100000)/100000),2)</f>
        <v>200.6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9277.1888899999994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380523.42557000002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3046744</v>
      </c>
      <c r="I32" s="420"/>
      <c r="J32" s="420"/>
      <c r="K32" s="423">
        <f>TRUNC(100-((((H32/H33*100))*100)/100),2)</f>
        <v>-20.03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2538171.6240000003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57" sqref="B57:J67"/>
      <selection pane="bottomLeft" activeCell="E20" sqref="E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1589754</v>
      </c>
      <c r="D4" s="466">
        <v>64035</v>
      </c>
      <c r="E4" s="466">
        <v>74923</v>
      </c>
      <c r="F4" s="466">
        <v>207299</v>
      </c>
      <c r="G4" s="466">
        <v>149093</v>
      </c>
      <c r="H4" s="466">
        <v>784684</v>
      </c>
      <c r="I4" s="466"/>
      <c r="J4" s="467">
        <v>67223</v>
      </c>
      <c r="K4" s="466">
        <v>51574</v>
      </c>
      <c r="L4" s="466">
        <v>85597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125</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9225</v>
      </c>
      <c r="D12" s="466"/>
      <c r="E12" s="466"/>
      <c r="F12" s="466"/>
      <c r="G12" s="466"/>
      <c r="H12" s="466"/>
      <c r="I12" s="466"/>
      <c r="J12" s="467"/>
      <c r="K12" s="466"/>
      <c r="L12" s="466"/>
      <c r="M12" s="469"/>
      <c r="N12" s="469"/>
    </row>
    <row r="13" spans="1:14" ht="13.5" customHeight="1" thickBot="1" x14ac:dyDescent="0.25">
      <c r="A13" s="1758" t="s">
        <v>665</v>
      </c>
      <c r="B13" s="1731"/>
      <c r="C13" s="1759">
        <f>SUM(C4:C12)</f>
        <v>1599104</v>
      </c>
      <c r="D13" s="1759">
        <f t="shared" ref="D13:L13" si="0">SUM(D4:D12)</f>
        <v>64035</v>
      </c>
      <c r="E13" s="1759">
        <f t="shared" si="0"/>
        <v>74923</v>
      </c>
      <c r="F13" s="1759">
        <f t="shared" si="0"/>
        <v>207299</v>
      </c>
      <c r="G13" s="1759">
        <f t="shared" si="0"/>
        <v>149093</v>
      </c>
      <c r="H13" s="1759">
        <f t="shared" si="0"/>
        <v>784684</v>
      </c>
      <c r="I13" s="1759">
        <f t="shared" si="0"/>
        <v>0</v>
      </c>
      <c r="J13" s="1759">
        <f t="shared" si="0"/>
        <v>67223</v>
      </c>
      <c r="K13" s="1759">
        <f t="shared" si="0"/>
        <v>51574</v>
      </c>
      <c r="L13" s="1759">
        <f t="shared" si="0"/>
        <v>85597</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46865</v>
      </c>
      <c r="N16" s="484"/>
    </row>
    <row r="17" spans="1:14" s="485" customFormat="1" ht="12.75" customHeight="1" x14ac:dyDescent="0.2">
      <c r="A17" s="482" t="s">
        <v>1470</v>
      </c>
      <c r="B17" s="483">
        <v>230</v>
      </c>
      <c r="C17" s="477"/>
      <c r="D17" s="477"/>
      <c r="E17" s="477"/>
      <c r="F17" s="477"/>
      <c r="G17" s="477"/>
      <c r="H17" s="477"/>
      <c r="I17" s="477"/>
      <c r="J17" s="477"/>
      <c r="K17" s="477"/>
      <c r="L17" s="477"/>
      <c r="M17" s="467">
        <v>8217457</v>
      </c>
      <c r="N17" s="484"/>
    </row>
    <row r="18" spans="1:14" s="485" customFormat="1" ht="12.75" customHeight="1" x14ac:dyDescent="0.2">
      <c r="A18" s="482" t="s">
        <v>1471</v>
      </c>
      <c r="B18" s="483">
        <v>240</v>
      </c>
      <c r="C18" s="477"/>
      <c r="D18" s="477"/>
      <c r="E18" s="477"/>
      <c r="F18" s="477"/>
      <c r="G18" s="477"/>
      <c r="H18" s="477"/>
      <c r="I18" s="477"/>
      <c r="J18" s="477"/>
      <c r="K18" s="477"/>
      <c r="L18" s="477"/>
      <c r="M18" s="467">
        <v>322871</v>
      </c>
      <c r="N18" s="484"/>
    </row>
    <row r="19" spans="1:14" s="485" customFormat="1" ht="12.75" customHeight="1" x14ac:dyDescent="0.2">
      <c r="A19" s="482" t="s">
        <v>1472</v>
      </c>
      <c r="B19" s="483">
        <v>250</v>
      </c>
      <c r="C19" s="477"/>
      <c r="D19" s="477"/>
      <c r="E19" s="477"/>
      <c r="F19" s="477"/>
      <c r="G19" s="477"/>
      <c r="H19" s="477"/>
      <c r="I19" s="477"/>
      <c r="J19" s="477"/>
      <c r="K19" s="477"/>
      <c r="L19" s="477"/>
      <c r="M19" s="467">
        <v>2333089</v>
      </c>
      <c r="N19" s="484"/>
    </row>
    <row r="20" spans="1:14" s="485" customFormat="1" ht="12.75" customHeight="1" x14ac:dyDescent="0.2">
      <c r="A20" s="482" t="s">
        <v>1473</v>
      </c>
      <c r="B20" s="483">
        <v>260</v>
      </c>
      <c r="C20" s="477"/>
      <c r="D20" s="477"/>
      <c r="E20" s="477"/>
      <c r="F20" s="477"/>
      <c r="G20" s="477"/>
      <c r="H20" s="477"/>
      <c r="I20" s="477"/>
      <c r="J20" s="477"/>
      <c r="K20" s="477"/>
      <c r="L20" s="477"/>
      <c r="M20" s="467">
        <v>30925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74923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2971821</v>
      </c>
    </row>
    <row r="23" spans="1:14" ht="13.5" customHeight="1" thickBot="1" x14ac:dyDescent="0.25">
      <c r="A23" s="1758" t="s">
        <v>664</v>
      </c>
      <c r="B23" s="1763"/>
      <c r="C23" s="468"/>
      <c r="D23" s="468"/>
      <c r="E23" s="468"/>
      <c r="F23" s="468"/>
      <c r="G23" s="468"/>
      <c r="H23" s="468"/>
      <c r="I23" s="468"/>
      <c r="J23" s="468"/>
      <c r="K23" s="468"/>
      <c r="L23" s="468"/>
      <c r="M23" s="1710">
        <f>SUM(M15:M22)</f>
        <v>10951207</v>
      </c>
      <c r="N23" s="1710">
        <f>SUM(N21:N22)</f>
        <v>3046744</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85597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85597</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3046744</v>
      </c>
    </row>
    <row r="37" spans="1:14" ht="13.5" thickBot="1" x14ac:dyDescent="0.25">
      <c r="A37" s="1758" t="s">
        <v>674</v>
      </c>
      <c r="B37" s="1763"/>
      <c r="C37" s="477"/>
      <c r="D37" s="477"/>
      <c r="E37" s="477"/>
      <c r="F37" s="477"/>
      <c r="G37" s="477"/>
      <c r="H37" s="477"/>
      <c r="I37" s="477"/>
      <c r="J37" s="477"/>
      <c r="K37" s="477"/>
      <c r="L37" s="480"/>
      <c r="M37" s="468"/>
      <c r="N37" s="1710">
        <f>SUM(N36:N36)</f>
        <v>3046744</v>
      </c>
    </row>
    <row r="38" spans="1:14" s="329" customFormat="1" ht="13.5" customHeight="1" thickTop="1" thickBot="1" x14ac:dyDescent="0.25">
      <c r="A38" s="496" t="s">
        <v>440</v>
      </c>
      <c r="B38" s="483">
        <v>714</v>
      </c>
      <c r="C38" s="466"/>
      <c r="D38" s="466"/>
      <c r="E38" s="535">
        <v>74923</v>
      </c>
      <c r="F38" s="466"/>
      <c r="G38" s="535">
        <v>149093</v>
      </c>
      <c r="H38" s="466"/>
      <c r="I38" s="466"/>
      <c r="J38" s="535">
        <v>67223</v>
      </c>
      <c r="K38" s="535">
        <v>51574</v>
      </c>
      <c r="L38" s="481"/>
      <c r="M38" s="497"/>
      <c r="N38" s="497"/>
    </row>
    <row r="39" spans="1:14" s="329" customFormat="1" ht="13.5" customHeight="1" thickTop="1" x14ac:dyDescent="0.2">
      <c r="A39" s="496" t="s">
        <v>360</v>
      </c>
      <c r="B39" s="483">
        <v>730</v>
      </c>
      <c r="C39" s="478">
        <v>1599104</v>
      </c>
      <c r="D39" s="535">
        <v>64035</v>
      </c>
      <c r="E39" s="535"/>
      <c r="F39" s="535">
        <v>207299</v>
      </c>
      <c r="G39" s="535"/>
      <c r="H39" s="535">
        <v>784684</v>
      </c>
      <c r="I39" s="535"/>
      <c r="J39" s="535"/>
      <c r="K39" s="535"/>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10951207</v>
      </c>
      <c r="N40" s="497"/>
    </row>
    <row r="41" spans="1:14" ht="13.5" customHeight="1" thickBot="1" x14ac:dyDescent="0.25">
      <c r="A41" s="1758" t="s">
        <v>676</v>
      </c>
      <c r="B41" s="1728"/>
      <c r="C41" s="1710">
        <f>(SUM(C34,C37,C38,C39))</f>
        <v>1599104</v>
      </c>
      <c r="D41" s="1710">
        <f t="shared" ref="D41:L41" si="2">SUM(D34,D37,D38:D39)</f>
        <v>64035</v>
      </c>
      <c r="E41" s="1710">
        <f t="shared" si="2"/>
        <v>74923</v>
      </c>
      <c r="F41" s="1710">
        <f t="shared" si="2"/>
        <v>207299</v>
      </c>
      <c r="G41" s="1710">
        <f t="shared" si="2"/>
        <v>149093</v>
      </c>
      <c r="H41" s="1710">
        <f t="shared" si="2"/>
        <v>784684</v>
      </c>
      <c r="I41" s="1710">
        <f t="shared" si="2"/>
        <v>0</v>
      </c>
      <c r="J41" s="1710">
        <f t="shared" si="2"/>
        <v>67223</v>
      </c>
      <c r="K41" s="1710">
        <f t="shared" si="2"/>
        <v>51574</v>
      </c>
      <c r="L41" s="1710">
        <f t="shared" si="2"/>
        <v>85597</v>
      </c>
      <c r="M41" s="1710">
        <f>SUM(M40)</f>
        <v>10951207</v>
      </c>
      <c r="N41" s="1710">
        <f>SUM(N37)</f>
        <v>3046744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orizontalCentered="1" headings="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57" sqref="B57:J67"/>
      <selection pane="bottomLeft" sqref="A1:XFD10485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2160" t="s">
        <v>1579</v>
      </c>
      <c r="B4" s="2161"/>
      <c r="C4" s="1764">
        <f>'Revenues 9-14'!C109</f>
        <v>365446</v>
      </c>
      <c r="D4" s="1764">
        <f>'Revenues 9-14'!D109</f>
        <v>78943</v>
      </c>
      <c r="E4" s="1764">
        <f>'Revenues 9-14'!E109</f>
        <v>291396</v>
      </c>
      <c r="F4" s="1764">
        <f>'Revenues 9-14'!F109</f>
        <v>31821</v>
      </c>
      <c r="G4" s="1764">
        <f>'Revenues 9-14'!G109</f>
        <v>111873</v>
      </c>
      <c r="H4" s="1764">
        <f>'Revenues 9-14'!H109</f>
        <v>12710</v>
      </c>
      <c r="I4" s="1764">
        <f>'Revenues 9-14'!I109</f>
        <v>7854</v>
      </c>
      <c r="J4" s="1764">
        <f>'Revenues 9-14'!J109</f>
        <v>57803</v>
      </c>
      <c r="K4" s="1764">
        <f>'Revenues 9-14'!K109</f>
        <v>81</v>
      </c>
      <c r="L4" s="347"/>
    </row>
    <row r="5" spans="1:13" ht="15.75" customHeight="1" x14ac:dyDescent="0.2">
      <c r="A5" s="1598" t="s">
        <v>1580</v>
      </c>
      <c r="B5" s="1599">
        <v>2000</v>
      </c>
      <c r="C5" s="1765">
        <f>'Revenues 9-14'!C114</f>
        <v>49516</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2412147</v>
      </c>
      <c r="D6" s="1765">
        <f>'Revenues 9-14'!D173</f>
        <v>0</v>
      </c>
      <c r="E6" s="1765">
        <f>'Revenues 9-14'!E173</f>
        <v>0</v>
      </c>
      <c r="F6" s="1765">
        <f>'Revenues 9-14'!F173</f>
        <v>281121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348253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3175362</v>
      </c>
      <c r="D8" s="1710">
        <f t="shared" ref="D8:K8" si="0">SUM(D4:D7)</f>
        <v>78943</v>
      </c>
      <c r="E8" s="1710">
        <f t="shared" si="0"/>
        <v>291396</v>
      </c>
      <c r="F8" s="1710">
        <f t="shared" si="0"/>
        <v>312942</v>
      </c>
      <c r="G8" s="1710">
        <f t="shared" si="0"/>
        <v>111873</v>
      </c>
      <c r="H8" s="1710">
        <f t="shared" si="0"/>
        <v>12710</v>
      </c>
      <c r="I8" s="1710">
        <f t="shared" si="0"/>
        <v>7854</v>
      </c>
      <c r="J8" s="1710">
        <f t="shared" si="0"/>
        <v>57803</v>
      </c>
      <c r="K8" s="1710">
        <f t="shared" si="0"/>
        <v>81</v>
      </c>
      <c r="L8" s="347"/>
    </row>
    <row r="9" spans="1:13" ht="15.75" thickTop="1" x14ac:dyDescent="0.2">
      <c r="A9" s="514" t="s">
        <v>1752</v>
      </c>
      <c r="B9" s="515">
        <v>3998</v>
      </c>
      <c r="C9" s="481">
        <v>1071143</v>
      </c>
      <c r="D9" s="516"/>
      <c r="E9" s="481"/>
      <c r="F9" s="481"/>
      <c r="G9" s="517"/>
      <c r="H9" s="481"/>
      <c r="I9" s="509" t="s">
        <v>1231</v>
      </c>
      <c r="J9" s="478"/>
      <c r="K9" s="481"/>
      <c r="L9" s="347"/>
    </row>
    <row r="10" spans="1:13" s="519" customFormat="1" ht="13.5" thickBot="1" x14ac:dyDescent="0.25">
      <c r="A10" s="1758" t="s">
        <v>1235</v>
      </c>
      <c r="B10" s="1731"/>
      <c r="C10" s="1710">
        <f>SUM(C8:C9)</f>
        <v>4246505</v>
      </c>
      <c r="D10" s="1710">
        <f t="shared" ref="D10:K10" si="1">SUM(D8:D9)</f>
        <v>78943</v>
      </c>
      <c r="E10" s="1710">
        <f t="shared" si="1"/>
        <v>291396</v>
      </c>
      <c r="F10" s="1710">
        <f t="shared" si="1"/>
        <v>312942</v>
      </c>
      <c r="G10" s="1710">
        <f t="shared" si="1"/>
        <v>111873</v>
      </c>
      <c r="H10" s="1710">
        <f t="shared" si="1"/>
        <v>12710</v>
      </c>
      <c r="I10" s="1710">
        <f t="shared" si="1"/>
        <v>7854</v>
      </c>
      <c r="J10" s="1710">
        <f t="shared" si="1"/>
        <v>57803</v>
      </c>
      <c r="K10" s="1710">
        <f t="shared" si="1"/>
        <v>81</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1801851</v>
      </c>
      <c r="D12" s="520" t="s">
        <v>1231</v>
      </c>
      <c r="E12" s="468" t="s">
        <v>1231</v>
      </c>
      <c r="F12" s="468" t="s">
        <v>1231</v>
      </c>
      <c r="G12" s="1764">
        <f>'Expenditures 15-22'!K229</f>
        <v>58155</v>
      </c>
      <c r="H12" s="521"/>
      <c r="I12" s="468" t="s">
        <v>1231</v>
      </c>
      <c r="J12" s="468" t="s">
        <v>1231</v>
      </c>
      <c r="K12" s="521" t="s">
        <v>1231</v>
      </c>
      <c r="L12" s="347"/>
    </row>
    <row r="13" spans="1:13" ht="15.75" customHeight="1" x14ac:dyDescent="0.2">
      <c r="A13" s="1598" t="s">
        <v>477</v>
      </c>
      <c r="B13" s="1600">
        <v>2000</v>
      </c>
      <c r="C13" s="1765">
        <f>'Expenditures 15-22'!K74</f>
        <v>990754</v>
      </c>
      <c r="D13" s="1765">
        <f>'Expenditures 15-22'!K129</f>
        <v>111064</v>
      </c>
      <c r="E13" s="469" t="s">
        <v>1231</v>
      </c>
      <c r="F13" s="1765">
        <f>'Expenditures 15-22'!K184</f>
        <v>285790</v>
      </c>
      <c r="G13" s="1765">
        <f>'Expenditures 15-22'!K279</f>
        <v>65073</v>
      </c>
      <c r="H13" s="1765">
        <f>'Expenditures 15-22'!K303</f>
        <v>1199431</v>
      </c>
      <c r="I13" s="468" t="s">
        <v>1231</v>
      </c>
      <c r="J13" s="1765">
        <f>'Expenditures 15-22'!K330</f>
        <v>75778</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138829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289181</v>
      </c>
      <c r="F16" s="1765">
        <f>'Expenditures 15-22'!K208</f>
        <v>11500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2931434</v>
      </c>
      <c r="D17" s="1710">
        <f t="shared" si="2"/>
        <v>111064</v>
      </c>
      <c r="E17" s="1710">
        <f t="shared" si="2"/>
        <v>289181</v>
      </c>
      <c r="F17" s="1710">
        <f t="shared" si="2"/>
        <v>297290</v>
      </c>
      <c r="G17" s="1710">
        <f t="shared" si="2"/>
        <v>123228</v>
      </c>
      <c r="H17" s="1710">
        <f t="shared" si="2"/>
        <v>1199431</v>
      </c>
      <c r="I17" s="468"/>
      <c r="J17" s="1710">
        <f>SUM(J12:J16)</f>
        <v>75778</v>
      </c>
      <c r="K17" s="1710">
        <f>SUM(K12:K16)</f>
        <v>0</v>
      </c>
      <c r="L17" s="347"/>
    </row>
    <row r="18" spans="1:12" ht="15" customHeight="1" thickTop="1" x14ac:dyDescent="0.2">
      <c r="A18" s="1766" t="s">
        <v>1753</v>
      </c>
      <c r="B18" s="1767">
        <v>4180</v>
      </c>
      <c r="C18" s="1764">
        <f t="shared" ref="C18:H18" si="3">C9</f>
        <v>1071143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4002577</v>
      </c>
      <c r="D19" s="1710">
        <f t="shared" si="4"/>
        <v>111064</v>
      </c>
      <c r="E19" s="1710">
        <f t="shared" si="4"/>
        <v>289181</v>
      </c>
      <c r="F19" s="1710">
        <f t="shared" si="4"/>
        <v>297290</v>
      </c>
      <c r="G19" s="1710">
        <f t="shared" si="4"/>
        <v>123228</v>
      </c>
      <c r="H19" s="1710">
        <f t="shared" si="4"/>
        <v>1199431</v>
      </c>
      <c r="I19" s="468"/>
      <c r="J19" s="1710">
        <f>SUM(J17:J18)</f>
        <v>75778</v>
      </c>
      <c r="K19" s="1710">
        <f>SUM(K17:K18)</f>
        <v>0</v>
      </c>
      <c r="L19" s="347"/>
    </row>
    <row r="20" spans="1:12" ht="16.5" thickTop="1" thickBot="1" x14ac:dyDescent="0.25">
      <c r="A20" s="2148" t="s">
        <v>1754</v>
      </c>
      <c r="B20" s="2149"/>
      <c r="C20" s="1768">
        <f>C8-C17</f>
        <v>243928</v>
      </c>
      <c r="D20" s="1768">
        <f t="shared" ref="D20:K20" si="5">D8-D17</f>
        <v>-32121</v>
      </c>
      <c r="E20" s="1768">
        <f t="shared" si="5"/>
        <v>2215</v>
      </c>
      <c r="F20" s="1768">
        <f t="shared" si="5"/>
        <v>15652</v>
      </c>
      <c r="G20" s="1768">
        <f t="shared" si="5"/>
        <v>-11355</v>
      </c>
      <c r="H20" s="1768">
        <f t="shared" si="5"/>
        <v>-1186721</v>
      </c>
      <c r="I20" s="1768">
        <f t="shared" si="5"/>
        <v>7854</v>
      </c>
      <c r="J20" s="1768">
        <f t="shared" si="5"/>
        <v>-17975</v>
      </c>
      <c r="K20" s="1768">
        <f t="shared" si="5"/>
        <v>81</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v>7854</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v>53244</v>
      </c>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9600</v>
      </c>
      <c r="D43" s="467"/>
      <c r="E43" s="467"/>
      <c r="F43" s="467"/>
      <c r="G43" s="467"/>
      <c r="H43" s="467"/>
      <c r="I43" s="467"/>
      <c r="J43" s="467"/>
      <c r="K43" s="467"/>
      <c r="L43" s="524"/>
    </row>
    <row r="44" spans="1:12" s="485" customFormat="1" ht="13.5" customHeight="1" thickBot="1" x14ac:dyDescent="0.25">
      <c r="A44" s="2164" t="s">
        <v>392</v>
      </c>
      <c r="B44" s="2165"/>
      <c r="C44" s="1725">
        <f>SUM(C24:C43)</f>
        <v>17454</v>
      </c>
      <c r="D44" s="1725">
        <f t="shared" ref="D44:K44" si="6">SUM(D24:D43)</f>
        <v>0</v>
      </c>
      <c r="E44" s="1725">
        <f t="shared" si="6"/>
        <v>0</v>
      </c>
      <c r="F44" s="1725">
        <f t="shared" si="6"/>
        <v>53244</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36" t="s">
        <v>111</v>
      </c>
      <c r="B46" s="213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7854</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v>9600</v>
      </c>
      <c r="K75" s="532"/>
      <c r="L75" s="524"/>
    </row>
    <row r="76" spans="1:12" s="485" customFormat="1" ht="14.25" thickTop="1" thickBot="1" x14ac:dyDescent="0.25">
      <c r="A76" s="2138" t="s">
        <v>460</v>
      </c>
      <c r="B76" s="2139"/>
      <c r="C76" s="1725">
        <f t="shared" ref="C76:K76" si="7">SUM(C47:C75)</f>
        <v>0</v>
      </c>
      <c r="D76" s="1725">
        <f t="shared" si="7"/>
        <v>0</v>
      </c>
      <c r="E76" s="1725">
        <f t="shared" si="7"/>
        <v>0</v>
      </c>
      <c r="F76" s="1725">
        <f t="shared" si="7"/>
        <v>0</v>
      </c>
      <c r="G76" s="1725">
        <f t="shared" si="7"/>
        <v>0</v>
      </c>
      <c r="H76" s="1725">
        <f t="shared" si="7"/>
        <v>0</v>
      </c>
      <c r="I76" s="1725">
        <f t="shared" si="7"/>
        <v>7854</v>
      </c>
      <c r="J76" s="1725">
        <f t="shared" si="7"/>
        <v>9600</v>
      </c>
      <c r="K76" s="1725">
        <f t="shared" si="7"/>
        <v>0</v>
      </c>
      <c r="L76" s="524"/>
    </row>
    <row r="77" spans="1:12" ht="14.25" thickTop="1" thickBot="1" x14ac:dyDescent="0.25">
      <c r="A77" s="2140" t="s">
        <v>1239</v>
      </c>
      <c r="B77" s="2141"/>
      <c r="C77" s="1725">
        <f t="shared" ref="C77:K77" si="8">C44-C76</f>
        <v>17454</v>
      </c>
      <c r="D77" s="1725">
        <f t="shared" si="8"/>
        <v>0</v>
      </c>
      <c r="E77" s="1725">
        <f t="shared" si="8"/>
        <v>0</v>
      </c>
      <c r="F77" s="1725">
        <f t="shared" si="8"/>
        <v>53244</v>
      </c>
      <c r="G77" s="1725">
        <f t="shared" si="8"/>
        <v>0</v>
      </c>
      <c r="H77" s="1725">
        <f t="shared" si="8"/>
        <v>0</v>
      </c>
      <c r="I77" s="1725">
        <f t="shared" si="8"/>
        <v>-7854</v>
      </c>
      <c r="J77" s="1725">
        <f t="shared" si="8"/>
        <v>-9600</v>
      </c>
      <c r="K77" s="1725">
        <f t="shared" si="8"/>
        <v>0</v>
      </c>
      <c r="L77" s="347"/>
    </row>
    <row r="78" spans="1:12" ht="21.75" customHeight="1" thickTop="1" thickBot="1" x14ac:dyDescent="0.25">
      <c r="A78" s="2144" t="s">
        <v>618</v>
      </c>
      <c r="B78" s="2145"/>
      <c r="C78" s="1724">
        <f t="shared" ref="C78:K78" si="9">C20+C77</f>
        <v>261382</v>
      </c>
      <c r="D78" s="1724">
        <f t="shared" si="9"/>
        <v>-32121</v>
      </c>
      <c r="E78" s="1724">
        <f t="shared" si="9"/>
        <v>2215</v>
      </c>
      <c r="F78" s="1724">
        <f t="shared" si="9"/>
        <v>68896</v>
      </c>
      <c r="G78" s="1724">
        <f t="shared" si="9"/>
        <v>-11355</v>
      </c>
      <c r="H78" s="1724">
        <f t="shared" si="9"/>
        <v>-1186721</v>
      </c>
      <c r="I78" s="1724">
        <f t="shared" si="9"/>
        <v>0</v>
      </c>
      <c r="J78" s="1724">
        <f t="shared" si="9"/>
        <v>-27575</v>
      </c>
      <c r="K78" s="1724">
        <f t="shared" si="9"/>
        <v>81</v>
      </c>
      <c r="L78" s="533"/>
    </row>
    <row r="79" spans="1:12" ht="13.5" thickTop="1" x14ac:dyDescent="0.2">
      <c r="A79" s="1516" t="s">
        <v>2073</v>
      </c>
      <c r="B79" s="534"/>
      <c r="C79" s="478">
        <v>1337722</v>
      </c>
      <c r="D79" s="535">
        <v>96156</v>
      </c>
      <c r="E79" s="535">
        <v>72708</v>
      </c>
      <c r="F79" s="535">
        <v>138403</v>
      </c>
      <c r="G79" s="535">
        <v>160448</v>
      </c>
      <c r="H79" s="535">
        <v>1971405</v>
      </c>
      <c r="I79" s="535"/>
      <c r="J79" s="535">
        <v>94798</v>
      </c>
      <c r="K79" s="535">
        <v>51493</v>
      </c>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10">
        <f>(SUM(C78:C80))</f>
        <v>1599104</v>
      </c>
      <c r="D81" s="1710">
        <f>SUM(D78:D80)</f>
        <v>64035</v>
      </c>
      <c r="E81" s="1710">
        <f t="shared" ref="E81:K81" si="10">SUM(E78:E80)</f>
        <v>74923</v>
      </c>
      <c r="F81" s="1710">
        <f t="shared" si="10"/>
        <v>207299</v>
      </c>
      <c r="G81" s="1710">
        <f t="shared" si="10"/>
        <v>149093</v>
      </c>
      <c r="H81" s="1710">
        <f t="shared" si="10"/>
        <v>784684</v>
      </c>
      <c r="I81" s="1710">
        <f t="shared" si="10"/>
        <v>0</v>
      </c>
      <c r="J81" s="1710">
        <f t="shared" si="10"/>
        <v>67223</v>
      </c>
      <c r="K81" s="1710">
        <f t="shared" si="10"/>
        <v>51574</v>
      </c>
      <c r="L81" s="347"/>
    </row>
    <row r="82" spans="1:12" ht="0.75" customHeight="1" thickTop="1" thickBot="1" x14ac:dyDescent="0.25">
      <c r="A82" s="536" t="s">
        <v>361</v>
      </c>
      <c r="B82" s="537"/>
      <c r="C82" s="538">
        <f>(C81-C79)</f>
        <v>261382</v>
      </c>
      <c r="D82" s="538">
        <f t="shared" ref="D82:K82" si="11">(D81-D79)</f>
        <v>-32121</v>
      </c>
      <c r="E82" s="538">
        <f t="shared" si="11"/>
        <v>2215</v>
      </c>
      <c r="F82" s="538">
        <f t="shared" si="11"/>
        <v>68896</v>
      </c>
      <c r="G82" s="538">
        <f t="shared" si="11"/>
        <v>-11355</v>
      </c>
      <c r="H82" s="538">
        <f t="shared" si="11"/>
        <v>-1186721</v>
      </c>
      <c r="I82" s="538">
        <f t="shared" si="11"/>
        <v>0</v>
      </c>
      <c r="J82" s="538">
        <f t="shared" si="11"/>
        <v>-27575</v>
      </c>
      <c r="K82" s="538">
        <f t="shared" si="11"/>
        <v>81</v>
      </c>
    </row>
    <row r="83" spans="1:12" ht="14.25" hidden="1" thickTop="1" thickBot="1" x14ac:dyDescent="0.25">
      <c r="A83" s="539" t="s">
        <v>362</v>
      </c>
      <c r="B83" s="464"/>
      <c r="C83" s="540">
        <f>C82/C81</f>
        <v>0.16345528495957737</v>
      </c>
      <c r="D83" s="540">
        <f t="shared" ref="D83:K83" si="12">D82/D81</f>
        <v>-0.50161630358397746</v>
      </c>
      <c r="E83" s="540">
        <f t="shared" si="12"/>
        <v>2.9563685383660557E-2</v>
      </c>
      <c r="F83" s="540">
        <f t="shared" si="12"/>
        <v>0.33235085552752303</v>
      </c>
      <c r="G83" s="540">
        <f t="shared" si="12"/>
        <v>-7.616051726103841E-2</v>
      </c>
      <c r="H83" s="540">
        <f t="shared" si="12"/>
        <v>-1.5123552920666155</v>
      </c>
      <c r="I83" s="540" t="e">
        <f t="shared" si="12"/>
        <v>#DIV/0!</v>
      </c>
      <c r="J83" s="540">
        <f t="shared" si="12"/>
        <v>-0.41020186543296194</v>
      </c>
      <c r="K83" s="540">
        <f t="shared" si="12"/>
        <v>1.5705588087020592E-3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4" type="noConversion"/>
  <printOptions horizontalCentered="1" headings="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57" sqref="B57:J6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312116</v>
      </c>
      <c r="D5" s="481">
        <v>78240</v>
      </c>
      <c r="E5" s="466">
        <v>287710</v>
      </c>
      <c r="F5" s="548">
        <v>31211</v>
      </c>
      <c r="G5" s="466">
        <v>25306</v>
      </c>
      <c r="H5" s="466"/>
      <c r="I5" s="466">
        <v>7803</v>
      </c>
      <c r="J5" s="467">
        <v>28677</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6243</v>
      </c>
      <c r="D7" s="466"/>
      <c r="E7" s="468"/>
      <c r="F7" s="467"/>
      <c r="G7" s="467"/>
      <c r="H7" s="467"/>
      <c r="I7" s="468"/>
      <c r="J7" s="468"/>
      <c r="K7" s="468"/>
    </row>
    <row r="8" spans="1:12" x14ac:dyDescent="0.2">
      <c r="A8" s="463" t="s">
        <v>433</v>
      </c>
      <c r="B8" s="470">
        <v>1150</v>
      </c>
      <c r="C8" s="475"/>
      <c r="D8" s="475"/>
      <c r="E8" s="477"/>
      <c r="F8" s="477"/>
      <c r="G8" s="481">
        <v>19924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318359</v>
      </c>
      <c r="D12" s="1729">
        <f t="shared" si="0"/>
        <v>78240</v>
      </c>
      <c r="E12" s="1729">
        <f t="shared" si="0"/>
        <v>287710</v>
      </c>
      <c r="F12" s="1729">
        <f t="shared" si="0"/>
        <v>31211</v>
      </c>
      <c r="G12" s="1729">
        <f t="shared" si="0"/>
        <v>45230</v>
      </c>
      <c r="H12" s="1729">
        <f t="shared" si="0"/>
        <v>0</v>
      </c>
      <c r="I12" s="1729">
        <f t="shared" si="0"/>
        <v>7803</v>
      </c>
      <c r="J12" s="1729">
        <f t="shared" si="0"/>
        <v>28677</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240</v>
      </c>
      <c r="D14" s="466">
        <v>42</v>
      </c>
      <c r="E14" s="466">
        <v>156</v>
      </c>
      <c r="F14" s="466">
        <v>17</v>
      </c>
      <c r="G14" s="466">
        <v>24</v>
      </c>
      <c r="H14" s="466"/>
      <c r="I14" s="466">
        <v>4</v>
      </c>
      <c r="J14" s="467">
        <v>8</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15000</v>
      </c>
      <c r="D16" s="466"/>
      <c r="E16" s="466">
        <v>3000</v>
      </c>
      <c r="F16" s="466"/>
      <c r="G16" s="466">
        <v>66000</v>
      </c>
      <c r="H16" s="466"/>
      <c r="I16" s="466"/>
      <c r="J16" s="467">
        <v>28696</v>
      </c>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15240</v>
      </c>
      <c r="D18" s="1732">
        <f t="shared" ref="D18:K18" si="1">SUM(D14:D17)</f>
        <v>42</v>
      </c>
      <c r="E18" s="1732">
        <f t="shared" si="1"/>
        <v>3156</v>
      </c>
      <c r="F18" s="1732">
        <f t="shared" si="1"/>
        <v>17</v>
      </c>
      <c r="G18" s="1732">
        <f t="shared" si="1"/>
        <v>66024</v>
      </c>
      <c r="H18" s="1732">
        <f t="shared" si="1"/>
        <v>0</v>
      </c>
      <c r="I18" s="1732">
        <f t="shared" si="1"/>
        <v>4</v>
      </c>
      <c r="J18" s="1732">
        <f t="shared" si="1"/>
        <v>28704</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5650</v>
      </c>
      <c r="D65" s="466">
        <v>661</v>
      </c>
      <c r="E65" s="466">
        <v>530</v>
      </c>
      <c r="F65" s="467">
        <v>593</v>
      </c>
      <c r="G65" s="466">
        <v>619</v>
      </c>
      <c r="H65" s="466">
        <v>12710</v>
      </c>
      <c r="I65" s="466">
        <v>47</v>
      </c>
      <c r="J65" s="467">
        <v>422</v>
      </c>
      <c r="K65" s="466">
        <v>81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5650</v>
      </c>
      <c r="D67" s="1710">
        <f t="shared" ref="D67:K67" si="2">SUM(D65:D66)</f>
        <v>661</v>
      </c>
      <c r="E67" s="1710">
        <f t="shared" si="2"/>
        <v>530</v>
      </c>
      <c r="F67" s="1710">
        <f t="shared" si="2"/>
        <v>593</v>
      </c>
      <c r="G67" s="1710">
        <f t="shared" si="2"/>
        <v>619</v>
      </c>
      <c r="H67" s="1710">
        <f t="shared" si="2"/>
        <v>12710</v>
      </c>
      <c r="I67" s="1710">
        <f t="shared" si="2"/>
        <v>47</v>
      </c>
      <c r="J67" s="1710">
        <f t="shared" si="2"/>
        <v>422</v>
      </c>
      <c r="K67" s="1710">
        <f t="shared" si="2"/>
        <v>81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4074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4074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11648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2601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14249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6951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923</v>
      </c>
      <c r="D107" s="466"/>
      <c r="E107" s="466"/>
      <c r="F107" s="466"/>
      <c r="G107" s="466"/>
      <c r="H107" s="466"/>
      <c r="I107" s="466"/>
      <c r="J107" s="467"/>
      <c r="K107" s="466"/>
    </row>
    <row r="108" spans="1:12" ht="12.75" customHeight="1" thickBot="1" x14ac:dyDescent="0.25">
      <c r="A108" s="1730" t="s">
        <v>508</v>
      </c>
      <c r="B108" s="1734"/>
      <c r="C108" s="1729">
        <f>SUM(C95:C107)</f>
        <v>7874</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365446</v>
      </c>
      <c r="D109" s="1737">
        <f t="shared" si="4"/>
        <v>78943</v>
      </c>
      <c r="E109" s="1737">
        <f t="shared" si="4"/>
        <v>291396</v>
      </c>
      <c r="F109" s="1737">
        <f t="shared" si="4"/>
        <v>31821</v>
      </c>
      <c r="G109" s="1737">
        <f t="shared" si="4"/>
        <v>111873</v>
      </c>
      <c r="H109" s="1737">
        <f t="shared" si="4"/>
        <v>12710</v>
      </c>
      <c r="I109" s="1737">
        <f t="shared" si="4"/>
        <v>7854</v>
      </c>
      <c r="J109" s="1737">
        <f t="shared" si="4"/>
        <v>57803</v>
      </c>
      <c r="K109" s="1724">
        <f t="shared" si="4"/>
        <v>81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36812</v>
      </c>
      <c r="D111" s="481"/>
      <c r="E111" s="561"/>
      <c r="F111" s="481"/>
      <c r="G111" s="481"/>
      <c r="H111" s="561"/>
      <c r="I111" s="468"/>
      <c r="J111" s="468"/>
      <c r="K111" s="468"/>
    </row>
    <row r="112" spans="1:12" ht="12.75" customHeight="1" x14ac:dyDescent="0.2">
      <c r="A112" s="463" t="s">
        <v>878</v>
      </c>
      <c r="B112" s="470">
        <v>2200</v>
      </c>
      <c r="C112" s="551">
        <v>12704</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49516</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2265578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2265578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26722</v>
      </c>
      <c r="D125" s="561"/>
      <c r="E125" s="468"/>
      <c r="F125" s="466"/>
      <c r="G125" s="468"/>
      <c r="H125" s="468"/>
      <c r="I125" s="468"/>
      <c r="J125" s="468"/>
      <c r="K125" s="468"/>
    </row>
    <row r="126" spans="1:11" ht="12.75" customHeight="1" x14ac:dyDescent="0.2">
      <c r="A126" s="463" t="s">
        <v>922</v>
      </c>
      <c r="B126" s="562">
        <v>3110</v>
      </c>
      <c r="C126" s="551">
        <v>21983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48705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6498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4973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198840</v>
      </c>
      <c r="G151" s="467"/>
      <c r="H151" s="468"/>
      <c r="I151" s="468"/>
      <c r="J151" s="468"/>
      <c r="K151" s="468"/>
    </row>
    <row r="152" spans="1:11" ht="12.75" customHeight="1" x14ac:dyDescent="0.2">
      <c r="A152" s="463" t="s">
        <v>1117</v>
      </c>
      <c r="B152" s="562">
        <v>3510</v>
      </c>
      <c r="C152" s="551"/>
      <c r="D152" s="466"/>
      <c r="E152" s="561"/>
      <c r="F152" s="466">
        <v>82281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281121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84893</v>
      </c>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6" t="s">
        <v>418</v>
      </c>
      <c r="B172" s="2167"/>
      <c r="C172" s="1744">
        <f t="shared" ref="C172:K172" si="6">SUM(C131,C140,C144,C145:C149,C154,C155:C170,C171)</f>
        <v>146569</v>
      </c>
      <c r="D172" s="1744">
        <f t="shared" si="6"/>
        <v>0</v>
      </c>
      <c r="E172" s="1744">
        <f t="shared" si="6"/>
        <v>0</v>
      </c>
      <c r="F172" s="1744">
        <f t="shared" si="6"/>
        <v>281121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2412147</v>
      </c>
      <c r="D173" s="1737">
        <f>SUM(D121,D172)</f>
        <v>0</v>
      </c>
      <c r="E173" s="1737">
        <f>SUM(E121,E172)</f>
        <v>0</v>
      </c>
      <c r="F173" s="1737">
        <f t="shared" ref="F173:K173" si="7">SUM(F121,F172)</f>
        <v>281121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139088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49950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189038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126297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126297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29869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3049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348253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348253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3175362</v>
      </c>
      <c r="D275" s="1737">
        <f t="shared" si="12"/>
        <v>78943</v>
      </c>
      <c r="E275" s="1737">
        <f t="shared" si="12"/>
        <v>291396</v>
      </c>
      <c r="F275" s="1737">
        <f t="shared" si="12"/>
        <v>312942</v>
      </c>
      <c r="G275" s="1737">
        <f t="shared" si="12"/>
        <v>111873</v>
      </c>
      <c r="H275" s="1737">
        <f t="shared" si="12"/>
        <v>12710</v>
      </c>
      <c r="I275" s="1737">
        <f t="shared" si="12"/>
        <v>7854</v>
      </c>
      <c r="J275" s="1737">
        <f t="shared" si="12"/>
        <v>57803</v>
      </c>
      <c r="K275" s="1724">
        <f t="shared" si="12"/>
        <v>81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8" activePane="bottomLeft" state="frozen"/>
      <selection activeCell="B57" sqref="B57:J67"/>
      <selection pane="bottomLeft" sqref="A1:XFD104857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1002766</v>
      </c>
      <c r="D5" s="466">
        <v>75671</v>
      </c>
      <c r="E5" s="466">
        <v>28030</v>
      </c>
      <c r="F5" s="466">
        <v>68867</v>
      </c>
      <c r="G5" s="466"/>
      <c r="H5" s="466">
        <v>7745</v>
      </c>
      <c r="I5" s="467"/>
      <c r="J5" s="467"/>
      <c r="K5" s="1693">
        <f>SUM(C5:J5)</f>
        <v>1183079</v>
      </c>
      <c r="L5" s="466">
        <v>1138000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255360</v>
      </c>
      <c r="D8" s="466">
        <v>8558</v>
      </c>
      <c r="E8" s="466">
        <v>798</v>
      </c>
      <c r="F8" s="466">
        <v>486</v>
      </c>
      <c r="G8" s="466"/>
      <c r="H8" s="466">
        <v>2501</v>
      </c>
      <c r="I8" s="467"/>
      <c r="J8" s="467"/>
      <c r="K8" s="1693">
        <f t="shared" si="0"/>
        <v>267703</v>
      </c>
      <c r="L8" s="466">
        <v>262500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98861</v>
      </c>
      <c r="D10" s="466">
        <v>11699</v>
      </c>
      <c r="E10" s="466"/>
      <c r="F10" s="466">
        <v>19564</v>
      </c>
      <c r="G10" s="466">
        <v>23995</v>
      </c>
      <c r="H10" s="466"/>
      <c r="I10" s="467"/>
      <c r="J10" s="467"/>
      <c r="K10" s="1693">
        <f t="shared" si="0"/>
        <v>154119</v>
      </c>
      <c r="L10" s="466">
        <v>151000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77849</v>
      </c>
      <c r="D13" s="466">
        <v>902</v>
      </c>
      <c r="E13" s="466"/>
      <c r="F13" s="466">
        <v>2360</v>
      </c>
      <c r="G13" s="466">
        <v>650</v>
      </c>
      <c r="H13" s="466"/>
      <c r="I13" s="467"/>
      <c r="J13" s="467"/>
      <c r="K13" s="1693">
        <f t="shared" si="0"/>
        <v>81761</v>
      </c>
      <c r="L13" s="466">
        <v>81000</v>
      </c>
    </row>
    <row r="14" spans="1:14" x14ac:dyDescent="0.2">
      <c r="A14" s="1526" t="s">
        <v>1020</v>
      </c>
      <c r="B14" s="615">
        <v>1500</v>
      </c>
      <c r="C14" s="466">
        <v>39805</v>
      </c>
      <c r="D14" s="466">
        <v>1580</v>
      </c>
      <c r="E14" s="466">
        <v>14850</v>
      </c>
      <c r="F14" s="466">
        <v>9460</v>
      </c>
      <c r="G14" s="466"/>
      <c r="H14" s="466">
        <v>2651</v>
      </c>
      <c r="I14" s="467"/>
      <c r="J14" s="467"/>
      <c r="K14" s="1693">
        <f t="shared" si="0"/>
        <v>68346</v>
      </c>
      <c r="L14" s="466">
        <v>67500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15986</v>
      </c>
      <c r="D17" s="467">
        <v>173</v>
      </c>
      <c r="E17" s="467"/>
      <c r="F17" s="467">
        <v>1931</v>
      </c>
      <c r="G17" s="467"/>
      <c r="H17" s="467"/>
      <c r="I17" s="467"/>
      <c r="J17" s="467"/>
      <c r="K17" s="1693">
        <f t="shared" si="0"/>
        <v>18090</v>
      </c>
      <c r="L17" s="466">
        <v>20300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v>28501</v>
      </c>
      <c r="D19" s="466">
        <v>211</v>
      </c>
      <c r="E19" s="466">
        <v>41</v>
      </c>
      <c r="F19" s="466"/>
      <c r="G19" s="466"/>
      <c r="H19" s="466"/>
      <c r="I19" s="467"/>
      <c r="J19" s="467"/>
      <c r="K19" s="1693">
        <f t="shared" si="0"/>
        <v>28753</v>
      </c>
      <c r="L19" s="466">
        <v>28754</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1519128</v>
      </c>
      <c r="D33" s="1692">
        <f t="shared" ref="D33:L33" si="1">SUM(D5:D32)</f>
        <v>98794</v>
      </c>
      <c r="E33" s="1692">
        <f t="shared" si="1"/>
        <v>43719</v>
      </c>
      <c r="F33" s="1692">
        <f t="shared" si="1"/>
        <v>102668</v>
      </c>
      <c r="G33" s="1692">
        <f t="shared" si="1"/>
        <v>24645</v>
      </c>
      <c r="H33" s="1692">
        <f t="shared" si="1"/>
        <v>12897</v>
      </c>
      <c r="I33" s="1692">
        <f t="shared" si="1"/>
        <v>0</v>
      </c>
      <c r="J33" s="1692">
        <f t="shared" si="1"/>
        <v>0</v>
      </c>
      <c r="K33" s="1692">
        <f t="shared" si="1"/>
        <v>1801851</v>
      </c>
      <c r="L33" s="1692">
        <f t="shared" si="1"/>
        <v>1749054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48486</v>
      </c>
      <c r="D37" s="466">
        <v>2915</v>
      </c>
      <c r="E37" s="466"/>
      <c r="F37" s="466">
        <v>123</v>
      </c>
      <c r="G37" s="466"/>
      <c r="H37" s="466"/>
      <c r="I37" s="467"/>
      <c r="J37" s="467"/>
      <c r="K37" s="1693">
        <f t="shared" si="2"/>
        <v>51524</v>
      </c>
      <c r="L37" s="466">
        <v>52175</v>
      </c>
    </row>
    <row r="38" spans="1:14" x14ac:dyDescent="0.2">
      <c r="A38" s="1526" t="s">
        <v>207</v>
      </c>
      <c r="B38" s="615">
        <v>2130</v>
      </c>
      <c r="C38" s="466">
        <v>24261</v>
      </c>
      <c r="D38" s="466">
        <v>64</v>
      </c>
      <c r="E38" s="466">
        <v>5225</v>
      </c>
      <c r="F38" s="466">
        <v>798</v>
      </c>
      <c r="G38" s="466"/>
      <c r="H38" s="466"/>
      <c r="I38" s="467"/>
      <c r="J38" s="467"/>
      <c r="K38" s="1693">
        <f t="shared" si="2"/>
        <v>30348</v>
      </c>
      <c r="L38" s="466">
        <v>32100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72747</v>
      </c>
      <c r="D42" s="1692">
        <f t="shared" ref="D42:L42" si="3">SUM(D36:D41)</f>
        <v>2979</v>
      </c>
      <c r="E42" s="1692">
        <f t="shared" si="3"/>
        <v>5225</v>
      </c>
      <c r="F42" s="1692">
        <f t="shared" si="3"/>
        <v>921</v>
      </c>
      <c r="G42" s="1692">
        <f t="shared" si="3"/>
        <v>0</v>
      </c>
      <c r="H42" s="1692">
        <f t="shared" si="3"/>
        <v>0</v>
      </c>
      <c r="I42" s="1692">
        <f t="shared" si="3"/>
        <v>0</v>
      </c>
      <c r="J42" s="1692">
        <f t="shared" si="3"/>
        <v>0</v>
      </c>
      <c r="K42" s="1692">
        <f t="shared" si="3"/>
        <v>81872</v>
      </c>
      <c r="L42" s="1692">
        <f t="shared" si="3"/>
        <v>84275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30008</v>
      </c>
      <c r="D44" s="481">
        <v>1065</v>
      </c>
      <c r="E44" s="481">
        <v>26129</v>
      </c>
      <c r="F44" s="481"/>
      <c r="G44" s="481"/>
      <c r="H44" s="481"/>
      <c r="I44" s="467"/>
      <c r="J44" s="467"/>
      <c r="K44" s="1694">
        <f>SUM(C44:J44)</f>
        <v>57202</v>
      </c>
      <c r="L44" s="481">
        <v>57630</v>
      </c>
    </row>
    <row r="45" spans="1:14" x14ac:dyDescent="0.2">
      <c r="A45" s="1526" t="s">
        <v>869</v>
      </c>
      <c r="B45" s="615">
        <v>2220</v>
      </c>
      <c r="C45" s="466"/>
      <c r="D45" s="466"/>
      <c r="E45" s="466"/>
      <c r="F45" s="466">
        <v>648</v>
      </c>
      <c r="G45" s="466"/>
      <c r="H45" s="466"/>
      <c r="I45" s="467"/>
      <c r="J45" s="467"/>
      <c r="K45" s="1694">
        <f>SUM(C45:J45)</f>
        <v>648</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30008</v>
      </c>
      <c r="D47" s="1692">
        <f t="shared" ref="D47:K47" si="4">SUM(D44:D46)</f>
        <v>1065</v>
      </c>
      <c r="E47" s="1692">
        <f t="shared" si="4"/>
        <v>26129</v>
      </c>
      <c r="F47" s="1692">
        <f t="shared" si="4"/>
        <v>648</v>
      </c>
      <c r="G47" s="1692">
        <f t="shared" si="4"/>
        <v>0</v>
      </c>
      <c r="H47" s="1692">
        <f t="shared" si="4"/>
        <v>0</v>
      </c>
      <c r="I47" s="1692">
        <f t="shared" si="4"/>
        <v>0</v>
      </c>
      <c r="J47" s="1692">
        <f t="shared" si="4"/>
        <v>0</v>
      </c>
      <c r="K47" s="1692">
        <f t="shared" si="4"/>
        <v>57850</v>
      </c>
      <c r="L47" s="1692">
        <f>SUM(L44:L46)</f>
        <v>57630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2905</v>
      </c>
      <c r="D49" s="481">
        <v>24675</v>
      </c>
      <c r="E49" s="481">
        <v>44027</v>
      </c>
      <c r="F49" s="481">
        <v>2607</v>
      </c>
      <c r="G49" s="481"/>
      <c r="H49" s="481">
        <v>6613</v>
      </c>
      <c r="I49" s="467"/>
      <c r="J49" s="467"/>
      <c r="K49" s="1694">
        <f>SUM(C49:J49)</f>
        <v>80827</v>
      </c>
      <c r="L49" s="481">
        <v>84500</v>
      </c>
    </row>
    <row r="50" spans="1:14" x14ac:dyDescent="0.2">
      <c r="A50" s="1526" t="s">
        <v>872</v>
      </c>
      <c r="B50" s="615">
        <v>2320</v>
      </c>
      <c r="C50" s="466">
        <v>98521</v>
      </c>
      <c r="D50" s="466">
        <v>4647</v>
      </c>
      <c r="E50" s="466"/>
      <c r="F50" s="466">
        <v>986</v>
      </c>
      <c r="G50" s="466"/>
      <c r="H50" s="466">
        <v>805</v>
      </c>
      <c r="I50" s="467"/>
      <c r="J50" s="467"/>
      <c r="K50" s="1694">
        <f>SUM(C50:J50)</f>
        <v>104959</v>
      </c>
      <c r="L50" s="466">
        <v>105500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101426</v>
      </c>
      <c r="D53" s="1692">
        <f t="shared" ref="D53:L53" si="5">SUM(D49:D52)</f>
        <v>29322</v>
      </c>
      <c r="E53" s="1692">
        <f t="shared" si="5"/>
        <v>44027</v>
      </c>
      <c r="F53" s="1692">
        <f t="shared" si="5"/>
        <v>3593</v>
      </c>
      <c r="G53" s="1692">
        <f t="shared" si="5"/>
        <v>0</v>
      </c>
      <c r="H53" s="1692">
        <f t="shared" si="5"/>
        <v>7418</v>
      </c>
      <c r="I53" s="1692">
        <f t="shared" si="5"/>
        <v>0</v>
      </c>
      <c r="J53" s="1692">
        <f t="shared" si="5"/>
        <v>0</v>
      </c>
      <c r="K53" s="1692">
        <f t="shared" si="5"/>
        <v>185786</v>
      </c>
      <c r="L53" s="1692">
        <f t="shared" si="5"/>
        <v>190000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149382</v>
      </c>
      <c r="D55" s="481">
        <v>6323</v>
      </c>
      <c r="E55" s="481">
        <v>23898</v>
      </c>
      <c r="F55" s="481"/>
      <c r="G55" s="481"/>
      <c r="H55" s="481">
        <v>13796</v>
      </c>
      <c r="I55" s="467"/>
      <c r="J55" s="467"/>
      <c r="K55" s="1694">
        <f>SUM(C55:J55)</f>
        <v>193399</v>
      </c>
      <c r="L55" s="481">
        <v>193200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149382</v>
      </c>
      <c r="D57" s="1696">
        <f t="shared" ref="D57:K57" si="6">SUM(D55:D56)</f>
        <v>6323</v>
      </c>
      <c r="E57" s="1696">
        <f t="shared" si="6"/>
        <v>23898</v>
      </c>
      <c r="F57" s="1696">
        <f t="shared" si="6"/>
        <v>0</v>
      </c>
      <c r="G57" s="1696">
        <f t="shared" si="6"/>
        <v>0</v>
      </c>
      <c r="H57" s="1696">
        <f t="shared" si="6"/>
        <v>13796</v>
      </c>
      <c r="I57" s="1696">
        <f t="shared" si="6"/>
        <v>0</v>
      </c>
      <c r="J57" s="1696">
        <f t="shared" si="6"/>
        <v>0</v>
      </c>
      <c r="K57" s="1696">
        <f t="shared" si="6"/>
        <v>193399</v>
      </c>
      <c r="L57" s="1692">
        <f>SUM(L55:L56)</f>
        <v>193200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35668</v>
      </c>
      <c r="D60" s="466"/>
      <c r="E60" s="466">
        <v>771</v>
      </c>
      <c r="F60" s="466">
        <v>498</v>
      </c>
      <c r="G60" s="466"/>
      <c r="H60" s="466">
        <v>1658</v>
      </c>
      <c r="I60" s="467"/>
      <c r="J60" s="467"/>
      <c r="K60" s="1694">
        <f t="shared" si="7"/>
        <v>38595</v>
      </c>
      <c r="L60" s="466">
        <v>40700</v>
      </c>
      <c r="M60" s="610"/>
      <c r="N60" s="610"/>
    </row>
    <row r="61" spans="1:14" s="343" customFormat="1" x14ac:dyDescent="0.2">
      <c r="A61" s="1526" t="s">
        <v>206</v>
      </c>
      <c r="B61" s="615">
        <v>2540</v>
      </c>
      <c r="C61" s="466">
        <v>96291</v>
      </c>
      <c r="D61" s="466">
        <v>8896</v>
      </c>
      <c r="E61" s="466">
        <v>6757</v>
      </c>
      <c r="F61" s="466">
        <v>115227</v>
      </c>
      <c r="G61" s="466"/>
      <c r="H61" s="466"/>
      <c r="I61" s="467"/>
      <c r="J61" s="467"/>
      <c r="K61" s="1694">
        <f t="shared" si="7"/>
        <v>227171</v>
      </c>
      <c r="L61" s="466">
        <v>226800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57100</v>
      </c>
      <c r="D63" s="466">
        <v>215</v>
      </c>
      <c r="E63" s="466">
        <v>2479</v>
      </c>
      <c r="F63" s="466">
        <v>145732</v>
      </c>
      <c r="G63" s="466"/>
      <c r="H63" s="466">
        <v>555</v>
      </c>
      <c r="I63" s="467"/>
      <c r="J63" s="467"/>
      <c r="K63" s="1694">
        <f t="shared" si="7"/>
        <v>206081</v>
      </c>
      <c r="L63" s="466">
        <v>212900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189059</v>
      </c>
      <c r="D65" s="1692">
        <f t="shared" ref="D65:L65" si="8">SUM(D59:D64)</f>
        <v>9111</v>
      </c>
      <c r="E65" s="1692">
        <f t="shared" si="8"/>
        <v>10007</v>
      </c>
      <c r="F65" s="1692">
        <f t="shared" si="8"/>
        <v>261457</v>
      </c>
      <c r="G65" s="1692">
        <f t="shared" si="8"/>
        <v>0</v>
      </c>
      <c r="H65" s="1692">
        <f t="shared" si="8"/>
        <v>2213</v>
      </c>
      <c r="I65" s="1692">
        <f t="shared" si="8"/>
        <v>0</v>
      </c>
      <c r="J65" s="1692">
        <f t="shared" si="8"/>
        <v>0</v>
      </c>
      <c r="K65" s="1692">
        <f t="shared" si="8"/>
        <v>471847</v>
      </c>
      <c r="L65" s="1692">
        <f t="shared" si="8"/>
        <v>480400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542622</v>
      </c>
      <c r="D74" s="1699">
        <f t="shared" ref="D74:K74" si="10">SUM(D42,D47,D53,D57,D65,D72,D73)</f>
        <v>48800</v>
      </c>
      <c r="E74" s="1699">
        <f t="shared" si="10"/>
        <v>109286</v>
      </c>
      <c r="F74" s="1699">
        <f t="shared" si="10"/>
        <v>266619</v>
      </c>
      <c r="G74" s="1699">
        <f t="shared" si="10"/>
        <v>0</v>
      </c>
      <c r="H74" s="1699">
        <f t="shared" si="10"/>
        <v>23427</v>
      </c>
      <c r="I74" s="1699">
        <f t="shared" si="10"/>
        <v>0</v>
      </c>
      <c r="J74" s="1699">
        <f t="shared" si="10"/>
        <v>0</v>
      </c>
      <c r="K74" s="1699">
        <f t="shared" si="10"/>
        <v>990754</v>
      </c>
      <c r="L74" s="1699">
        <f>SUM(L42,L47,L53,L57,L65,L72,L73)</f>
        <v>1005505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135032</v>
      </c>
      <c r="I79" s="477"/>
      <c r="J79" s="477"/>
      <c r="K79" s="1693">
        <f t="shared" si="11"/>
        <v>135032</v>
      </c>
      <c r="L79" s="466">
        <v>108000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3397</v>
      </c>
      <c r="I81" s="477"/>
      <c r="J81" s="477"/>
      <c r="K81" s="1693">
        <f t="shared" si="11"/>
        <v>3397</v>
      </c>
      <c r="L81" s="466">
        <v>4000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138429</v>
      </c>
      <c r="I84" s="477"/>
      <c r="J84" s="477"/>
      <c r="K84" s="1692">
        <f>SUM(K78:K83)</f>
        <v>138429</v>
      </c>
      <c r="L84" s="1692">
        <f>SUM(L78:L83)</f>
        <v>112000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v>400</v>
      </c>
      <c r="I87" s="477"/>
      <c r="J87" s="477"/>
      <c r="K87" s="1699">
        <f t="shared" si="12"/>
        <v>400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400</v>
      </c>
      <c r="I92" s="477"/>
      <c r="J92" s="477"/>
      <c r="K92" s="1699">
        <f t="shared" si="12"/>
        <v>400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138829</v>
      </c>
      <c r="I102" s="477"/>
      <c r="J102" s="477"/>
      <c r="K102" s="1699">
        <f>SUM(K84,K92,K100,K101)</f>
        <v>138829</v>
      </c>
      <c r="L102" s="1699">
        <f>SUM(L84,L92,L100,L101)</f>
        <v>112000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2061750</v>
      </c>
      <c r="D114" s="1692">
        <f t="shared" ref="D114:K114" si="13">SUM(D33,D74,D75,D102,D112,D113)</f>
        <v>147594</v>
      </c>
      <c r="E114" s="1692">
        <f t="shared" si="13"/>
        <v>153005</v>
      </c>
      <c r="F114" s="1692">
        <f t="shared" si="13"/>
        <v>369287</v>
      </c>
      <c r="G114" s="1692">
        <f t="shared" si="13"/>
        <v>24645</v>
      </c>
      <c r="H114" s="1692">
        <f>SUM(H33,H74,H75,H102,H112,H113)</f>
        <v>175153</v>
      </c>
      <c r="I114" s="1692">
        <f t="shared" si="13"/>
        <v>0</v>
      </c>
      <c r="J114" s="1692">
        <f t="shared" si="13"/>
        <v>0</v>
      </c>
      <c r="K114" s="1692">
        <f t="shared" si="13"/>
        <v>2931434</v>
      </c>
      <c r="L114" s="1692">
        <f>SUM(L33,L74,L75,L102,L112,L113)</f>
        <v>2866559</v>
      </c>
    </row>
    <row r="115" spans="1:14" ht="13.5" thickTop="1" x14ac:dyDescent="0.2">
      <c r="A115" s="2203" t="s">
        <v>1053</v>
      </c>
      <c r="B115" s="2204"/>
      <c r="C115" s="619"/>
      <c r="D115" s="619"/>
      <c r="E115" s="619"/>
      <c r="F115" s="619"/>
      <c r="G115" s="619"/>
      <c r="H115" s="619"/>
      <c r="I115" s="619"/>
      <c r="J115" s="619"/>
      <c r="K115" s="1706">
        <f>'Revenues 9-14'!C275-'Expenditures 15-22'!K114</f>
        <v>243928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74921</v>
      </c>
      <c r="F124" s="466">
        <v>33711</v>
      </c>
      <c r="G124" s="466">
        <v>2432</v>
      </c>
      <c r="H124" s="466"/>
      <c r="I124" s="467"/>
      <c r="J124" s="467"/>
      <c r="K124" s="1692">
        <f>SUM(C124:J124)</f>
        <v>111064</v>
      </c>
      <c r="L124" s="466">
        <v>110000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74921</v>
      </c>
      <c r="F127" s="1692">
        <f t="shared" si="14"/>
        <v>33711</v>
      </c>
      <c r="G127" s="1692">
        <f t="shared" si="14"/>
        <v>2432</v>
      </c>
      <c r="H127" s="1692">
        <f t="shared" si="14"/>
        <v>0</v>
      </c>
      <c r="I127" s="1692">
        <f t="shared" si="14"/>
        <v>0</v>
      </c>
      <c r="J127" s="1692">
        <f t="shared" si="14"/>
        <v>0</v>
      </c>
      <c r="K127" s="1692">
        <f t="shared" si="14"/>
        <v>111064</v>
      </c>
      <c r="L127" s="1692">
        <f t="shared" si="14"/>
        <v>110000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74921</v>
      </c>
      <c r="F129" s="1699">
        <f t="shared" si="15"/>
        <v>33711</v>
      </c>
      <c r="G129" s="1699">
        <f t="shared" si="15"/>
        <v>2432</v>
      </c>
      <c r="H129" s="1699">
        <f t="shared" si="15"/>
        <v>0</v>
      </c>
      <c r="I129" s="1699">
        <f t="shared" si="15"/>
        <v>0</v>
      </c>
      <c r="J129" s="1699">
        <f t="shared" si="15"/>
        <v>0</v>
      </c>
      <c r="K129" s="1699">
        <f t="shared" si="15"/>
        <v>111064</v>
      </c>
      <c r="L129" s="1699">
        <f t="shared" si="15"/>
        <v>110000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5"/>
      <c r="C151" s="1692">
        <f>SUM(C129,C130,C139,C149,C150)</f>
        <v>0</v>
      </c>
      <c r="D151" s="1692">
        <f t="shared" ref="D151:K151" si="16">SUM(D129,D130,D139,D149,D150)</f>
        <v>0</v>
      </c>
      <c r="E151" s="1692">
        <f t="shared" si="16"/>
        <v>74921</v>
      </c>
      <c r="F151" s="1692">
        <f t="shared" si="16"/>
        <v>33711</v>
      </c>
      <c r="G151" s="1692">
        <f t="shared" si="16"/>
        <v>2432</v>
      </c>
      <c r="H151" s="1692">
        <f t="shared" si="16"/>
        <v>0</v>
      </c>
      <c r="I151" s="1692">
        <f t="shared" si="16"/>
        <v>0</v>
      </c>
      <c r="J151" s="1692">
        <f t="shared" si="16"/>
        <v>0</v>
      </c>
      <c r="K151" s="1692">
        <f t="shared" si="16"/>
        <v>111064</v>
      </c>
      <c r="L151" s="1692">
        <f>SUM(L129,L130,L139,L149,L150)</f>
        <v>110000</v>
      </c>
    </row>
    <row r="152" spans="1:14" ht="12.75" customHeight="1" thickTop="1" x14ac:dyDescent="0.2">
      <c r="A152" s="2196" t="s">
        <v>1240</v>
      </c>
      <c r="B152" s="2197"/>
      <c r="C152" s="619"/>
      <c r="D152" s="619"/>
      <c r="E152" s="619"/>
      <c r="F152" s="619"/>
      <c r="G152" s="619"/>
      <c r="H152" s="619"/>
      <c r="I152" s="619"/>
      <c r="J152" s="617"/>
      <c r="K152" s="1706">
        <f>'Revenues 9-14'!D275-'Expenditures 15-22'!K151</f>
        <v>-32121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103810</v>
      </c>
      <c r="I169" s="617"/>
      <c r="J169" s="617"/>
      <c r="K169" s="1693">
        <f>SUM(C169:H169)</f>
        <v>103810</v>
      </c>
      <c r="L169" s="657">
        <v>103810</v>
      </c>
    </row>
    <row r="170" spans="1:14" ht="33.75" customHeight="1" x14ac:dyDescent="0.2">
      <c r="A170" s="670" t="s">
        <v>1769</v>
      </c>
      <c r="B170" s="672" t="s">
        <v>31</v>
      </c>
      <c r="C170" s="617"/>
      <c r="D170" s="617"/>
      <c r="E170" s="617"/>
      <c r="F170" s="617"/>
      <c r="G170" s="617"/>
      <c r="H170" s="569">
        <v>185000</v>
      </c>
      <c r="I170" s="617"/>
      <c r="J170" s="617"/>
      <c r="K170" s="1693">
        <f>SUM(C170:J170)</f>
        <v>185000</v>
      </c>
      <c r="L170" s="569">
        <v>185000</v>
      </c>
    </row>
    <row r="171" spans="1:14" ht="15.75" customHeight="1" x14ac:dyDescent="0.2">
      <c r="A171" s="622" t="s">
        <v>790</v>
      </c>
      <c r="B171" s="673" t="s">
        <v>86</v>
      </c>
      <c r="C171" s="617"/>
      <c r="D171" s="617"/>
      <c r="E171" s="466"/>
      <c r="F171" s="617"/>
      <c r="G171" s="617"/>
      <c r="H171" s="569">
        <v>371</v>
      </c>
      <c r="I171" s="477"/>
      <c r="J171" s="617"/>
      <c r="K171" s="1693">
        <f>SUM(C171:J171)</f>
        <v>371</v>
      </c>
      <c r="L171" s="569">
        <v>371</v>
      </c>
    </row>
    <row r="172" spans="1:14" ht="12.75" customHeight="1" thickBot="1" x14ac:dyDescent="0.25">
      <c r="A172" s="1690" t="s">
        <v>659</v>
      </c>
      <c r="B172" s="1691" t="s">
        <v>513</v>
      </c>
      <c r="C172" s="617"/>
      <c r="D172" s="617"/>
      <c r="E172" s="1699">
        <f>SUM(E168,E169,E170,E171)</f>
        <v>0</v>
      </c>
      <c r="F172" s="617"/>
      <c r="G172" s="617"/>
      <c r="H172" s="1699">
        <f>SUM(H168,H169,H170,H171)</f>
        <v>289181</v>
      </c>
      <c r="I172" s="639"/>
      <c r="J172" s="617"/>
      <c r="K172" s="1699">
        <f>SUM(K168,K169,K170,K171)</f>
        <v>289181</v>
      </c>
      <c r="L172" s="1699">
        <f>SUM(L168,L169,L170,L171)</f>
        <v>289181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289181</v>
      </c>
      <c r="I174" s="639"/>
      <c r="J174" s="617"/>
      <c r="K174" s="1699">
        <f>SUM(K160,K172,K173)</f>
        <v>289181</v>
      </c>
      <c r="L174" s="1699">
        <f>SUM(L160,L172,L173)</f>
        <v>289181</v>
      </c>
    </row>
    <row r="175" spans="1:14" ht="13.5" thickTop="1" x14ac:dyDescent="0.2">
      <c r="A175" s="2203" t="s">
        <v>1053</v>
      </c>
      <c r="B175" s="2204"/>
      <c r="C175" s="617"/>
      <c r="D175" s="617"/>
      <c r="E175" s="617"/>
      <c r="F175" s="617"/>
      <c r="G175" s="617"/>
      <c r="H175" s="619"/>
      <c r="I175" s="617"/>
      <c r="J175" s="617"/>
      <c r="K175" s="1706">
        <f>'Revenues 9-14'!E275-'Expenditures 15-22'!K174</f>
        <v>2215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123136</v>
      </c>
      <c r="D182" s="466">
        <v>249</v>
      </c>
      <c r="E182" s="466">
        <v>76405</v>
      </c>
      <c r="F182" s="466">
        <v>31048</v>
      </c>
      <c r="G182" s="466">
        <v>53244</v>
      </c>
      <c r="H182" s="466">
        <v>1708</v>
      </c>
      <c r="I182" s="467"/>
      <c r="J182" s="467"/>
      <c r="K182" s="1693">
        <f>SUM(C182:J182)</f>
        <v>285790</v>
      </c>
      <c r="L182" s="466">
        <v>237290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123136</v>
      </c>
      <c r="D184" s="1699">
        <f t="shared" ref="D184:J184" si="17">SUM(D180,D182,D183)</f>
        <v>249</v>
      </c>
      <c r="E184" s="1699">
        <f t="shared" si="17"/>
        <v>76405</v>
      </c>
      <c r="F184" s="1699">
        <f t="shared" si="17"/>
        <v>31048</v>
      </c>
      <c r="G184" s="1699">
        <f t="shared" si="17"/>
        <v>53244</v>
      </c>
      <c r="H184" s="1699">
        <f t="shared" si="17"/>
        <v>1708</v>
      </c>
      <c r="I184" s="1699">
        <f t="shared" si="17"/>
        <v>0</v>
      </c>
      <c r="J184" s="1699">
        <f t="shared" si="17"/>
        <v>0</v>
      </c>
      <c r="K184" s="1699">
        <f>SUM(K180,K182,K183)</f>
        <v>285790</v>
      </c>
      <c r="L184" s="1699">
        <f>SUM(L180, L182:L183)</f>
        <v>237290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v>11500</v>
      </c>
      <c r="I206" s="617"/>
      <c r="J206" s="617"/>
      <c r="K206" s="1693">
        <f>SUM(H206)</f>
        <v>11500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11500</v>
      </c>
      <c r="I208" s="617"/>
      <c r="J208" s="617"/>
      <c r="K208" s="1699">
        <f>SUM(K204,K205,K206,K207)</f>
        <v>11500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123136</v>
      </c>
      <c r="D210" s="1692">
        <f>SUM(D184,D185)</f>
        <v>249</v>
      </c>
      <c r="E210" s="1692">
        <f>SUM(E184,E185,E196)</f>
        <v>76405</v>
      </c>
      <c r="F210" s="1692">
        <f>SUM(F184,F185)</f>
        <v>31048</v>
      </c>
      <c r="G210" s="1692">
        <f>SUM(G184,G185)</f>
        <v>53244</v>
      </c>
      <c r="H210" s="1692">
        <f>SUM(H184,H185,H196,H208,H209)</f>
        <v>13208</v>
      </c>
      <c r="I210" s="1692">
        <f>SUM(I184,I185)</f>
        <v>0</v>
      </c>
      <c r="J210" s="1692">
        <f>SUM(J184,J185)</f>
        <v>0</v>
      </c>
      <c r="K210" s="1693">
        <f>SUM(K184,K185,K196,K208,K209)</f>
        <v>297290</v>
      </c>
      <c r="L210" s="1692">
        <f>SUM(L184,L185,L196,L208,L209)</f>
        <v>237290</v>
      </c>
    </row>
    <row r="211" spans="1:14" ht="13.5" thickTop="1" x14ac:dyDescent="0.2">
      <c r="A211" s="2203" t="s">
        <v>1053</v>
      </c>
      <c r="B211" s="2204"/>
      <c r="C211" s="619"/>
      <c r="D211" s="619"/>
      <c r="E211" s="619"/>
      <c r="F211" s="619"/>
      <c r="G211" s="619"/>
      <c r="H211" s="619"/>
      <c r="I211" s="617"/>
      <c r="J211" s="617"/>
      <c r="K211" s="1706">
        <f>'Revenues 9-14'!F275-'Expenditures 15-22'!K210</f>
        <v>15652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14940</v>
      </c>
      <c r="E215" s="617"/>
      <c r="F215" s="617"/>
      <c r="G215" s="617"/>
      <c r="H215" s="617"/>
      <c r="I215" s="617"/>
      <c r="J215" s="617"/>
      <c r="K215" s="1693">
        <f>D215</f>
        <v>14940</v>
      </c>
      <c r="L215" s="466">
        <v>16000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23706</v>
      </c>
      <c r="E217" s="617"/>
      <c r="F217" s="617"/>
      <c r="G217" s="617"/>
      <c r="H217" s="617"/>
      <c r="I217" s="617"/>
      <c r="J217" s="617"/>
      <c r="K217" s="1693">
        <f t="shared" si="19"/>
        <v>23706</v>
      </c>
      <c r="L217" s="466">
        <v>24100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15227</v>
      </c>
      <c r="E219" s="617"/>
      <c r="F219" s="617"/>
      <c r="G219" s="617"/>
      <c r="H219" s="617"/>
      <c r="I219" s="617"/>
      <c r="J219" s="617"/>
      <c r="K219" s="1693">
        <f t="shared" si="19"/>
        <v>15227</v>
      </c>
      <c r="L219" s="466">
        <v>9200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2412</v>
      </c>
      <c r="E222" s="617"/>
      <c r="F222" s="617"/>
      <c r="G222" s="617"/>
      <c r="H222" s="617"/>
      <c r="I222" s="617"/>
      <c r="J222" s="617"/>
      <c r="K222" s="1693">
        <f t="shared" si="19"/>
        <v>2412</v>
      </c>
      <c r="L222" s="466">
        <v>2420</v>
      </c>
    </row>
    <row r="223" spans="1:14" x14ac:dyDescent="0.2">
      <c r="A223" s="1526" t="s">
        <v>1020</v>
      </c>
      <c r="B223" s="615">
        <v>1500</v>
      </c>
      <c r="C223" s="617"/>
      <c r="D223" s="466">
        <v>1480</v>
      </c>
      <c r="E223" s="617"/>
      <c r="F223" s="617"/>
      <c r="G223" s="617"/>
      <c r="H223" s="617"/>
      <c r="I223" s="617"/>
      <c r="J223" s="617"/>
      <c r="K223" s="1693">
        <f t="shared" si="19"/>
        <v>1480</v>
      </c>
      <c r="L223" s="466">
        <v>1355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229</v>
      </c>
      <c r="E226" s="617"/>
      <c r="F226" s="617"/>
      <c r="G226" s="617"/>
      <c r="H226" s="617"/>
      <c r="I226" s="617"/>
      <c r="J226" s="617"/>
      <c r="K226" s="1693">
        <f t="shared" si="19"/>
        <v>229</v>
      </c>
      <c r="L226" s="466">
        <v>250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v>161</v>
      </c>
      <c r="E228" s="617"/>
      <c r="F228" s="617"/>
      <c r="G228" s="617"/>
      <c r="H228" s="617"/>
      <c r="I228" s="617"/>
      <c r="J228" s="617"/>
      <c r="K228" s="1693">
        <f t="shared" si="19"/>
        <v>161</v>
      </c>
      <c r="L228" s="466"/>
    </row>
    <row r="229" spans="1:12" ht="12.75" customHeight="1" thickBot="1" x14ac:dyDescent="0.25">
      <c r="A229" s="1690" t="s">
        <v>739</v>
      </c>
      <c r="B229" s="1697" t="s">
        <v>591</v>
      </c>
      <c r="C229" s="617"/>
      <c r="D229" s="1692">
        <f>SUM(D215:D228)</f>
        <v>58155</v>
      </c>
      <c r="E229" s="617"/>
      <c r="F229" s="617"/>
      <c r="G229" s="617"/>
      <c r="H229" s="617"/>
      <c r="I229" s="617"/>
      <c r="J229" s="617"/>
      <c r="K229" s="1692">
        <f>SUM(K215:K228)</f>
        <v>58155</v>
      </c>
      <c r="L229" s="1692">
        <f>SUM(L215:L228)</f>
        <v>53325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660</v>
      </c>
      <c r="E233" s="617"/>
      <c r="F233" s="617"/>
      <c r="G233" s="617"/>
      <c r="H233" s="617"/>
      <c r="I233" s="617"/>
      <c r="J233" s="617"/>
      <c r="K233" s="1693">
        <f t="shared" si="20"/>
        <v>660</v>
      </c>
      <c r="L233" s="466">
        <v>670</v>
      </c>
    </row>
    <row r="234" spans="1:12" x14ac:dyDescent="0.2">
      <c r="A234" s="1526" t="s">
        <v>207</v>
      </c>
      <c r="B234" s="615">
        <v>2130</v>
      </c>
      <c r="C234" s="617"/>
      <c r="D234" s="466">
        <v>3959</v>
      </c>
      <c r="E234" s="617"/>
      <c r="F234" s="617"/>
      <c r="G234" s="617"/>
      <c r="H234" s="617"/>
      <c r="I234" s="617"/>
      <c r="J234" s="617"/>
      <c r="K234" s="1693">
        <f t="shared" si="20"/>
        <v>3959</v>
      </c>
      <c r="L234" s="466">
        <v>4000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4619</v>
      </c>
      <c r="E238" s="617"/>
      <c r="F238" s="617"/>
      <c r="G238" s="617"/>
      <c r="H238" s="617"/>
      <c r="I238" s="617"/>
      <c r="J238" s="617"/>
      <c r="K238" s="1692">
        <f>SUM(K232:K237)</f>
        <v>4619</v>
      </c>
      <c r="L238" s="1692">
        <f>SUM(L232:L237)</f>
        <v>4670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410</v>
      </c>
      <c r="E240" s="617"/>
      <c r="F240" s="617"/>
      <c r="G240" s="617"/>
      <c r="H240" s="617"/>
      <c r="I240" s="617"/>
      <c r="J240" s="617"/>
      <c r="K240" s="1694">
        <f>D240</f>
        <v>410</v>
      </c>
      <c r="L240" s="481">
        <v>500</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410</v>
      </c>
      <c r="E243" s="617"/>
      <c r="F243" s="617"/>
      <c r="G243" s="617"/>
      <c r="H243" s="617"/>
      <c r="I243" s="617"/>
      <c r="J243" s="617"/>
      <c r="K243" s="1692">
        <f>SUM(K240:K242)</f>
        <v>410</v>
      </c>
      <c r="L243" s="1692">
        <f>SUM(L240:L242)</f>
        <v>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222</v>
      </c>
      <c r="E245" s="617"/>
      <c r="F245" s="617"/>
      <c r="G245" s="617"/>
      <c r="H245" s="617"/>
      <c r="I245" s="617"/>
      <c r="J245" s="617"/>
      <c r="K245" s="1694">
        <f>D245</f>
        <v>222</v>
      </c>
      <c r="L245" s="481">
        <v>750</v>
      </c>
    </row>
    <row r="246" spans="1:12" x14ac:dyDescent="0.2">
      <c r="A246" s="1526" t="s">
        <v>872</v>
      </c>
      <c r="B246" s="615">
        <v>2320</v>
      </c>
      <c r="C246" s="617"/>
      <c r="D246" s="466">
        <v>1370</v>
      </c>
      <c r="E246" s="617"/>
      <c r="F246" s="617"/>
      <c r="G246" s="617"/>
      <c r="H246" s="617"/>
      <c r="I246" s="617"/>
      <c r="J246" s="617"/>
      <c r="K246" s="1694">
        <f t="shared" ref="K246:K256" si="21">D246</f>
        <v>1370</v>
      </c>
      <c r="L246" s="466">
        <v>1500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1592</v>
      </c>
      <c r="E257" s="617"/>
      <c r="F257" s="617"/>
      <c r="G257" s="617"/>
      <c r="H257" s="617"/>
      <c r="I257" s="617"/>
      <c r="J257" s="617"/>
      <c r="K257" s="1692">
        <f>SUM(K245:K256)</f>
        <v>1592</v>
      </c>
      <c r="L257" s="1692">
        <f>SUM(L245:L256)</f>
        <v>2250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10653</v>
      </c>
      <c r="E259" s="617"/>
      <c r="F259" s="617"/>
      <c r="G259" s="617"/>
      <c r="H259" s="617"/>
      <c r="I259" s="617"/>
      <c r="J259" s="617"/>
      <c r="K259" s="1694">
        <f>D259</f>
        <v>10653</v>
      </c>
      <c r="L259" s="481">
        <v>12500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10653</v>
      </c>
      <c r="E261" s="617"/>
      <c r="F261" s="617"/>
      <c r="G261" s="617"/>
      <c r="H261" s="617"/>
      <c r="I261" s="617"/>
      <c r="J261" s="617"/>
      <c r="K261" s="1692">
        <f>SUM(K259:K260)</f>
        <v>10653</v>
      </c>
      <c r="L261" s="1692">
        <f>SUM(L259:L260)</f>
        <v>12500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5818</v>
      </c>
      <c r="E264" s="617"/>
      <c r="F264" s="617"/>
      <c r="G264" s="617"/>
      <c r="H264" s="617"/>
      <c r="I264" s="617"/>
      <c r="J264" s="617"/>
      <c r="K264" s="1694">
        <f t="shared" ref="K264:K269" si="22">D264</f>
        <v>5818</v>
      </c>
      <c r="L264" s="466">
        <v>7000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14812</v>
      </c>
      <c r="E266" s="617"/>
      <c r="F266" s="617"/>
      <c r="G266" s="617"/>
      <c r="H266" s="617"/>
      <c r="I266" s="617"/>
      <c r="J266" s="617"/>
      <c r="K266" s="1694">
        <f t="shared" si="22"/>
        <v>14812</v>
      </c>
      <c r="L266" s="466">
        <v>17000</v>
      </c>
    </row>
    <row r="267" spans="1:14" x14ac:dyDescent="0.2">
      <c r="A267" s="1526" t="s">
        <v>1010</v>
      </c>
      <c r="B267" s="615">
        <v>2550</v>
      </c>
      <c r="C267" s="617"/>
      <c r="D267" s="466">
        <v>17770</v>
      </c>
      <c r="E267" s="617"/>
      <c r="F267" s="617"/>
      <c r="G267" s="617"/>
      <c r="H267" s="617"/>
      <c r="I267" s="617"/>
      <c r="J267" s="617"/>
      <c r="K267" s="1694">
        <f t="shared" si="22"/>
        <v>17770</v>
      </c>
      <c r="L267" s="466">
        <v>19000</v>
      </c>
    </row>
    <row r="268" spans="1:14" x14ac:dyDescent="0.2">
      <c r="A268" s="1526" t="s">
        <v>102</v>
      </c>
      <c r="B268" s="615">
        <v>2560</v>
      </c>
      <c r="C268" s="617"/>
      <c r="D268" s="466">
        <v>9399</v>
      </c>
      <c r="E268" s="617"/>
      <c r="F268" s="617"/>
      <c r="G268" s="617"/>
      <c r="H268" s="617"/>
      <c r="I268" s="617"/>
      <c r="J268" s="617"/>
      <c r="K268" s="1694">
        <f t="shared" si="22"/>
        <v>9399</v>
      </c>
      <c r="L268" s="466">
        <v>11000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47799</v>
      </c>
      <c r="E270" s="617"/>
      <c r="F270" s="617"/>
      <c r="G270" s="617"/>
      <c r="H270" s="617"/>
      <c r="I270" s="617"/>
      <c r="J270" s="617"/>
      <c r="K270" s="1692">
        <f>SUM(K263:K269)</f>
        <v>47799</v>
      </c>
      <c r="L270" s="1692">
        <f>SUM(L263:L269)</f>
        <v>54000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65073</v>
      </c>
      <c r="E279" s="617"/>
      <c r="F279" s="617"/>
      <c r="G279" s="617"/>
      <c r="H279" s="617"/>
      <c r="I279" s="617"/>
      <c r="J279" s="617"/>
      <c r="K279" s="1699">
        <f>SUM(K238,K243,K257,K261,K270,K277,K278)</f>
        <v>65073</v>
      </c>
      <c r="L279" s="1699">
        <f>SUM(L238,L243,L257,L261,L270,L277,L278)</f>
        <v>73920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123228</v>
      </c>
      <c r="E295" s="617"/>
      <c r="F295" s="617"/>
      <c r="G295" s="617"/>
      <c r="H295" s="1692">
        <f>H293</f>
        <v>0</v>
      </c>
      <c r="I295" s="617"/>
      <c r="J295" s="617"/>
      <c r="K295" s="1692">
        <f>SUM(K229,K279,K280,K285,K293,K294)</f>
        <v>123228</v>
      </c>
      <c r="L295" s="1692">
        <f>SUM(L229,L279,L280,L285,L293,L294)</f>
        <v>127245</v>
      </c>
    </row>
    <row r="296" spans="1:14" ht="13.5" thickTop="1" x14ac:dyDescent="0.2">
      <c r="A296" s="2203" t="s">
        <v>1053</v>
      </c>
      <c r="B296" s="2204"/>
      <c r="C296" s="617"/>
      <c r="D296" s="619"/>
      <c r="E296" s="617"/>
      <c r="F296" s="617"/>
      <c r="G296" s="617"/>
      <c r="H296" s="688"/>
      <c r="I296" s="617"/>
      <c r="J296" s="617"/>
      <c r="K296" s="1706">
        <f>'Revenues 9-14'!G275-'Expenditures 15-22'!K295</f>
        <v>-11355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1113</v>
      </c>
      <c r="F301" s="466"/>
      <c r="G301" s="466">
        <v>1198318</v>
      </c>
      <c r="H301" s="466"/>
      <c r="I301" s="467"/>
      <c r="J301" s="467"/>
      <c r="K301" s="1693">
        <f>SUM(C301:J301)</f>
        <v>1199431</v>
      </c>
      <c r="L301" s="467">
        <v>1250000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1113</v>
      </c>
      <c r="F303" s="1699">
        <f t="shared" si="23"/>
        <v>0</v>
      </c>
      <c r="G303" s="1699">
        <f t="shared" si="23"/>
        <v>1198318</v>
      </c>
      <c r="H303" s="1699">
        <f t="shared" si="23"/>
        <v>0</v>
      </c>
      <c r="I303" s="1699">
        <f t="shared" si="23"/>
        <v>0</v>
      </c>
      <c r="J303" s="1699">
        <f t="shared" si="23"/>
        <v>0</v>
      </c>
      <c r="K303" s="1699">
        <f t="shared" si="23"/>
        <v>1199431</v>
      </c>
      <c r="L303" s="1699">
        <f t="shared" si="23"/>
        <v>1250000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1113</v>
      </c>
      <c r="F312" s="1692">
        <f>SUM(F303)</f>
        <v>0</v>
      </c>
      <c r="G312" s="1692">
        <f>SUM(G303)</f>
        <v>1198318</v>
      </c>
      <c r="H312" s="1692">
        <f>SUM(H303,H310)</f>
        <v>0</v>
      </c>
      <c r="I312" s="1692">
        <f>SUM(I303)</f>
        <v>0</v>
      </c>
      <c r="J312" s="1692">
        <f>SUM(J303)</f>
        <v>0</v>
      </c>
      <c r="K312" s="1692">
        <f>SUM(K303,K310,K311)</f>
        <v>1199431</v>
      </c>
      <c r="L312" s="1692">
        <f>SUM(L303,L310,L311)</f>
        <v>1250000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-1186721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8977</v>
      </c>
      <c r="F321" s="467"/>
      <c r="G321" s="467"/>
      <c r="H321" s="467"/>
      <c r="I321" s="467"/>
      <c r="J321" s="467"/>
      <c r="K321" s="1693">
        <f t="shared" si="24"/>
        <v>8977</v>
      </c>
      <c r="L321" s="467">
        <v>9000</v>
      </c>
      <c r="M321" s="666"/>
      <c r="N321" s="666"/>
    </row>
    <row r="322" spans="1:14" s="675" customFormat="1" x14ac:dyDescent="0.2">
      <c r="A322" s="1541" t="s">
        <v>256</v>
      </c>
      <c r="B322" s="698" t="s">
        <v>302</v>
      </c>
      <c r="C322" s="467"/>
      <c r="D322" s="467"/>
      <c r="E322" s="467">
        <v>66801</v>
      </c>
      <c r="F322" s="467"/>
      <c r="G322" s="467"/>
      <c r="H322" s="467"/>
      <c r="I322" s="467"/>
      <c r="J322" s="467"/>
      <c r="K322" s="1693">
        <f t="shared" si="24"/>
        <v>66801</v>
      </c>
      <c r="L322" s="467">
        <v>75700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75778</v>
      </c>
      <c r="F330" s="1692">
        <f t="shared" si="25"/>
        <v>0</v>
      </c>
      <c r="G330" s="1692">
        <f t="shared" si="25"/>
        <v>0</v>
      </c>
      <c r="H330" s="1692">
        <f t="shared" si="25"/>
        <v>0</v>
      </c>
      <c r="I330" s="1692">
        <f t="shared" si="25"/>
        <v>0</v>
      </c>
      <c r="J330" s="1692">
        <f t="shared" si="25"/>
        <v>0</v>
      </c>
      <c r="K330" s="1692">
        <f>SUM(K319:K329)</f>
        <v>75778</v>
      </c>
      <c r="L330" s="1692">
        <f>SUM(L319:L329)</f>
        <v>84700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75778</v>
      </c>
      <c r="F342" s="1692">
        <f>SUM(F330)</f>
        <v>0</v>
      </c>
      <c r="G342" s="1692">
        <f>SUM(G330)</f>
        <v>0</v>
      </c>
      <c r="H342" s="1692">
        <f>SUM(H330,H334,H340)</f>
        <v>0</v>
      </c>
      <c r="I342" s="1692">
        <f>SUM(I330)</f>
        <v>0</v>
      </c>
      <c r="J342" s="1692">
        <f>SUM(J330)</f>
        <v>0</v>
      </c>
      <c r="K342" s="1692">
        <f>SUM(K330,K334,K340)</f>
        <v>75778</v>
      </c>
      <c r="L342" s="1699">
        <f>SUM(L330,L340,L341)</f>
        <v>84700</v>
      </c>
    </row>
    <row r="343" spans="1:14" ht="12.75" customHeight="1" thickTop="1" x14ac:dyDescent="0.2">
      <c r="A343" s="2189" t="s">
        <v>1053</v>
      </c>
      <c r="B343" s="2190"/>
      <c r="C343" s="617"/>
      <c r="D343" s="617"/>
      <c r="E343" s="617"/>
      <c r="F343" s="617"/>
      <c r="G343" s="617"/>
      <c r="H343" s="617"/>
      <c r="I343" s="617"/>
      <c r="J343" s="617"/>
      <c r="K343" s="1706">
        <f>'Revenues 9-14'!J275-'Expenditures 15-22'!K342</f>
        <v>-17975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3" t="s">
        <v>1053</v>
      </c>
      <c r="B368" s="2204"/>
      <c r="C368" s="655"/>
      <c r="D368" s="655"/>
      <c r="E368" s="627"/>
      <c r="F368" s="627"/>
      <c r="G368" s="627"/>
      <c r="H368" s="627"/>
      <c r="I368" s="627"/>
      <c r="J368" s="624"/>
      <c r="K368" s="1693">
        <f>'Revenues 9-14'!K275-'Expenditures 15-22'!K367</f>
        <v>81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2018-12-04T02:27:17Z</cp:lastPrinted>
  <dcterms:created xsi:type="dcterms:W3CDTF">2003-10-29T19:06:34Z</dcterms:created>
  <dcterms:modified xsi:type="dcterms:W3CDTF">2018-12-17T18:50:10Z</dcterms:modified>
</cp:coreProperties>
</file>