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s="1"/>
  <c r="B5116" i="106"/>
  <c r="D5116" i="106"/>
  <c r="B5117" i="106"/>
  <c r="D5117" i="106" s="1"/>
  <c r="B5118" i="106"/>
  <c r="D5118" i="106"/>
  <c r="B5119" i="106"/>
  <c r="D5119" i="106" s="1"/>
  <c r="B5122" i="106"/>
  <c r="D5122" i="106"/>
  <c r="B5123" i="106"/>
  <c r="D5123" i="106" s="1"/>
  <c r="B5124" i="106"/>
  <c r="D5124" i="106"/>
  <c r="B5126" i="106"/>
  <c r="D5126" i="106" s="1"/>
  <c r="B5127" i="106"/>
  <c r="D5127" i="106" s="1"/>
  <c r="D5128" i="106"/>
  <c r="D5129" i="106"/>
  <c r="D5130" i="106"/>
  <c r="D5131" i="106"/>
  <c r="B5133" i="106"/>
  <c r="D5133" i="106"/>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s="1"/>
  <c r="B6332" i="106"/>
  <c r="D6332" i="106" s="1"/>
  <c r="B6333" i="106"/>
  <c r="D6333" i="106"/>
  <c r="B6334" i="106"/>
  <c r="D6334" i="106" s="1"/>
  <c r="B6335" i="106"/>
  <c r="D6335" i="106"/>
  <c r="B6336" i="106"/>
  <c r="D6336" i="106" s="1"/>
  <c r="B6337" i="106"/>
  <c r="D6337" i="106"/>
  <c r="B6338" i="106"/>
  <c r="D6338" i="106" s="1"/>
  <c r="B6339" i="106"/>
  <c r="D6339" i="106"/>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s="1"/>
  <c r="B6353" i="106"/>
  <c r="D6353" i="106"/>
  <c r="B6354" i="106"/>
  <c r="D6354" i="106" s="1"/>
  <c r="B6355" i="106"/>
  <c r="D6355" i="106"/>
  <c r="B6356" i="106"/>
  <c r="D6356" i="106" s="1"/>
  <c r="B6358" i="106"/>
  <c r="D6358" i="106"/>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c r="D6400" i="106" s="1"/>
  <c r="K178" i="5"/>
  <c r="B4951" i="106" s="1"/>
  <c r="D4951" i="106" s="1"/>
  <c r="C184" i="5"/>
  <c r="B5232" i="106"/>
  <c r="D5232" i="106" s="1"/>
  <c r="D184" i="5"/>
  <c r="F127" i="34" s="1"/>
  <c r="F184" i="5"/>
  <c r="B5658" i="106"/>
  <c r="D5658" i="106" s="1"/>
  <c r="G184" i="5"/>
  <c r="B5784" i="106" s="1"/>
  <c r="D5784" i="106" s="1"/>
  <c r="H184" i="5"/>
  <c r="B5908" i="106"/>
  <c r="D5908" i="106" s="1"/>
  <c r="K184" i="5"/>
  <c r="B6016" i="106" s="1"/>
  <c r="D6016" i="106" s="1"/>
  <c r="B4395" i="106"/>
  <c r="D4395" i="106" s="1"/>
  <c r="D191" i="5"/>
  <c r="B4396" i="106"/>
  <c r="D4396" i="106" s="1"/>
  <c r="F191" i="5"/>
  <c r="F128" i="34" s="1"/>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1" i="34"/>
  <c r="F130" i="34"/>
  <c r="F111" i="34"/>
  <c r="B5847" i="106"/>
  <c r="D5847" i="106" s="1"/>
  <c r="B5752" i="106"/>
  <c r="D5752" i="106" s="1"/>
  <c r="B5599" i="106"/>
  <c r="D5599" i="106" s="1"/>
  <c r="K274" i="5"/>
  <c r="H109" i="5"/>
  <c r="B6025" i="106" s="1"/>
  <c r="D6025" i="106" s="1"/>
  <c r="F106" i="34"/>
  <c r="D7" i="7"/>
  <c r="B1763" i="106" s="1"/>
  <c r="D1763" i="106" s="1"/>
  <c r="B1746" i="106"/>
  <c r="D1746" i="106" s="1"/>
  <c r="D17" i="7"/>
  <c r="B4104" i="106" s="1"/>
  <c r="D4104" i="106" s="1"/>
  <c r="D12" i="7"/>
  <c r="B1769" i="106" s="1"/>
  <c r="D1769" i="106" s="1"/>
  <c r="D11" i="7"/>
  <c r="B1768" i="106" s="1"/>
  <c r="D1768" i="106" s="1"/>
  <c r="D15" i="7"/>
  <c r="B1772" i="106" s="1"/>
  <c r="D1772" i="106" s="1"/>
  <c r="H173" i="5" l="1"/>
  <c r="B5425" i="106"/>
  <c r="D5425" i="106" s="1"/>
  <c r="B4373" i="106"/>
  <c r="D4373" i="106" s="1"/>
  <c r="K173" i="5"/>
  <c r="K6" i="4" s="1"/>
  <c r="B3570" i="106" s="1"/>
  <c r="D3570" i="106" s="1"/>
  <c r="G172" i="5"/>
  <c r="F172" i="5"/>
  <c r="B5644" i="106" s="1"/>
  <c r="D5644" i="106" s="1"/>
  <c r="B3621" i="106"/>
  <c r="D3621" i="106" s="1"/>
  <c r="C367" i="29"/>
  <c r="F136" i="34"/>
  <c r="C172" i="5"/>
  <c r="B5214" i="106" s="1"/>
  <c r="D5214" i="106" s="1"/>
  <c r="B7041" i="106"/>
  <c r="D7041" i="106" s="1"/>
  <c r="L367" i="29"/>
  <c r="B7235" i="106"/>
  <c r="D7235" i="106" s="1"/>
  <c r="K352" i="29"/>
  <c r="K13" i="4" s="1"/>
  <c r="B3572" i="106" s="1"/>
  <c r="D3572" i="106" s="1"/>
  <c r="H365" i="29"/>
  <c r="K76" i="4"/>
  <c r="B3586" i="106" s="1"/>
  <c r="D3586" i="106" s="1"/>
  <c r="K24" i="12"/>
  <c r="B3649" i="106"/>
  <c r="D3649" i="106" s="1"/>
  <c r="G367" i="29"/>
  <c r="B3619" i="106"/>
  <c r="D3619" i="106" s="1"/>
  <c r="H76" i="4"/>
  <c r="B3298" i="106" s="1"/>
  <c r="D3298" i="106" s="1"/>
  <c r="K41" i="3"/>
  <c r="L13" i="11"/>
  <c r="B2060" i="106" s="1"/>
  <c r="D2060" i="106" s="1"/>
  <c r="N22" i="3"/>
  <c r="B283" i="106" s="1"/>
  <c r="D283" i="106" s="1"/>
  <c r="F19" i="7"/>
  <c r="B1807" i="106" s="1"/>
  <c r="D1807" i="106" s="1"/>
  <c r="C173" i="5"/>
  <c r="B5223" i="106" s="1"/>
  <c r="D5223" i="106" s="1"/>
  <c r="D109" i="5"/>
  <c r="B5356" i="106" s="1"/>
  <c r="D5356" i="106" s="1"/>
  <c r="C342" i="29"/>
  <c r="B7216" i="106" s="1"/>
  <c r="D7216" i="106" s="1"/>
  <c r="L342" i="29"/>
  <c r="B1410" i="106"/>
  <c r="D1410" i="106" s="1"/>
  <c r="K184" i="29"/>
  <c r="F13" i="4" s="1"/>
  <c r="B2596" i="106" s="1"/>
  <c r="D2596" i="106" s="1"/>
  <c r="B1329" i="106"/>
  <c r="D1329" i="106" s="1"/>
  <c r="F61" i="34"/>
  <c r="E28" i="108"/>
  <c r="F28" i="108"/>
  <c r="H4" i="4"/>
  <c r="B2655" i="106" s="1"/>
  <c r="D2655" i="106" s="1"/>
  <c r="C109" i="5"/>
  <c r="B5121" i="106" s="1"/>
  <c r="D5121" i="106" s="1"/>
  <c r="G109" i="5"/>
  <c r="B6024" i="106" s="1"/>
  <c r="D6024" i="106" s="1"/>
  <c r="H33" i="118"/>
  <c r="H29" i="118"/>
  <c r="K28" i="118" s="1"/>
  <c r="O27" i="118" s="1"/>
  <c r="O29" i="118" s="1"/>
  <c r="B4268" i="106"/>
  <c r="D4268" i="106" s="1"/>
  <c r="D31"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D7253" i="106" l="1"/>
  <c r="H367" i="29"/>
  <c r="B3660" i="106" s="1"/>
  <c r="D3660" i="106" s="1"/>
  <c r="B7242" i="106"/>
  <c r="D7242" i="106" s="1"/>
  <c r="D7254" i="106"/>
  <c r="D7250" i="106"/>
  <c r="B3568" i="106"/>
  <c r="D3568" i="106" s="1"/>
  <c r="D52" i="36"/>
  <c r="D7255" i="106"/>
  <c r="D7252" i="106"/>
  <c r="F274" i="5"/>
  <c r="F275" i="5" s="1"/>
  <c r="B7733" i="106"/>
  <c r="D7733" i="106" s="1"/>
  <c r="K26" i="12"/>
  <c r="B7743" i="106" s="1"/>
  <c r="D7743" i="106" s="1"/>
  <c r="G173" i="5"/>
  <c r="B5770" i="106"/>
  <c r="D5770" i="106" s="1"/>
  <c r="B5906" i="106"/>
  <c r="D5906" i="106" s="1"/>
  <c r="H6" i="4"/>
  <c r="L16" i="11"/>
  <c r="B2061" i="106" s="1"/>
  <c r="D2061" i="106" s="1"/>
  <c r="C6" i="4"/>
  <c r="B2553" i="106" s="1"/>
  <c r="D2553" i="106" s="1"/>
  <c r="D4" i="4"/>
  <c r="B2564" i="106" s="1"/>
  <c r="D2564" i="106" s="1"/>
  <c r="K342" i="29"/>
  <c r="F13" i="34" s="1"/>
  <c r="L114" i="29"/>
  <c r="C114" i="29"/>
  <c r="B757" i="106" s="1"/>
  <c r="D757" i="106" s="1"/>
  <c r="C4" i="4"/>
  <c r="B2551" i="106" s="1"/>
  <c r="D2551" i="106" s="1"/>
  <c r="G4" i="4"/>
  <c r="B2603" i="106" s="1"/>
  <c r="D2603"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F8" i="4" l="1"/>
  <c r="B2656" i="106"/>
  <c r="D2656" i="106" s="1"/>
  <c r="H8" i="4"/>
  <c r="B5719" i="106"/>
  <c r="D5719" i="106" s="1"/>
  <c r="B5778" i="106"/>
  <c r="D5778" i="106" s="1"/>
  <c r="G6" i="4"/>
  <c r="B2604" i="106" s="1"/>
  <c r="D2604" i="106" s="1"/>
  <c r="B1145" i="106"/>
  <c r="D114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<sst xmlns="http://schemas.openxmlformats.org/spreadsheetml/2006/main" count="5040" uniqueCount="2112">
  <si>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</si>
  <si>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</si>
  <si>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</si>
  <si>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</si>
  <si>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</si>
  <si>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</si>
  <si>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</si>
  <si>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</si>
  <si>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</si>
  <si>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</si>
  <si>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</si>
  <si>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</si>
  <si>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</si>
  <si>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</si>
  <si>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</si>
  <si>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</si>
  <si>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</si>
  <si>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</si>
  <si>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</si>
  <si>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</si>
  <si>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</si>
  <si>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</si>
  <si>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</si>
  <si>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</si>
  <si>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</si>
  <si>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</si>
  <si>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</si>
  <si>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</si>
  <si>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</si>
  <si>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</si>
  <si>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</si>
  <si>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</si>
  <si>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</si>
  <si>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</si>
  <si>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</si>
  <si>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</si>
  <si>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</si>
  <si>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</si>
  <si>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</si>
  <si>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</si>
  <si>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</si>
  <si>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</si>
  <si>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</si>
  <si>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</si>
  <si>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</si>
  <si>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</si>
  <si>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</si>
  <si>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</si>
  <si>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</si>
  <si>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</si>
  <si>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</si>
  <si>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</si>
  <si>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</si>
  <si>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</si>
  <si>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</si>
  <si>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</si>
  <si>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</si>
  <si>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</si>
  <si>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</si>
  <si>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</si>
  <si>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</si>
  <si>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</si>
  <si>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</si>
  <si>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</si>
  <si>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</si>
  <si>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</si>
  <si>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</si>
  <si>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</si>
  <si>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</si>
  <si>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</si>
  <si>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</si>
  <si>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</si>
  <si>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</si>
  <si>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</si>
  <si>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</si>
  <si>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</si>
  <si>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</si>
  <si>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</si>
  <si>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</si>
  <si>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</si>
  <si>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</si>
  <si>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</si>
  <si>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</si>
  <si>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</si>
  <si>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</si>
  <si>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</si>
  <si>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</si>
  <si>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</si>
  <si>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</si>
  <si>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</si>
  <si>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</si>
  <si>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</si>
  <si>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</si>
  <si>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</si>
  <si>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</si>
  <si>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</si>
  <si>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</si>
  <si>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</si>
  <si>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</si>
  <si>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</si>
  <si>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</si>
  <si>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</si>
  <si>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</si>
  <si>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</si>
  <si>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</si>
  <si>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</si>
  <si>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</si>
  <si>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</si>
  <si>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</si>
  <si>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</si>
  <si>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</si>
  <si>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</si>
  <si>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</si>
  <si>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</si>
  <si>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</si>
  <si>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</si>
  <si>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</si>
  <si>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</si>
  <si>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</si>
  <si>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</si>
  <si>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</si>
  <si>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</si>
  <si>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</si>
  <si>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</si>
  <si>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</si>
  <si>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</si>
  <si>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</si>
  <si>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</si>
  <si>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</si>
  <si>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</si>
  <si>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</si>
  <si>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</si>
  <si>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</si>
  <si>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</si>
  <si>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</si>
  <si>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</si>
  <si>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</si>
  <si>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</si>
  <si>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</si>
  <si>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</si>
  <si>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</si>
  <si>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</si>
  <si>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</si>
  <si>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</si>
  <si>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</si>
  <si>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</si>
  <si>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</si>
  <si>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</si>
  <si>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</si>
  <si>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</si>
  <si>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</si>
  <si>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</si>
  <si>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</si>
  <si>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</si>
  <si>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</si>
  <si>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</si>
  <si>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</si>
  <si>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</si>
  <si>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</si>
  <si>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</si>
  <si>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</si>
  <si>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</si>
  <si>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</si>
  <si>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</si>
  <si>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</si>
  <si>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</si>
  <si>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</si>
  <si>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</si>
  <si>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</si>
  <si>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</si>
  <si>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</si>
  <si>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</si>
  <si>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</si>
  <si>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</si>
  <si>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</si>
  <si>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</si>
  <si>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</si>
  <si>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</si>
  <si>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</si>
  <si>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</si>
  <si>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</si>
  <si>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</si>
  <si>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</si>
  <si>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</si>
  <si>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</si>
  <si>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</si>
  <si>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</si>
  <si>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</si>
  <si>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</si>
  <si>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</si>
  <si>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</si>
  <si>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</si>
  <si>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</si>
  <si>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</si>
  <si>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</si>
  <si>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</si>
  <si>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</si>
  <si>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</si>
  <si>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</si>
  <si>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</si>
  <si>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</si>
  <si>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</si>
  <si>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</si>
  <si>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</si>
  <si>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</si>
  <si>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</si>
  <si>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</si>
  <si>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</si>
  <si>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</si>
  <si>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</si>
  <si>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</si>
  <si>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</si>
  <si>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</si>
  <si>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</si>
  <si>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</si>
  <si>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</si>
  <si>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</si>
  <si>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</si>
  <si>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</si>
  <si>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</si>
  <si>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</si>
  <si>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</si>
  <si>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</si>
  <si>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</si>
  <si>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</si>
  <si>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</si>
  <si>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</si>
  <si>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</si>
  <si>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</si>
  <si>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</si>
  <si>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</si>
  <si>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</si>
  <si>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</si>
  <si>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</si>
  <si>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</si>
  <si>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</si>
  <si>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</si>
  <si>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</si>
  <si>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</si>
  <si>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</si>
  <si>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</si>
  <si>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</si>
  <si>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</si>
  <si>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</si>
  <si>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</si>
  <si>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</si>
  <si>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</si>
  <si>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</si>
  <si>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</si>
  <si>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</si>
  <si>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</si>
  <si>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</si>
  <si>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</si>
  <si>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</si>
  <si>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</si>
  <si>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</si>
  <si>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</si>
  <si>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</si>
  <si>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</si>
  <si>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</si>
  <si>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</si>
  <si>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</si>
  <si>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</si>
  <si>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</si>
  <si>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</si>
  <si>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</si>
  <si>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</si>
  <si>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</si>
  <si>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</si>
  <si>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</si>
  <si>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</si>
  <si>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</si>
  <si>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</si>
  <si>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</si>
  <si>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</si>
  <si>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</si>
  <si>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</si>
  <si>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</si>
  <si>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</si>
  <si>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</si>
  <si>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</si>
  <si>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</si>
  <si>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</si>
  <si>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</si>
  <si>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</si>
  <si>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</si>
  <si>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</si>
  <si>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</si>
  <si>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</si>
  <si>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</si>
  <si>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</si>
  <si>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</si>
  <si>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</si>
  <si>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</si>
  <si>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</si>
  <si>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</si>
  <si>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</si>
  <si>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</si>
  <si>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</si>
  <si>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</si>
  <si>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</si>
  <si>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</si>
  <si>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</si>
  <si>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</si>
  <si>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</si>
  <si>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</si>
  <si>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</si>
  <si>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</si>
  <si>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</si>
  <si>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</si>
  <si>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</si>
  <si>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</si>
  <si>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</si>
  <si>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</si>
  <si>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</si>
  <si>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</si>
  <si>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</si>
  <si>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</si>
  <si>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</si>
  <si>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</si>
  <si>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</si>
  <si>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</si>
  <si>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</si>
  <si>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</si>
  <si>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</si>
  <si>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</si>
  <si>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</si>
  <si>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</si>
  <si>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</si>
  <si>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</si>
  <si>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</si>
  <si>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</si>
  <si>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</si>
  <si>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</si>
  <si>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</si>
  <si>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</si>
  <si>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</si>
  <si>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</si>
  <si>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</si>
  <si>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</si>
  <si>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</si>
  <si>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</si>
  <si>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</si>
  <si>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</si>
  <si>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</si>
  <si>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</si>
  <si>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</si>
  <si>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</si>
  <si>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</si>
  <si>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</si>
  <si>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</si>
  <si>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</si>
  <si>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</si>
  <si>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</si>
  <si>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</si>
  <si>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</si>
  <si>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</si>
  <si>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</si>
  <si>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</si>
  <si>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</si>
  <si>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</si>
  <si>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</si>
  <si>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</si>
  <si>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</si>
  <si>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</si>
  <si>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</si>
  <si>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</si>
  <si>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</si>
  <si>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</si>
  <si>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</si>
  <si>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</si>
  <si>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</si>
  <si>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</si>
  <si>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</si>
  <si>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</si>
  <si>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</si>
  <si>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</si>
  <si>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</si>
  <si>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</si>
  <si>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</si>
  <si>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</si>
  <si>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</si>
  <si>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</si>
  <si>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</si>
  <si>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</si>
  <si>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</si>
  <si>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</si>
  <si>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</si>
  <si>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</si>
  <si>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</si>
  <si>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</si>
  <si>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</si>
  <si>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</si>
  <si>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</si>
  <si>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</si>
  <si>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</si>
  <si>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</si>
  <si>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</si>
  <si>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</si>
  <si>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</si>
  <si>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</si>
  <si>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</si>
  <si>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</si>
  <si>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</si>
  <si>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</si>
  <si>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</si>
  <si>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</si>
  <si>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</si>
  <si>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</si>
  <si>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</si>
  <si>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</si>
  <si>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</si>
  <si>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</si>
  <si>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</si>
  <si>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</si>
  <si>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</si>
  <si>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</si>
  <si>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</si>
  <si>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</si>
  <si>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</si>
  <si>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</si>
  <si>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</si>
  <si>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</si>
  <si>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</si>
  <si>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</si>
  <si>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</si>
  <si>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</si>
  <si>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</si>
  <si>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</si>
  <si>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</si>
  <si>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</si>
  <si>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</si>
  <si>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</si>
  <si>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</si>
  <si>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</si>
  <si>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</si>
  <si>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</si>
  <si>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</si>
  <si>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</si>
  <si>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</si>
  <si>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</si>
  <si>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</si>
  <si>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</si>
  <si>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</si>
  <si>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</si>
  <si>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</si>
  <si>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</si>
  <si>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</si>
  <si>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</si>
  <si>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</si>
  <si>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</si>
  <si>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</si>
  <si>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</si>
  <si>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</si>
  <si>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</si>
  <si>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</si>
  <si>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</si>
  <si>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</si>
  <si>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</si>
  <si>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</si>
  <si>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</si>
  <si>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</si>
  <si>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</si>
  <si>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</si>
  <si>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</si>
  <si>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</si>
  <si>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</si>
  <si>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</si>
  <si>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</si>
  <si>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</si>
  <si>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</si>
  <si>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</si>
  <si>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</si>
  <si>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</si>
  <si>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</si>
  <si>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</si>
  <si>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</si>
  <si>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</si>
  <si>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</si>
  <si>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</si>
  <si>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</si>
  <si>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</si>
  <si>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</si>
  <si>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</si>
  <si>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</si>
  <si>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</si>
  <si>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</si>
  <si>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</si>
  <si>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</si>
  <si>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</si>
  <si>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</si>
  <si>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</si>
  <si>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</si>
  <si>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</si>
  <si>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</si>
  <si>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</si>
  <si>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</si>
  <si>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</si>
  <si>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</si>
  <si>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</si>
  <si>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</si>
  <si>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</si>
  <si>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</si>
  <si>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</si>
  <si>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</si>
  <si>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</si>
  <si>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</si>
  <si>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</si>
  <si>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</si>
  <si>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</si>
  <si>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</si>
  <si>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</si>
  <si>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</si>
  <si>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</si>
  <si>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</si>
  <si>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</si>
  <si>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</si>
  <si>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</si>
  <si>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</si>
  <si>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</si>
  <si>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</si>
  <si>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</si>
  <si>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</si>
  <si>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</si>
  <si>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</si>
  <si>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</si>
  <si>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</si>
  <si>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</si>
  <si>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</si>
  <si>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</si>
  <si>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</si>
  <si>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</si>
  <si>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</si>
  <si>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</si>
  <si>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</si>
  <si>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</si>
  <si>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</si>
  <si>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</si>
  <si>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</si>
  <si>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</si>
  <si>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</si>
  <si>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</si>
  <si>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</si>
  <si>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</si>
  <si>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</si>
  <si>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</si>
  <si>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</si>
  <si>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</si>
  <si>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</si>
  <si>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</si>
  <si>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</si>
  <si>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</si>
  <si>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</si>
  <si>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</si>
  <si>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</si>
  <si>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</si>
  <si>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</si>
  <si>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</si>
  <si>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</si>
  <si>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</si>
  <si>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</si>
  <si>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</si>
  <si>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</si>
  <si>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</si>
  <si>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</si>
  <si>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</si>
  <si>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</si>
  <si>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</si>
  <si>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</si>
  <si>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</si>
  <si>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</si>
  <si>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</si>
  <si>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</si>
  <si>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</si>
  <si>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</si>
  <si>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</si>
  <si>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</si>
  <si>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</si>
  <si>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</si>
  <si>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</si>
  <si>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</si>
  <si>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</si>
  <si>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</si>
  <si>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</si>
  <si>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</si>
  <si>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</si>
  <si>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</si>
  <si>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</si>
  <si>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</si>
  <si>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</si>
  <si>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</si>
  <si>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</si>
  <si>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</si>
  <si>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</si>
  <si>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</si>
  <si>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</si>
  <si>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</si>
  <si>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</si>
  <si>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</si>
  <si>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</si>
  <si>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</si>
  <si>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</si>
  <si>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</si>
  <si>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</si>
  <si>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</si>
  <si>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</si>
  <si>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</si>
  <si>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</si>
  <si>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</si>
  <si>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</si>
  <si>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</si>
  <si>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</si>
  <si>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</si>
  <si>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</si>
  <si>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</si>
  <si>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</si>
  <si>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</si>
  <si>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</si>
  <si>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</si>
  <si>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</si>
  <si>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</si>
  <si>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</si>
  <si>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</si>
  <si>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</si>
  <si>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</si>
  <si>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</si>
  <si>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</si>
  <si>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</si>
  <si>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</si>
  <si>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</si>
  <si>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</si>
  <si>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</si>
  <si>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</si>
  <si>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</si>
  <si>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</si>
  <si>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</si>
  <si>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</si>
  <si>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</si>
  <si>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</si>
  <si>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</si>
  <si>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</si>
  <si>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</si>
  <si>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</si>
  <si>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</si>
  <si>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</si>
  <si>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</si>
  <si>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</si>
  <si>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</si>
  <si>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</si>
  <si>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</si>
  <si>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</si>
  <si>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</si>
  <si>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</si>
  <si>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</si>
  <si>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</si>
  <si>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</si>
  <si>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</si>
  <si>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</si>
  <si>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</si>
  <si>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</si>
  <si>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</si>
  <si>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</si>
  <si>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</si>
  <si>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</si>
  <si>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</si>
  <si>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</si>
  <si>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</si>
  <si>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</si>
  <si>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</si>
  <si>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</si>
  <si>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</si>
  <si>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</si>
  <si>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</si>
  <si>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</si>
  <si>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</si>
  <si>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</si>
  <si>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</si>
  <si>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</si>
  <si>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</si>
  <si>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</si>
  <si>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</si>
  <si>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</si>
  <si>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</si>
  <si>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</si>
  <si>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</si>
  <si>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</si>
  <si>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</si>
  <si>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</si>
  <si>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</si>
  <si>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</si>
  <si>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</si>
  <si>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</si>
  <si>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</si>
  <si>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</si>
  <si>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</si>
  <si>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</si>
  <si>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</si>
  <si>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</si>
  <si>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</si>
  <si>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</si>
  <si>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</si>
  <si>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</si>
  <si>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</si>
  <si>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</si>
  <si>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</si>
  <si>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</si>
  <si>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</si>
  <si>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</si>
  <si>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</si>
  <si>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</si>
  <si>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</si>
  <si>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</si>
  <si>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</si>
  <si>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</si>
  <si>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</si>
  <si>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</si>
  <si>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</si>
  <si>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</si>
  <si>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</si>
  <si>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</si>
  <si>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</si>
  <si>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</si>
  <si>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</si>
  <si>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</si>
  <si>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</si>
  <si>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</si>
  <si>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</si>
  <si>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</si>
  <si>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</si>
  <si>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</si>
  <si>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</si>
  <si>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</si>
  <si>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</si>
  <si>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</si>
  <si>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</si>
  <si>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</si>
  <si>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</si>
  <si>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</si>
  <si>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</si>
  <si>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</si>
  <si>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</si>
  <si>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</si>
  <si>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</si>
  <si>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</si>
  <si>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</si>
  <si>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</si>
  <si>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</si>
  <si>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</si>
  <si>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</si>
  <si>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</si>
  <si>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</si>
  <si>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</si>
  <si>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</si>
  <si>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</si>
  <si>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</si>
  <si>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</si>
  <si>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</si>
  <si>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</si>
  <si>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</si>
  <si>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</si>
  <si>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</si>
  <si>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</si>
  <si>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</si>
  <si>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</si>
  <si>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</si>
  <si>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</si>
  <si>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</si>
  <si>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</si>
  <si>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</si>
  <si>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</si>
  <si>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</si>
  <si>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</si>
  <si>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</si>
  <si>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</si>
  <si>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</si>
  <si>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</si>
  <si>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</si>
  <si>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</si>
  <si>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</si>
  <si>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</si>
  <si>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</si>
  <si>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</si>
  <si>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</si>
  <si>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</si>
  <si>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</si>
  <si>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</si>
  <si>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</si>
  <si>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</si>
  <si>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</si>
  <si>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</si>
  <si>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</si>
  <si>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</si>
  <si>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</si>
  <si>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</si>
  <si>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</si>
  <si>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</si>
  <si>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</si>
  <si>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</si>
  <si>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</si>
  <si>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</si>
  <si>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</si>
  <si>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</si>
  <si>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</si>
  <si>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</si>
  <si>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</si>
  <si>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</si>
  <si>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</si>
  <si>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</si>
  <si>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</si>
  <si>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</si>
  <si>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</si>
  <si>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</si>
  <si>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</si>
  <si>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</si>
  <si>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</si>
  <si>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</si>
  <si>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</si>
  <si>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</si>
  <si>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</si>
  <si>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</si>
  <si>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</si>
  <si>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</si>
  <si>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</si>
  <si>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</si>
  <si>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</si>
  <si>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</si>
  <si>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</si>
  <si>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</si>
  <si>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</si>
  <si>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</si>
  <si>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</si>
  <si>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</si>
  <si>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</si>
  <si>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</si>
  <si>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</si>
  <si>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</si>
  <si>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</si>
  <si>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</si>
  <si>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</si>
  <si>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</si>
  <si>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</si>
  <si>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</si>
  <si>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</si>
  <si>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</si>
  <si>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</si>
  <si>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</si>
  <si>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</si>
  <si>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</si>
  <si>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</si>
  <si>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</si>
  <si>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</si>
  <si>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</si>
  <si>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</si>
  <si>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</si>
  <si>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</si>
  <si>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</si>
  <si>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</si>
  <si>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</si>
  <si>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</si>
  <si>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</si>
  <si>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</si>
  <si>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</si>
  <si>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</si>
  <si>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</si>
  <si>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</si>
  <si>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</si>
  <si>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</si>
  <si>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</si>
  <si>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</si>
  <si>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</si>
  <si>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</si>
  <si>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</si>
  <si>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</si>
  <si>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</si>
  <si>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</si>
  <si>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</si>
  <si>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</si>
  <si>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</si>
  <si>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</si>
  <si>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</si>
  <si>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</si>
  <si>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</si>
  <si>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</si>
  <si>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</si>
  <si>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</si>
  <si>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</si>
  <si>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</si>
  <si>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</si>
  <si>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</si>
  <si>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</si>
  <si>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</si>
  <si>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</si>
  <si>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</si>
  <si>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</si>
  <si>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</si>
  <si>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</si>
  <si>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</si>
  <si>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</si>
  <si>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</si>
  <si>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</si>
  <si>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</si>
  <si>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</si>
  <si>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</si>
  <si>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</si>
  <si>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</si>
  <si>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</si>
  <si>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</si>
  <si>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</si>
  <si>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</si>
  <si>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</si>
  <si>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</si>
  <si>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</si>
  <si>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</si>
  <si>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</si>
  <si>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</si>
  <si>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</si>
  <si>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</si>
  <si>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</si>
  <si>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</si>
  <si>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</si>
  <si>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</si>
  <si>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</si>
  <si>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</si>
  <si>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</si>
  <si>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</si>
  <si>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</si>
  <si>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</si>
  <si>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</si>
  <si>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</si>
  <si>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</si>
  <si>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</si>
  <si>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</si>
  <si>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</si>
  <si>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</si>
  <si>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</si>
  <si>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</si>
  <si>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</si>
  <si>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</si>
  <si>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</si>
  <si>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</si>
  <si>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</si>
  <si>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</si>
  <si>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</si>
  <si>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</si>
  <si>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</si>
  <si>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</si>
  <si>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</si>
  <si>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</si>
  <si>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</si>
  <si>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</si>
  <si>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</si>
  <si>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</si>
  <si>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</si>
  <si>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</si>
  <si>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</si>
  <si>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</si>
  <si>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</si>
  <si>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</si>
  <si>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</si>
  <si>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</si>
  <si>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</si>
  <si>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</si>
  <si>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</si>
  <si>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</si>
  <si>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</si>
  <si>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</si>
  <si>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</si>
  <si>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</si>
  <si>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</si>
  <si>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</si>
  <si>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</si>
  <si>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</si>
  <si>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</si>
  <si>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</si>
  <si>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</si>
  <si>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</si>
  <si>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</si>
  <si>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</si>
  <si>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</si>
  <si>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</si>
  <si>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</si>
  <si>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</si>
  <si>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</si>
  <si>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</si>
  <si>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</si>
  <si>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</si>
  <si>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</si>
  <si>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</si>
  <si>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</si>
  <si>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</si>
  <si>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</si>
  <si>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</si>
  <si>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</si>
  <si>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</si>
  <si>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</si>
  <si>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</si>
  <si>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</si>
  <si>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</si>
  <si>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</si>
  <si>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</si>
  <si>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</si>
  <si>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</si>
  <si>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</si>
  <si>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</si>
  <si>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</si>
  <si>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</si>
  <si>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</si>
  <si>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</si>
  <si>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</si>
  <si>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</si>
  <si>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</si>
  <si>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</si>
  <si>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</si>
  <si>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</si>
  <si>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</si>
  <si>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</si>
  <si>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</si>
  <si>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</si>
  <si>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</si>
  <si>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</si>
  <si>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</si>
  <si>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</si>
  <si>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</si>
  <si>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</si>
  <si>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</si>
  <si>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</si>
  <si>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</si>
  <si>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</si>
  <si>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</si>
  <si>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</si>
  <si>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</si>
  <si>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</si>
  <si>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</si>
  <si>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</si>
  <si>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</si>
  <si>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</si>
  <si>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</si>
  <si>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</si>
  <si>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</si>
  <si>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</si>
  <si>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</si>
  <si>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</si>
  <si>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</si>
  <si>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</si>
  <si>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</si>
  <si>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</si>
  <si>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</si>
  <si>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</si>
  <si>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</si>
  <si>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</si>
  <si>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</si>
  <si>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</si>
  <si>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</si>
  <si>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</si>
  <si>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</si>
  <si>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</si>
  <si>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</si>
  <si>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</si>
  <si>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</si>
  <si>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</si>
  <si>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</si>
  <si>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</si>
  <si>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</si>
  <si>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</si>
  <si>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</si>
  <si>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</si>
  <si>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</si>
  <si>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</si>
  <si>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</si>
  <si>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</si>
  <si>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</si>
  <si>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</si>
  <si>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</si>
  <si>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</si>
  <si>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</si>
  <si>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</si>
  <si>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</si>
  <si>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</si>
  <si>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</si>
  <si>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</si>
  <si>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</si>
  <si>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</si>
  <si>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</si>
  <si>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</si>
  <si>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</si>
  <si>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</si>
  <si>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</si>
  <si>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</si>
  <si>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</si>
  <si>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</si>
  <si>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</si>
  <si>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</si>
  <si>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</si>
  <si>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</si>
  <si>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</si>
  <si>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</si>
  <si>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</si>
  <si>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</si>
  <si>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</si>
  <si>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</si>
  <si>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</si>
  <si>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</si>
  <si>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</si>
  <si>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</si>
  <si>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</si>
  <si>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</si>
  <si>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</si>
  <si>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</si>
  <si>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</si>
  <si>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</si>
  <si>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</si>
  <si>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</si>
  <si>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</si>
  <si>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</si>
  <si>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</si>
  <si>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</si>
  <si>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</si>
  <si>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</si>
  <si>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</si>
  <si>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</si>
  <si>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</si>
  <si>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</si>
  <si>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</si>
  <si>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</si>
  <si>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</si>
  <si>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</si>
  <si>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</si>
  <si>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</si>
  <si>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</si>
  <si>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</si>
  <si>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</si>
  <si>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</si>
  <si>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</si>
  <si>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</si>
  <si>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</si>
  <si>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</si>
  <si>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</si>
  <si>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</si>
  <si>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</si>
  <si>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</si>
  <si>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</si>
  <si>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</si>
  <si>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</si>
  <si>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</si>
  <si>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</si>
  <si>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</si>
  <si>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</si>
  <si>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</si>
  <si>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</si>
  <si>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</si>
  <si>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</si>
  <si>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</si>
  <si>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</si>
  <si>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</si>
  <si>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</si>
  <si>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</si>
  <si>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</si>
  <si>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</si>
  <si>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</si>
  <si>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</si>
  <si>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</si>
  <si>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</si>
  <si>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</si>
  <si>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</si>
  <si>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</si>
  <si>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</si>
  <si>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</si>
  <si>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</si>
  <si>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</si>
  <si>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</si>
  <si>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</si>
  <si>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</si>
  <si>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</si>
  <si>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</si>
  <si>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</si>
  <si>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</si>
  <si>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</si>
  <si>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</si>
  <si>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</si>
  <si>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</si>
  <si>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</si>
  <si>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</si>
  <si>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</si>
  <si>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</si>
  <si>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</si>
  <si>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</si>
  <si>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</si>
  <si>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</si>
  <si>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</si>
  <si>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</si>
  <si>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</si>
  <si>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</si>
  <si>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</si>
  <si>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</si>
  <si>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</si>
  <si>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</si>
  <si>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</si>
  <si>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</si>
  <si>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</si>
  <si>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</si>
  <si>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</si>
  <si>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</si>
  <si>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</si>
  <si>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</si>
  <si>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</si>
  <si>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</si>
  <si>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</si>
  <si>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</si>
  <si>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</si>
  <si>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</si>
  <si>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</si>
  <si>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</si>
  <si>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</si>
  <si>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</si>
  <si>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</si>
  <si>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</si>
  <si>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</si>
  <si>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</si>
  <si>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</si>
  <si>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</si>
  <si>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</si>
  <si>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</si>
  <si>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</si>
  <si>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</si>
  <si>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</si>
  <si>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</si>
  <si>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</si>
  <si>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</si>
  <si>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</si>
  <si>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</si>
  <si>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</si>
  <si>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</si>
  <si>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</si>
  <si>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</si>
  <si>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</si>
  <si>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</si>
  <si>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</si>
  <si>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</si>
  <si>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</si>
  <si>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</si>
  <si>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</si>
  <si>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</si>
  <si>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</si>
  <si>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</si>
  <si>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</si>
  <si>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</si>
  <si>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</si>
  <si>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</si>
  <si>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</si>
  <si>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</si>
  <si>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</si>
  <si>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</si>
  <si>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</si>
  <si>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</si>
  <si>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</si>
  <si>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</si>
  <si>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</si>
  <si>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</si>
  <si>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</si>
  <si>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</si>
  <si>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</si>
  <si>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</si>
  <si>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</si>
  <si>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</si>
  <si>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</si>
  <si>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</si>
  <si>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</si>
  <si>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</si>
  <si>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</si>
  <si>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</si>
  <si>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</si>
  <si>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</si>
  <si>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</si>
  <si>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</si>
  <si>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</si>
  <si>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</si>
  <si>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</si>
  <si>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</si>
  <si>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</si>
  <si>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</si>
  <si>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</si>
  <si>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</si>
  <si>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</si>
  <si>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</si>
  <si>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</si>
  <si>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</si>
  <si>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</si>
  <si>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</si>
  <si>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</si>
  <si>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</si>
  <si>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</si>
  <si>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</si>
  <si>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</si>
  <si>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</si>
  <si>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</si>
  <si>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</si>
  <si>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</si>
  <si>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</si>
  <si>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</si>
  <si>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</si>
  <si>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</si>
  <si>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</si>
  <si>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</si>
  <si>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</si>
  <si>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</si>
  <si>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</si>
  <si>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</si>
  <si>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</si>
  <si>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</si>
  <si>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</si>
  <si>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</si>
  <si>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</si>
  <si>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</si>
  <si>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</si>
  <si>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</si>
  <si>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</si>
  <si>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</si>
  <si>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</si>
  <si>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</si>
  <si>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</si>
  <si>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</si>
  <si>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</si>
  <si>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</si>
  <si>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</si>
  <si>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</si>
  <si>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</si>
  <si>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</si>
  <si>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</si>
  <si>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</si>
  <si>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</si>
  <si>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</si>
  <si>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</si>
  <si>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</si>
  <si>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</si>
  <si>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</si>
  <si>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</si>
  <si>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</si>
  <si>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</si>
  <si>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</si>
  <si>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</si>
  <si>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</si>
  <si>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</si>
  <si>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</si>
  <si>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</si>
  <si>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</si>
  <si>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</si>
  <si>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</si>
  <si>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</si>
  <si>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</si>
  <si>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</si>
  <si>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</si>
  <si>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</si>
  <si>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</si>
  <si>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</si>
  <si>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</si>
  <si>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</si>
  <si>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</si>
  <si>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</si>
  <si>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</si>
  <si>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</si>
  <si>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</si>
  <si>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</si>
  <si>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</si>
  <si>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</si>
  <si>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</si>
  <si>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</si>
  <si>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</si>
  <si>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</si>
  <si>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</si>
  <si>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</si>
  <si>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</si>
  <si>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</si>
  <si>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</si>
  <si>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</si>
  <si>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</si>
  <si>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</si>
  <si>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</si>
  <si>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</si>
  <si>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</si>
  <si>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</si>
  <si>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</si>
  <si>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</si>
  <si>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</si>
  <si>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</si>
  <si>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</si>
  <si>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</si>
  <si>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</si>
  <si>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</si>
  <si>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</si>
  <si>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</si>
  <si>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</si>
  <si>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</si>
  <si>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</si>
  <si>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</si>
  <si>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</si>
  <si>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</si>
  <si>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</si>
  <si>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</si>
  <si>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</si>
  <si>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</si>
  <si>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</si>
  <si>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</si>
  <si>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</si>
  <si>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</si>
  <si>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</si>
  <si>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</si>
  <si>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</si>
  <si>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</si>
  <si>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</si>
  <si>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</si>
  <si>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</si>
  <si>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</si>
  <si>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</si>
  <si>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</si>
  <si>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</si>
  <si>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</si>
  <si>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</si>
  <si>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</si>
  <si>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</si>
  <si>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</si>
  <si>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</si>
  <si>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</si>
  <si>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</si>
  <si>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</si>
  <si>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</si>
  <si>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</si>
  <si>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</si>
  <si>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</si>
  <si>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</si>
  <si>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</si>
  <si>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</si>
  <si>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</si>
  <si>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</si>
  <si>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</si>
  <si>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</si>
  <si>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</si>
  <si>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</si>
  <si>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</si>
  <si>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</si>
  <si>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</si>
  <si>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</si>
  <si>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</si>
  <si>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</si>
  <si>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</si>
  <si>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</si>
  <si>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</si>
  <si>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</si>
  <si>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</si>
  <si>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</si>
  <si>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</si>
  <si>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</si>
  <si>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</si>
  <si>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</si>
  <si>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</si>
  <si>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</si>
  <si>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</si>
  <si>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</si>
  <si>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</si>
  <si>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</si>
  <si>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</si>
  <si>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</si>
  <si>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</si>
  <si>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</si>
  <si>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</si>
  <si>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</si>
  <si>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</si>
  <si>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</si>
  <si>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</si>
  <si>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</si>
  <si>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</si>
  <si>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</si>
  <si>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</si>
  <si>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</si>
  <si>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</si>
  <si>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</si>
  <si>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</si>
  <si>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</si>
  <si>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</si>
  <si>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</si>
  <si>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</si>
  <si>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</si>
  <si>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</si>
  <si>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</si>
  <si>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</si>
  <si>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</si>
  <si>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</si>
  <si>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</si>
  <si>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</si>
  <si>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</si>
  <si>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</si>
  <si>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</si>
  <si>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</si>
  <si>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</si>
  <si>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</si>
  <si>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</si>
  <si>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</si>
  <si>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</si>
  <si>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</si>
  <si>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</si>
  <si>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</si>
  <si>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</si>
  <si>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</si>
  <si>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</si>
  <si>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</si>
  <si>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</si>
  <si>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</si>
  <si>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</si>
  <si>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</si>
  <si>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</si>
  <si>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</si>
  <si>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</si>
  <si>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</si>
  <si>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</si>
  <si>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</si>
  <si>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</si>
  <si>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</si>
  <si>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</si>
  <si>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</si>
  <si>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</si>
  <si>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</si>
  <si>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</si>
  <si>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</si>
  <si>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</si>
  <si>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</si>
  <si>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</si>
  <si>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</si>
  <si>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</si>
  <si>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</si>
  <si>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</si>
  <si>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</si>
  <si>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</si>
  <si>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</si>
  <si>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</si>
  <si>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</si>
  <si>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</si>
  <si>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</si>
  <si>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</si>
  <si>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</si>
  <si>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</si>
  <si>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</si>
  <si>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</si>
  <si>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</si>
  <si>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</si>
  <si>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</si>
  <si>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</si>
  <si>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</si>
  <si>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</si>
  <si>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</si>
  <si>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</si>
  <si>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</si>
  <si>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</si>
  <si>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</si>
  <si>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</si>
  <si>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</si>
  <si>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</si>
  <si>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</si>
  <si>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</si>
  <si>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</si>
  <si>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</si>
  <si>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</si>
  <si>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</si>
  <si>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</si>
  <si>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</si>
  <si>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</si>
  <si>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</si>
  <si>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</si>
  <si>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</si>
  <si>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</si>
  <si>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</si>
  <si>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</si>
  <si>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</si>
  <si>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</si>
  <si>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</si>
  <si>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</si>
  <si>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</si>
  <si>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</si>
  <si>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</si>
  <si>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</si>
  <si>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</si>
  <si>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</si>
  <si>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</si>
  <si>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</si>
  <si>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</si>
  <si>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</si>
  <si>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</si>
  <si>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</si>
  <si>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</si>
  <si>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</si>
  <si>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</si>
  <si>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</si>
  <si>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</si>
  <si>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</si>
  <si>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</si>
  <si>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</si>
  <si>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</si>
  <si>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</si>
  <si>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</si>
  <si>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</si>
  <si>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</si>
  <si>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</si>
  <si>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</si>
  <si>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</si>
  <si>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</si>
  <si>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</si>
  <si>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</si>
  <si>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</si>
  <si>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</si>
  <si>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</si>
  <si>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</si>
  <si>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</si>
  <si>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</si>
  <si>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</si>
  <si>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</si>
  <si>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</si>
  <si>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</si>
  <si>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</si>
  <si>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</si>
  <si>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</si>
  <si>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</si>
  <si>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</si>
  <si>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</si>
  <si>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</si>
  <si>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</si>
  <si>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</si>
  <si>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</si>
  <si>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</si>
  <si>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</si>
  <si>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</si>
  <si>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</si>
  <si>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</si>
  <si>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</si>
  <si>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</si>
  <si>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</si>
  <si>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</si>
  <si>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</si>
  <si>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</si>
  <si>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</si>
  <si>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</si>
  <si>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</si>
  <si>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</si>
  <si>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</si>
  <si>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</si>
  <si>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</si>
  <si>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</si>
  <si>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</si>
  <si>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</si>
  <si>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</si>
  <si>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</si>
  <si>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</si>
  <si>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</si>
  <si>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</si>
  <si>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</si>
  <si>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</si>
  <si>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</si>
  <si>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</si>
  <si>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</si>
  <si>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</si>
  <si>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</si>
  <si>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</si>
  <si>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</si>
  <si>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</si>
  <si>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</si>
  <si>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</si>
  <si>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</si>
  <si>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</si>
  <si>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</si>
  <si>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</si>
  <si>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</si>
  <si>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</si>
  <si>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</si>
  <si>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</si>
  <si>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</si>
  <si>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</si>
  <si>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</si>
  <si>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</si>
  <si>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</si>
  <si>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</si>
  <si>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</si>
  <si>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</si>
  <si>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</si>
  <si>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</si>
  <si>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</si>
  <si>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</si>
  <si>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</si>
  <si>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</si>
  <si>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</si>
  <si>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</si>
  <si>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</si>
  <si>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</si>
  <si>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</si>
  <si>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</si>
  <si>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</si>
  <si>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</si>
  <si>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</si>
  <si>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</si>
  <si>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</si>
  <si>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</si>
  <si>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</si>
  <si>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</si>
  <si>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</si>
  <si>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</si>
  <si>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</si>
  <si>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</si>
  <si>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</si>
  <si>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</si>
  <si>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</si>
  <si>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</si>
  <si>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</si>
  <si>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</si>
  <si>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</si>
  <si>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</si>
  <si>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</si>
  <si>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</si>
  <si>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</si>
  <si>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</si>
  <si>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</si>
  <si>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</si>
  <si>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</si>
  <si>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</si>
  <si>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</si>
  <si>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</si>
  <si>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</si>
  <si>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</si>
  <si>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</si>
  <si>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</si>
  <si>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</si>
  <si>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</si>
  <si>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</si>
  <si>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</si>
  <si>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</si>
  <si>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</si>
  <si>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</si>
  <si>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</si>
  <si>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</si>
  <si>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</si>
  <si>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</si>
  <si>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</si>
  <si>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</si>
  <si>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</si>
  <si>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</si>
  <si>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</si>
  <si>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</si>
  <si>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</si>
  <si>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</si>
  <si>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</si>
  <si>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</si>
  <si>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</si>
  <si>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</si>
  <si>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</si>
  <si>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</si>
  <si>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</si>
  <si>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</si>
  <si>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</si>
  <si>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</si>
  <si>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</si>
  <si>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</si>
  <si>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</si>
  <si>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</si>
  <si>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</si>
  <si>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</si>
  <si>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</si>
  <si>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</si>
  <si>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</si>
  <si>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</si>
  <si>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</si>
  <si>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</si>
  <si>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</si>
  <si>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</si>
  <si>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</si>
  <si>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</si>
  <si>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</si>
  <si>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</si>
  <si>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</si>
  <si>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</si>
  <si>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</si>
  <si>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</si>
  <si>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</si>
  <si>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</si>
  <si>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</si>
  <si>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</si>
  <si>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</si>
  <si>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</si>
  <si>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</si>
  <si>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</si>
  <si>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</si>
  <si>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</si>
  <si>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</si>
  <si>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</si>
  <si>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</si>
  <si>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</si>
  <si>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</si>
  <si>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</si>
  <si>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</si>
  <si>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</si>
  <si>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</si>
  <si>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</si>
  <si>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</si>
  <si>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</si>
  <si>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</si>
  <si>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</si>
  <si>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</si>
  <si>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</si>
  <si>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</si>
  <si>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</si>
  <si>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</si>
  <si>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</si>
  <si>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</si>
  <si>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</si>
  <si>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</si>
  <si>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</si>
  <si>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</si>
  <si>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</si>
  <si>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</si>
  <si>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</si>
  <si>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</si>
  <si>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</si>
  <si>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</si>
  <si>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</si>
  <si>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</si>
  <si>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</si>
  <si>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</si>
  <si>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</si>
  <si>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</si>
  <si>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</si>
  <si>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</si>
  <si>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</si>
  <si>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</si>
  <si>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</si>
  <si>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</si>
  <si>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</si>
  <si>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</si>
  <si>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</si>
  <si>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</si>
  <si>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</si>
  <si>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</si>
  <si>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</si>
  <si>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</si>
  <si>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</si>
  <si>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</si>
  <si>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</si>
  <si>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</si>
  <si>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</si>
  <si>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</si>
  <si>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</si>
  <si>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</si>
  <si>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</si>
  <si>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</si>
  <si>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</si>
  <si>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</si>
  <si>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</si>
  <si>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</si>
  <si>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</si>
  <si>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</si>
  <si>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</si>
  <si>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</si>
  <si>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</si>
  <si>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</si>
  <si>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</si>
  <si>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</si>
  <si>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</si>
  <si>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</si>
  <si>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</si>
  <si>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</si>
  <si>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</si>
  <si>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</si>
  <si>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</si>
  <si>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</si>
  <si>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</si>
  <si>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</si>
  <si>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</si>
  <si>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</si>
  <si>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</si>
  <si>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</si>
  <si>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</si>
  <si>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</si>
  <si>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</si>
  <si>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</si>
  <si>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</si>
  <si>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</si>
  <si>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</si>
  <si>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</si>
  <si>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</si>
  <si>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</si>
  <si>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</si>
  <si>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</si>
  <si>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</si>
  <si>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</si>
  <si>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</si>
  <si>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</si>
  <si>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</si>
  <si>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</si>
  <si>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</si>
  <si>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</si>
  <si>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</si>
  <si>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</si>
  <si>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</si>
  <si>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</si>
  <si>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</si>
  <si>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</si>
  <si>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</si>
  <si>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</si>
  <si>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</si>
  <si>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</si>
  <si>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</si>
  <si>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</si>
  <si>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</si>
  <si>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</si>
  <si>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</si>
  <si>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</si>
  <si>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</si>
  <si>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</si>
  <si>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</si>
  <si>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</si>
  <si>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</si>
  <si>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</si>
  <si>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</si>
  <si>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</si>
  <si>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</si>
  <si>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</si>
  <si>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</si>
  <si>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</si>
  <si>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</si>
  <si>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</si>
  <si>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</si>
  <si>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</si>
  <si>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</si>
  <si>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</si>
  <si>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</si>
  <si>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</si>
  <si>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</si>
  <si>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</si>
  <si>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</si>
  <si>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</si>
  <si>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</si>
  <si>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</si>
  <si>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</si>
  <si>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</si>
  <si>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</si>
  <si>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</si>
  <si>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</si>
  <si>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</si>
  <si>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</si>
  <si>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</si>
  <si>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</si>
  <si>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</si>
  <si>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</si>
  <si>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</si>
  <si>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</si>
  <si>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</si>
  <si>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</si>
  <si>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</si>
  <si>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</si>
  <si>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</si>
  <si>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</si>
  <si>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</si>
  <si>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</si>
  <si>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</si>
  <si>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</si>
  <si>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</si>
  <si>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</si>
  <si>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</si>
  <si>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</si>
  <si>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</si>
  <si>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</si>
  <si>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</si>
  <si>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</si>
  <si>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</si>
  <si>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</si>
  <si>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</si>
  <si>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</si>
  <si>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</si>
  <si>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</si>
  <si>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</si>
  <si>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</si>
  <si>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</si>
  <si>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</si>
  <si>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</si>
  <si>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</si>
  <si>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</si>
  <si>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</si>
  <si>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</si>
  <si>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</si>
  <si>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</si>
  <si>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</si>
  <si>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</si>
  <si>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</si>
  <si>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</si>
  <si>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</si>
  <si>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</si>
  <si>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</si>
  <si>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</si>
  <si>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</si>
  <si>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</si>
  <si>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</si>
  <si>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</si>
  <si>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</si>
  <si>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</si>
  <si>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</si>
  <si>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</si>
  <si>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</si>
  <si>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</si>
  <si>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</si>
  <si>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</si>
  <si>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</si>
  <si>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</si>
  <si>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</si>
  <si>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</si>
  <si>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</si>
  <si>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</si>
  <si>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</si>
  <si>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</si>
  <si>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</si>
  <si>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</si>
  <si>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</si>
  <si>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</si>
  <si>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</si>
  <si>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</si>
  <si>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</si>
  <si>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</si>
  <si>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</si>
  <si>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</si>
  <si>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</si>
  <si>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</si>
  <si>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</si>
  <si>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</si>
  <si>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</si>
  <si>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</si>
  <si>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</si>
  <si>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</si>
  <si>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</si>
  <si>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</si>
  <si>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</si>
  <si>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</si>
  <si>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</si>
  <si>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</si>
  <si>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</si>
  <si>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</si>
  <si>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</si>
  <si>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</si>
  <si>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</si>
  <si>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</si>
  <si>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</si>
  <si>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</si>
  <si>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</si>
  <si>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</si>
  <si>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</si>
  <si>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</si>
  <si>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</si>
  <si>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</si>
  <si>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</si>
  <si>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</si>
  <si>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</si>
  <si>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</si>
  <si>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</si>
  <si>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</si>
  <si>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</si>
  <si>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</si>
  <si>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</si>
  <si>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</si>
  <si>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</si>
  <si>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</si>
  <si>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</si>
  <si>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</si>
  <si>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</si>
  <si>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</si>
  <si>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</si>
  <si>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</si>
  <si>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</si>
  <si>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</si>
  <si>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</si>
  <si>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</si>
  <si>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</si>
  <si>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</si>
  <si>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</si>
  <si>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</si>
  <si>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</si>
  <si>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</si>
  <si>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</si>
  <si>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Moore &amp; Simonin, PC</t>
  </si>
  <si>
    <t>Robert E. Moore, CPA</t>
  </si>
  <si>
    <t>3636 North Belt West</t>
  </si>
  <si>
    <t>Belleville</t>
  </si>
  <si>
    <t>IL</t>
  </si>
  <si>
    <t>618-233-5049</t>
  </si>
  <si>
    <t>618-233-1061</t>
  </si>
  <si>
    <t>066-005248</t>
  </si>
  <si>
    <t>mooresimonin@mrsaccountants.com</t>
  </si>
  <si>
    <t>Perry</t>
  </si>
  <si>
    <t>Pinckneyville School District No. 50</t>
  </si>
  <si>
    <t>301 W. Mulberry</t>
  </si>
  <si>
    <t>Pinckneyville</t>
  </si>
  <si>
    <t>O&amp;M-Operation of Plant</t>
  </si>
  <si>
    <t>City of Pinckneyville</t>
  </si>
  <si>
    <t>20-2540-400</t>
  </si>
  <si>
    <t>Next Era Energy</t>
  </si>
  <si>
    <t>TRANS-Pupil Trans</t>
  </si>
  <si>
    <t>40-2550-300</t>
  </si>
  <si>
    <t>Sherman Bus Svc</t>
  </si>
  <si>
    <t>Egyptian Area School Emp Ben Trust</t>
  </si>
  <si>
    <t>Tri County Special Ed District</t>
  </si>
  <si>
    <t>Whether the School District had the resources to prepare their financial statements in accordance with U.S. generally accepted accounting principles or another comprehensive basis of accounting for the year ended June 30, 2018.</t>
  </si>
  <si>
    <t>We noted that the School District was not able to prepare their financial statements in accordance with U.S. generally accepted accounting principles or another comprehensive basis of accounting for the year ended June 30,2018.</t>
  </si>
  <si>
    <t>The School District does not have internal controls over their financial reporting.</t>
  </si>
  <si>
    <t>The School District is unable to prepare their financial statements in accordance with U.S. generally accepted accounting principles or another comprehensive basis of accounting for the year ended June 30, 2018.</t>
  </si>
  <si>
    <t>The District is able to prepare its financial reports, but lacks the resources to research, study and apply all new reporting standards necessary to cmplete the related notes and exhibits.</t>
  </si>
  <si>
    <t>To study the cost versus benefit of providing the necessary education and training to staff in order to prepare the financial statements in accordance with another comprehensive basis of accounting.</t>
  </si>
  <si>
    <t>Management plans to study the cost versus benefit of providing the necessary education and training to staff or continue to use their auditor to prepare all necessary financial statements.</t>
  </si>
  <si>
    <t>17-01</t>
  </si>
  <si>
    <t>The District is unable to prepare its financial statements</t>
  </si>
  <si>
    <t>in accordance with U.S. GAAP or other comprehensive</t>
  </si>
  <si>
    <t>basis of accounting.</t>
  </si>
  <si>
    <t xml:space="preserve">                                       No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</si>
</sst>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911802</xdr:colOff>
          <xdr:row>11</xdr:row>
          <xdr:rowOff>66675</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30073050002</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2087</v>
      </c>
      <c r="B15" s="2007"/>
      <c r="C15" s="2007"/>
      <c r="D15" s="2007"/>
      <c r="E15" s="2007"/>
      <c r="F15" s="2007"/>
      <c r="G15" s="2007"/>
      <c r="H15" s="2008"/>
      <c r="T15" s="1970" t="s">
        <v>2079</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2088</v>
      </c>
      <c r="B17" s="2032"/>
      <c r="C17" s="2032"/>
      <c r="D17" s="2032"/>
      <c r="E17" s="2032"/>
      <c r="F17" s="2032"/>
      <c r="G17" s="2032"/>
      <c r="H17" s="2033"/>
      <c r="T17" s="2019" t="s">
        <v>2080</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2089</v>
      </c>
      <c r="B19" s="2003"/>
      <c r="C19" s="2003"/>
      <c r="D19" s="2003"/>
      <c r="E19" s="2003"/>
      <c r="F19" s="2003"/>
      <c r="G19" s="2003"/>
      <c r="H19" s="2001"/>
      <c r="I19" s="30"/>
      <c r="J19" s="99"/>
      <c r="K19" s="40"/>
      <c r="L19" s="38"/>
      <c r="M19" s="112" t="s">
        <v>333</v>
      </c>
      <c r="P19" s="27"/>
      <c r="Q19" s="27"/>
      <c r="R19" s="27"/>
      <c r="S19" s="31"/>
      <c r="T19" s="2002" t="s">
        <v>2081</v>
      </c>
      <c r="U19" s="2000"/>
      <c r="V19" s="2000"/>
      <c r="W19" s="2001"/>
      <c r="X19" s="2017" t="s">
        <v>2082</v>
      </c>
      <c r="Y19" s="2018"/>
      <c r="Z19" s="2015">
        <v>62226</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2090</v>
      </c>
      <c r="B21" s="2000"/>
      <c r="C21" s="2000"/>
      <c r="D21" s="2000"/>
      <c r="E21" s="2000"/>
      <c r="F21" s="2000"/>
      <c r="G21" s="2000"/>
      <c r="H21" s="2001"/>
      <c r="I21" s="2025" t="s">
        <v>699</v>
      </c>
      <c r="J21" s="1988"/>
      <c r="K21" s="1988"/>
      <c r="L21" s="1988"/>
      <c r="M21" s="1988"/>
      <c r="N21" s="1988"/>
      <c r="O21" s="1988"/>
      <c r="P21" s="1988"/>
      <c r="Q21" s="1988"/>
      <c r="R21" s="1988"/>
      <c r="S21" s="1989"/>
      <c r="T21" s="1967" t="s">
        <v>2083</v>
      </c>
      <c r="U21" s="1968"/>
      <c r="V21" s="1968"/>
      <c r="W21" s="1968"/>
      <c r="X21" s="1981" t="s">
        <v>2084</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2085</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62274</v>
      </c>
      <c r="B25" s="2000"/>
      <c r="C25" s="2000"/>
      <c r="D25" s="2000"/>
      <c r="E25" s="2000"/>
      <c r="F25" s="2000"/>
      <c r="G25" s="2000"/>
      <c r="H25" s="2001"/>
      <c r="I25" s="113"/>
      <c r="J25" s="2066"/>
      <c r="K25" s="2066"/>
      <c r="L25" s="2066"/>
      <c r="M25" s="2066"/>
      <c r="N25" s="2066"/>
      <c r="O25" s="2066"/>
      <c r="P25" s="2066"/>
      <c r="Q25" s="2066"/>
      <c r="R25" s="2066"/>
      <c r="S25" s="2067"/>
      <c r="T25" s="1959" t="s">
        <v>2086</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c r="B42" s="2049"/>
      <c r="C42" s="2050"/>
      <c r="D42" s="2063"/>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8" sqref="A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625348</v>
      </c>
      <c r="C4" s="1546"/>
      <c r="D4" s="1774">
        <f>B4-C4</f>
        <v>625348</v>
      </c>
      <c r="E4" s="1546">
        <v>644263</v>
      </c>
      <c r="F4" s="1774">
        <f>E4-C4</f>
        <v>644263</v>
      </c>
    </row>
    <row r="5" spans="1:6" ht="13.7" customHeight="1" x14ac:dyDescent="0.2">
      <c r="A5" s="716" t="s">
        <v>925</v>
      </c>
      <c r="B5" s="1772">
        <f>'Revenues 9-14'!D5</f>
        <v>169931</v>
      </c>
      <c r="C5" s="585"/>
      <c r="D5" s="1775">
        <f t="shared" ref="D5:D18" si="0">B5-C5</f>
        <v>169931</v>
      </c>
      <c r="E5" s="585">
        <v>175089</v>
      </c>
      <c r="F5" s="1775">
        <f>E5-C5</f>
        <v>175089</v>
      </c>
    </row>
    <row r="6" spans="1:6" ht="13.7" customHeight="1" x14ac:dyDescent="0.2">
      <c r="A6" s="716" t="s">
        <v>431</v>
      </c>
      <c r="B6" s="1772">
        <f>'Revenues 9-14'!E5</f>
        <v>158851</v>
      </c>
      <c r="C6" s="585"/>
      <c r="D6" s="1775">
        <f t="shared" si="0"/>
        <v>158851</v>
      </c>
      <c r="E6" s="585">
        <v>152581</v>
      </c>
      <c r="F6" s="1775">
        <f t="shared" ref="F6:F18" si="1">E6-C6</f>
        <v>152581</v>
      </c>
    </row>
    <row r="7" spans="1:6" ht="13.7" customHeight="1" x14ac:dyDescent="0.2">
      <c r="A7" s="716" t="s">
        <v>157</v>
      </c>
      <c r="B7" s="1772">
        <f>'Revenues 9-14'!F5</f>
        <v>81567</v>
      </c>
      <c r="C7" s="585"/>
      <c r="D7" s="1775">
        <f t="shared" si="0"/>
        <v>81567</v>
      </c>
      <c r="E7" s="585">
        <v>84065</v>
      </c>
      <c r="F7" s="1775">
        <f t="shared" si="1"/>
        <v>84065</v>
      </c>
    </row>
    <row r="8" spans="1:6" ht="13.7" customHeight="1" x14ac:dyDescent="0.2">
      <c r="A8" s="716" t="s">
        <v>1241</v>
      </c>
      <c r="B8" s="1772">
        <f>'Revenues 9-14'!G5</f>
        <v>94889</v>
      </c>
      <c r="C8" s="585"/>
      <c r="D8" s="1775">
        <f t="shared" si="0"/>
        <v>94889</v>
      </c>
      <c r="E8" s="585">
        <v>95212</v>
      </c>
      <c r="F8" s="1775">
        <f t="shared" si="1"/>
        <v>95212</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33986</v>
      </c>
      <c r="C10" s="585"/>
      <c r="D10" s="1775">
        <f t="shared" si="0"/>
        <v>33986</v>
      </c>
      <c r="E10" s="585">
        <v>35004</v>
      </c>
      <c r="F10" s="1775">
        <f t="shared" si="1"/>
        <v>35004</v>
      </c>
    </row>
    <row r="11" spans="1:6" x14ac:dyDescent="0.2">
      <c r="A11" s="716" t="s">
        <v>429</v>
      </c>
      <c r="B11" s="1772">
        <f>'Revenues 9-14'!J5</f>
        <v>186516</v>
      </c>
      <c r="C11" s="585"/>
      <c r="D11" s="1775">
        <f t="shared" si="0"/>
        <v>186516</v>
      </c>
      <c r="E11" s="585">
        <v>203276</v>
      </c>
      <c r="F11" s="1775">
        <f t="shared" si="1"/>
        <v>203276</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13594</v>
      </c>
      <c r="C14" s="585"/>
      <c r="D14" s="1775">
        <f t="shared" si="0"/>
        <v>13594</v>
      </c>
      <c r="E14" s="585">
        <v>13987</v>
      </c>
      <c r="F14" s="1775">
        <f t="shared" si="1"/>
        <v>13987</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67701</v>
      </c>
      <c r="C16" s="585"/>
      <c r="D16" s="1775">
        <f t="shared" si="0"/>
        <v>67701</v>
      </c>
      <c r="E16" s="585">
        <v>70007</v>
      </c>
      <c r="F16" s="1775">
        <f t="shared" si="1"/>
        <v>70007</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1432383</v>
      </c>
      <c r="C19" s="1773">
        <f>SUM(C4:C18)</f>
        <v>0</v>
      </c>
      <c r="D19" s="1773">
        <f>SUM(D4:D18)</f>
        <v>1432383</v>
      </c>
      <c r="E19" s="1773">
        <f>SUM(E4:E18)</f>
        <v>1473484</v>
      </c>
      <c r="F19" s="1773">
        <f>SUM(F4:F18)</f>
        <v>1473484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A8" sqref="A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2036</v>
      </c>
      <c r="D2" s="724" t="s">
        <v>2043</v>
      </c>
      <c r="E2" s="724" t="s">
        <v>2044</v>
      </c>
      <c r="F2" s="1909"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427</v>
      </c>
      <c r="B31" s="734">
        <v>42427</v>
      </c>
      <c r="C31" s="735">
        <v>900000</v>
      </c>
      <c r="D31" s="736">
        <v>1</v>
      </c>
      <c r="E31" s="735">
        <v>771400</v>
      </c>
      <c r="F31" s="735"/>
      <c r="G31" s="735"/>
      <c r="H31" s="735">
        <v>128600</v>
      </c>
      <c r="I31" s="1778">
        <f>((E31+F31)-H31)+G31</f>
        <v>642800</v>
      </c>
      <c r="J31" s="735">
        <v>642786</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900000</v>
      </c>
      <c r="D49" s="746"/>
      <c r="E49" s="1778">
        <f t="shared" ref="E49:J49" si="2">SUM(E31:E48)</f>
        <v>771400</v>
      </c>
      <c r="F49" s="1778">
        <f t="shared" si="2"/>
        <v>0</v>
      </c>
      <c r="G49" s="1778">
        <f t="shared" si="2"/>
        <v>0</v>
      </c>
      <c r="H49" s="1778">
        <f t="shared" si="2"/>
        <v>128600</v>
      </c>
      <c r="I49" s="1778">
        <f t="shared" si="2"/>
        <v>642800</v>
      </c>
      <c r="J49" s="1778">
        <f t="shared" si="2"/>
        <v>642786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8" sqref="A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13594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13594</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13594</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13594</v>
      </c>
      <c r="I23" s="1780">
        <f>SUM(I14:I16,I21,I22)</f>
        <v>0</v>
      </c>
      <c r="J23" s="1780">
        <f>SUM(J14:J16,J21,J22)</f>
        <v>0</v>
      </c>
      <c r="K23" s="1780">
        <f>SUM(K14:K16,K21,K22)</f>
        <v>0</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8" sqref="A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104174</v>
      </c>
      <c r="D5" s="842"/>
      <c r="E5" s="842"/>
      <c r="F5" s="1782">
        <f>(C5+D5)-E5</f>
        <v>104174</v>
      </c>
      <c r="G5" s="838"/>
      <c r="H5" s="843"/>
      <c r="I5" s="843"/>
      <c r="J5" s="843"/>
      <c r="K5" s="794"/>
      <c r="L5" s="1791">
        <f>F5-K5</f>
        <v>104174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6942829</v>
      </c>
      <c r="D8" s="845"/>
      <c r="E8" s="845"/>
      <c r="F8" s="1782">
        <f>(C8+D8)-E8</f>
        <v>6942829</v>
      </c>
      <c r="G8" s="844">
        <v>50</v>
      </c>
      <c r="H8" s="766">
        <v>3228223</v>
      </c>
      <c r="I8" s="766">
        <v>166464</v>
      </c>
      <c r="J8" s="766"/>
      <c r="K8" s="1791">
        <f>(H8+I8)-J8</f>
        <v>3394687</v>
      </c>
      <c r="L8" s="1791">
        <f>F8-K8</f>
        <v>3548142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285673</v>
      </c>
      <c r="D10" s="847"/>
      <c r="E10" s="847"/>
      <c r="F10" s="1786">
        <f>(C10+D10)-E10</f>
        <v>285673</v>
      </c>
      <c r="G10" s="844">
        <v>20</v>
      </c>
      <c r="H10" s="848">
        <v>153712</v>
      </c>
      <c r="I10" s="848">
        <v>14302</v>
      </c>
      <c r="J10" s="848"/>
      <c r="K10" s="1791">
        <f>(H10+I10)-J10</f>
        <v>168014</v>
      </c>
      <c r="L10" s="1791">
        <f>F10-K10</f>
        <v>117659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952427</v>
      </c>
      <c r="D12" s="845"/>
      <c r="E12" s="845"/>
      <c r="F12" s="1782">
        <f>(C12+D12)-E12</f>
        <v>952427</v>
      </c>
      <c r="G12" s="844">
        <v>10</v>
      </c>
      <c r="H12" s="766">
        <v>864561</v>
      </c>
      <c r="I12" s="766">
        <v>12789</v>
      </c>
      <c r="J12" s="766"/>
      <c r="K12" s="1791">
        <f>(H12+I12)-J12</f>
        <v>877350</v>
      </c>
      <c r="L12" s="1791">
        <f>F12-K12</f>
        <v>75077</v>
      </c>
    </row>
    <row r="13" spans="1:14" ht="14.25" thickTop="1" thickBot="1" x14ac:dyDescent="0.25">
      <c r="A13" s="849" t="s">
        <v>1184</v>
      </c>
      <c r="B13" s="841">
        <v>252</v>
      </c>
      <c r="C13" s="845">
        <v>224343</v>
      </c>
      <c r="D13" s="845"/>
      <c r="E13" s="845"/>
      <c r="F13" s="1782">
        <f>(C13+D13)-E13</f>
        <v>224343</v>
      </c>
      <c r="G13" s="844">
        <v>5</v>
      </c>
      <c r="H13" s="766">
        <v>189475</v>
      </c>
      <c r="I13" s="766">
        <v>18760</v>
      </c>
      <c r="J13" s="766"/>
      <c r="K13" s="1791">
        <f>(H13+I13)-J13</f>
        <v>208235</v>
      </c>
      <c r="L13" s="1791">
        <f>F13-K13</f>
        <v>16108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8509446</v>
      </c>
      <c r="D16" s="1782">
        <f>SUM(D3,D5:D6,D8:D10,D12:D15)</f>
        <v>0</v>
      </c>
      <c r="E16" s="1782">
        <f>SUM(E3,E5:E6,E8:E10,E12:E15)</f>
        <v>0</v>
      </c>
      <c r="F16" s="1782">
        <f>SUM(F3,F5:F6,F8:F10,F12:F15)</f>
        <v>8509446</v>
      </c>
      <c r="G16" s="844"/>
      <c r="H16" s="1782">
        <f>SUM(H3,H6,H8:H10,H12:H14,)</f>
        <v>4435971</v>
      </c>
      <c r="I16" s="1782">
        <f>SUM(I3,I6,I8:I10,I12:I14,)</f>
        <v>212315</v>
      </c>
      <c r="J16" s="1782">
        <f>SUM(J3,J6,J8:J10,J12:J14,)</f>
        <v>0</v>
      </c>
      <c r="K16" s="1782">
        <f>(H16+I16)-J16</f>
        <v>4648286</v>
      </c>
      <c r="L16" s="1782">
        <f>F16-K16</f>
        <v>3861160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49162</v>
      </c>
      <c r="G17" s="838">
        <v>10</v>
      </c>
      <c r="H17" s="770"/>
      <c r="I17" s="1791">
        <f>F17/G17</f>
        <v>4916.2</v>
      </c>
      <c r="J17" s="770"/>
      <c r="K17" s="796"/>
      <c r="L17" s="796"/>
    </row>
    <row r="18" spans="1:12" ht="14.25" thickTop="1" thickBot="1" x14ac:dyDescent="0.25">
      <c r="A18" s="1789" t="s">
        <v>706</v>
      </c>
      <c r="B18" s="1790"/>
      <c r="C18" s="772"/>
      <c r="D18" s="772"/>
      <c r="E18" s="772"/>
      <c r="F18" s="851"/>
      <c r="G18" s="852"/>
      <c r="H18" s="774"/>
      <c r="I18" s="1782">
        <f>SUM(I16,I17)</f>
        <v>217231.2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A8" sqref="A8"/>
      <selection pane="bottomLeft" activeCell="A8" sqref="A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3484000</v>
      </c>
      <c r="G8" s="866"/>
    </row>
    <row r="9" spans="1:7" x14ac:dyDescent="0.2">
      <c r="A9" s="870" t="s">
        <v>480</v>
      </c>
      <c r="B9" s="871" t="s">
        <v>1988</v>
      </c>
      <c r="C9" s="872"/>
      <c r="D9" s="870" t="s">
        <v>522</v>
      </c>
      <c r="E9" s="869"/>
      <c r="F9" s="1935">
        <f>'Expenditures 15-22'!K151</f>
        <v>401296</v>
      </c>
      <c r="G9" s="873"/>
    </row>
    <row r="10" spans="1:7" x14ac:dyDescent="0.2">
      <c r="A10" s="870" t="s">
        <v>520</v>
      </c>
      <c r="B10" s="871" t="s">
        <v>1989</v>
      </c>
      <c r="C10" s="872"/>
      <c r="D10" s="870" t="s">
        <v>522</v>
      </c>
      <c r="E10" s="869"/>
      <c r="F10" s="1935">
        <f>'Expenditures 15-22'!K174</f>
        <v>159339</v>
      </c>
      <c r="G10" s="873"/>
    </row>
    <row r="11" spans="1:7" x14ac:dyDescent="0.2">
      <c r="A11" s="870" t="s">
        <v>481</v>
      </c>
      <c r="B11" s="871" t="s">
        <v>1990</v>
      </c>
      <c r="C11" s="872"/>
      <c r="D11" s="870" t="s">
        <v>522</v>
      </c>
      <c r="E11" s="869"/>
      <c r="F11" s="1935">
        <f>'Expenditures 15-22'!K210</f>
        <v>386650</v>
      </c>
      <c r="G11" s="873"/>
    </row>
    <row r="12" spans="1:7" x14ac:dyDescent="0.2">
      <c r="A12" s="870" t="s">
        <v>482</v>
      </c>
      <c r="B12" s="871" t="s">
        <v>1991</v>
      </c>
      <c r="C12" s="872"/>
      <c r="D12" s="870" t="s">
        <v>522</v>
      </c>
      <c r="E12" s="869"/>
      <c r="F12" s="1935">
        <f>'Expenditures 15-22'!K295</f>
        <v>143795</v>
      </c>
      <c r="G12" s="873"/>
    </row>
    <row r="13" spans="1:7" x14ac:dyDescent="0.2">
      <c r="A13" s="870" t="s">
        <v>108</v>
      </c>
      <c r="B13" s="871" t="s">
        <v>1992</v>
      </c>
      <c r="C13" s="872"/>
      <c r="D13" s="870" t="s">
        <v>522</v>
      </c>
      <c r="E13" s="869"/>
      <c r="F13" s="1935">
        <f>'Expenditures 15-22'!K342</f>
        <v>84915</v>
      </c>
      <c r="G13" s="874"/>
    </row>
    <row r="14" spans="1:7" ht="12" customHeight="1" thickBot="1" x14ac:dyDescent="0.25">
      <c r="A14" s="1792"/>
      <c r="B14" s="1793"/>
      <c r="C14" s="1794"/>
      <c r="D14" s="1795" t="s">
        <v>522</v>
      </c>
      <c r="E14" s="1796" t="s">
        <v>1015</v>
      </c>
      <c r="F14" s="1797">
        <f>SUM(F8:F13)</f>
        <v>4659995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3338</v>
      </c>
      <c r="G52" s="866"/>
    </row>
    <row r="53" spans="1:7" x14ac:dyDescent="0.2">
      <c r="A53" s="870" t="s">
        <v>479</v>
      </c>
      <c r="B53" s="870" t="s">
        <v>1551</v>
      </c>
      <c r="C53" s="890">
        <f>'Expenditures 15-22'!B102</f>
        <v>4000</v>
      </c>
      <c r="D53" s="889" t="str">
        <f>'Expenditures 15-22'!A102</f>
        <v>Total Payments to Other Govt Units</v>
      </c>
      <c r="E53" s="869"/>
      <c r="F53" s="1939">
        <f>'Expenditures 15-22'!K102</f>
        <v>67412</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49162</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128600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248512</v>
      </c>
      <c r="G76" s="866"/>
    </row>
    <row r="77" spans="1:8" s="894" customFormat="1" ht="12" customHeight="1" thickTop="1" thickBot="1" x14ac:dyDescent="0.25">
      <c r="A77" s="1801"/>
      <c r="B77" s="1798"/>
      <c r="C77" s="1794"/>
      <c r="D77" s="1799" t="s">
        <v>2011</v>
      </c>
      <c r="E77" s="1796"/>
      <c r="F77" s="1802">
        <f>(F14-F76)</f>
        <v>4411483</v>
      </c>
      <c r="G77" s="870"/>
    </row>
    <row r="78" spans="1:8" s="894" customFormat="1" ht="12" customHeight="1" thickTop="1" x14ac:dyDescent="0.2">
      <c r="A78" s="1803"/>
      <c r="B78" s="1798"/>
      <c r="C78" s="1794"/>
      <c r="D78" s="1799" t="s">
        <v>2057</v>
      </c>
      <c r="E78" s="1796"/>
      <c r="F78" s="899">
        <v>521.88</v>
      </c>
      <c r="G78" s="900"/>
      <c r="H78" s="870"/>
    </row>
    <row r="79" spans="1:8" s="894" customFormat="1" ht="12" customHeight="1" thickBot="1" x14ac:dyDescent="0.25">
      <c r="A79" s="1804"/>
      <c r="B79" s="1798"/>
      <c r="C79" s="1794"/>
      <c r="D79" s="1799" t="s">
        <v>2012</v>
      </c>
      <c r="E79" s="1796" t="s">
        <v>1015</v>
      </c>
      <c r="F79" s="1805">
        <f>IF(F78&gt;0,F77/F78," Complete Line 78")</f>
        <v>8453.0600904422481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75875</v>
      </c>
      <c r="G94" s="913"/>
    </row>
    <row r="95" spans="1:7" x14ac:dyDescent="0.2">
      <c r="A95" s="909" t="s">
        <v>142</v>
      </c>
      <c r="B95" s="909" t="s">
        <v>177</v>
      </c>
      <c r="C95" s="911">
        <v>1700</v>
      </c>
      <c r="D95" s="919" t="str">
        <f>'Revenues 9-14'!A82</f>
        <v>Total District/School Activity Income</v>
      </c>
      <c r="E95" s="907"/>
      <c r="F95" s="1811">
        <f>SUM('Revenues 9-14'!C82,'Revenues 9-14'!D82)</f>
        <v>11408</v>
      </c>
      <c r="G95" s="913"/>
    </row>
    <row r="96" spans="1:7" x14ac:dyDescent="0.2">
      <c r="A96" s="909" t="s">
        <v>479</v>
      </c>
      <c r="B96" s="909" t="s">
        <v>178</v>
      </c>
      <c r="C96" s="911">
        <f>'Revenues 9-14'!B84</f>
        <v>1811</v>
      </c>
      <c r="D96" s="912" t="str">
        <f>'Revenues 9-14'!A84</f>
        <v>Rentals - Regular Textbooks</v>
      </c>
      <c r="E96" s="907"/>
      <c r="F96" s="1811">
        <f>'Revenues 9-14'!C84</f>
        <v>14748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104620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2077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307570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151869</v>
      </c>
      <c r="G129" s="931"/>
    </row>
    <row r="130" spans="1:7" x14ac:dyDescent="0.2">
      <c r="A130" s="928" t="s">
        <v>689</v>
      </c>
      <c r="B130" s="928" t="s">
        <v>804</v>
      </c>
      <c r="C130" s="933">
        <v>4300</v>
      </c>
      <c r="D130" s="934" t="str">
        <f>'Revenues 9-14'!A211</f>
        <v>Total Title I</v>
      </c>
      <c r="E130" s="907"/>
      <c r="F130" s="1811">
        <f>SUM('Revenues 9-14'!C211,'Revenues 9-14'!D211,'Revenues 9-14'!F211,'Revenues 9-14'!G211)</f>
        <v>321461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34032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13233</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28612</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1065505</v>
      </c>
    </row>
    <row r="179" spans="1:7" ht="12" customHeight="1" x14ac:dyDescent="0.2">
      <c r="A179" s="1792"/>
      <c r="B179" s="1806"/>
      <c r="C179" s="1807"/>
      <c r="D179" s="1808" t="s">
        <v>2014</v>
      </c>
      <c r="E179" s="1809"/>
      <c r="F179" s="1811">
        <f>'PCTC-OEPP 27-28'!F77-F178</f>
        <v>3345978</v>
      </c>
    </row>
    <row r="180" spans="1:7" ht="12" customHeight="1" x14ac:dyDescent="0.2">
      <c r="A180" s="1792"/>
      <c r="B180" s="1806"/>
      <c r="C180" s="1807"/>
      <c r="D180" s="1808" t="s">
        <v>1924</v>
      </c>
      <c r="E180" s="1809"/>
      <c r="F180" s="1811">
        <f>'Cap Outlay Deprec 26'!I18</f>
        <v>217231.2</v>
      </c>
    </row>
    <row r="181" spans="1:7" ht="12" customHeight="1" x14ac:dyDescent="0.2">
      <c r="A181" s="1792"/>
      <c r="B181" s="1806"/>
      <c r="C181" s="1807"/>
      <c r="D181" s="1808" t="s">
        <v>2015</v>
      </c>
      <c r="E181" s="1809"/>
      <c r="F181" s="1811">
        <f>F179+F180</f>
        <v>3563209.2</v>
      </c>
    </row>
    <row r="182" spans="1:7" ht="12" customHeight="1" x14ac:dyDescent="0.2">
      <c r="A182" s="1792"/>
      <c r="B182" s="1812"/>
      <c r="C182" s="1807"/>
      <c r="D182" s="1808" t="str">
        <f>D78</f>
        <v>9 Month ADA from District Average Daily Attendance/Prior General State Aid Inquiry 2017-2018</v>
      </c>
      <c r="E182" s="1809"/>
      <c r="F182" s="1813">
        <f>'PCTC-OEPP 27-28'!F78</f>
        <v>521.88</v>
      </c>
      <c r="G182" s="931"/>
    </row>
    <row r="183" spans="1:7" ht="12" customHeight="1" thickBot="1" x14ac:dyDescent="0.25">
      <c r="A183" s="1792"/>
      <c r="B183" s="1812"/>
      <c r="C183" s="1807"/>
      <c r="D183" s="1808" t="s">
        <v>2016</v>
      </c>
      <c r="E183" s="1809" t="s">
        <v>1626</v>
      </c>
      <c r="F183" s="1814">
        <f>F181/F182</f>
        <v>6827.6408369740175</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8" sqref="A8"/>
      <selection pane="bottomLeft" activeCell="B18" sqref="B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2091</v>
      </c>
      <c r="B17" s="2505" t="s">
        <v>2093</v>
      </c>
      <c r="C17" s="1958" t="s">
        <v>2092</v>
      </c>
      <c r="D17" s="1867">
        <v>38042</v>
      </c>
      <c r="E17" s="1562">
        <f t="shared" ref="E17:E141" si="1">IF(D17&lt;=25000,D17,IF(D17&gt;25000,25000,0))</f>
        <v>25000</v>
      </c>
      <c r="F17" s="1815">
        <f t="shared" si="0"/>
        <v>25000</v>
      </c>
      <c r="G17" s="1816">
        <f>IF(F17=0,0,D17-F17)</f>
        <v>13042</v>
      </c>
      <c r="H17" s="1669"/>
    </row>
    <row r="18" spans="1:8" x14ac:dyDescent="0.25">
      <c r="A18" s="1956" t="s">
        <v>2091</v>
      </c>
      <c r="B18" s="1957" t="s">
        <v>2093</v>
      </c>
      <c r="C18" s="1958" t="s">
        <v>2094</v>
      </c>
      <c r="D18" s="1867">
        <v>68781</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43781</v>
      </c>
    </row>
    <row r="19" spans="1:8" x14ac:dyDescent="0.25">
      <c r="A19" s="1956" t="s">
        <v>2095</v>
      </c>
      <c r="B19" s="1957" t="s">
        <v>2096</v>
      </c>
      <c r="C19" s="1958" t="s">
        <v>2097</v>
      </c>
      <c r="D19" s="1867">
        <v>353524</v>
      </c>
      <c r="E19" s="1562">
        <f t="shared" si="2"/>
        <v>25000</v>
      </c>
      <c r="F19" s="1815">
        <f t="shared" si="3"/>
        <v>25000</v>
      </c>
      <c r="G19" s="1816">
        <f t="shared" si="4"/>
        <v>328524</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460347</v>
      </c>
      <c r="E141" s="1563">
        <f t="shared" si="1"/>
        <v>25000</v>
      </c>
      <c r="F141" s="1817">
        <f>SUM(F17:F140)</f>
        <v>75000</v>
      </c>
      <c r="G141" s="1818">
        <f>SUM(G17:G140)</f>
        <v>385347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8" sqref="A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86183</v>
      </c>
      <c r="F10" s="975"/>
      <c r="G10" s="976"/>
      <c r="H10" s="162"/>
      <c r="I10" s="162"/>
    </row>
    <row r="11" spans="1:9" s="669" customFormat="1" ht="22.5" customHeight="1" x14ac:dyDescent="0.2">
      <c r="A11" s="2305" t="s">
        <v>1944</v>
      </c>
      <c r="B11" s="2306"/>
      <c r="C11" s="2306"/>
      <c r="D11" s="2307"/>
      <c r="E11" s="978">
        <v>23890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2407440</v>
      </c>
      <c r="F19" s="1822"/>
      <c r="G19" s="1824">
        <f>'Expenditures 15-22'!K33-SUM('Expenditures 15-22'!G33,'Expenditures 15-22'!I33)+'Expenditures 15-22'!D229</f>
        <v>2407440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224341</v>
      </c>
      <c r="F21" s="1825"/>
      <c r="G21" s="1828">
        <f>'Expenditures 15-22'!K42-SUM('Expenditures 15-22'!G42,'Expenditures 15-22'!I42)+'Expenditures 15-22'!K120-SUM('Expenditures 15-22'!G120,'Expenditures 15-22'!I120)+'Expenditures 15-22'!K180-SUM('Expenditures 15-22'!G180,'Expenditures 15-22'!I180)+'Expenditures 15-22'!D238</f>
        <v>224341</v>
      </c>
      <c r="H21" s="988"/>
      <c r="I21" s="162"/>
    </row>
    <row r="22" spans="1:9" s="669" customFormat="1" ht="12" customHeight="1" x14ac:dyDescent="0.2">
      <c r="A22" s="995" t="s">
        <v>585</v>
      </c>
      <c r="B22" s="996"/>
      <c r="C22" s="994">
        <v>2200</v>
      </c>
      <c r="D22" s="1825"/>
      <c r="E22" s="1827">
        <f>'Expenditures 15-22'!K47-SUM('Expenditures 15-22'!G47,'Expenditures 15-22'!I47)+'Expenditures 15-22'!D243</f>
        <v>17124</v>
      </c>
      <c r="F22" s="1825"/>
      <c r="G22" s="1828">
        <f>'Expenditures 15-22'!K47-SUM('Expenditures 15-22'!G47,'Expenditures 15-22'!I47)+'Expenditures 15-22'!D243</f>
        <v>17124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359059</v>
      </c>
      <c r="F23" s="1825"/>
      <c r="G23" s="1827">
        <f>'Expenditures 15-22'!K53-SUM('Expenditures 15-22'!G53,'Expenditures 15-22'!I53)+'Expenditures 15-22'!D257+'Expenditures 15-22'!K330-SUM('Expenditures 15-22'!G330,'Expenditures 15-22'!I330)</f>
        <v>359059</v>
      </c>
      <c r="H23" s="988"/>
      <c r="I23" s="162"/>
    </row>
    <row r="24" spans="1:9" s="669" customFormat="1" ht="12" customHeight="1" x14ac:dyDescent="0.2">
      <c r="A24" s="995" t="s">
        <v>587</v>
      </c>
      <c r="B24" s="996"/>
      <c r="C24" s="994">
        <v>2400</v>
      </c>
      <c r="D24" s="1825"/>
      <c r="E24" s="1827">
        <f>'Expenditures 15-22'!K57-SUM('Expenditures 15-22'!G57,'Expenditures 15-22'!I57)+'Expenditures 15-22'!D261</f>
        <v>327892</v>
      </c>
      <c r="F24" s="1825"/>
      <c r="G24" s="1828">
        <f>'Expenditures 15-22'!K57-SUM('Expenditures 15-22'!G57,'Expenditures 15-22'!I57)+'Expenditures 15-22'!D261</f>
        <v>327892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11324</v>
      </c>
      <c r="E27" s="1827">
        <f>E8</f>
        <v>0</v>
      </c>
      <c r="F27" s="1827">
        <f>'Expenditures 15-22'!K60-SUM('Expenditures 15-22'!G60,'Expenditures 15-22'!I60)+'Expenditures 15-22'!D264-E8</f>
        <v>11324</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442988</v>
      </c>
      <c r="F28" s="1829">
        <f>'Expenditures 15-22'!K61-SUM('Expenditures 15-22'!G61,'Expenditures 15-22'!I61)+'Expenditures 15-22'!K124-SUM('Expenditures 15-22'!G124,'Expenditures 15-22'!I124)+'Expenditures 15-22'!D266-E9</f>
        <v>442988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386650</v>
      </c>
      <c r="F29" s="1825"/>
      <c r="G29" s="1828">
        <f>'Expenditures 15-22'!K62-SUM('Expenditures 15-22'!G62,'Expenditures 15-22'!I62)+'Expenditures 15-22'!K125-SUM('Expenditures 15-22'!G125,'Expenditures 15-22'!I125)+'Expenditures 15-22'!K182-SUM('Expenditures 15-22'!G182,'Expenditures 15-22'!I182)+'Expenditures 15-22'!D267</f>
        <v>386650</v>
      </c>
      <c r="H29" s="986"/>
    </row>
    <row r="30" spans="1:9" ht="12" customHeight="1" x14ac:dyDescent="0.2">
      <c r="A30" s="995" t="s">
        <v>102</v>
      </c>
      <c r="B30" s="998"/>
      <c r="C30" s="994">
        <v>2560</v>
      </c>
      <c r="D30" s="1825"/>
      <c r="E30" s="1827">
        <f>'Expenditures 15-22'!K63-SUM('Expenditures 15-22'!G63,'Expenditures 15-22'!I63)+'Expenditures 15-22'!D268-E10</f>
        <v>105743</v>
      </c>
      <c r="F30" s="1825"/>
      <c r="G30" s="1827">
        <f>'Expenditures 15-22'!K63-SUM('Expenditures 15-22'!G63,'Expenditures 15-22'!I63)+'Expenditures 15-22'!D268-E10</f>
        <v>105743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12000</v>
      </c>
      <c r="F38" s="1825"/>
      <c r="G38" s="1827">
        <f>'Expenditures 15-22'!K73-SUM('Expenditures 15-22'!G73,'Expenditures 15-22'!I73)+'Expenditures 15-22'!K128-SUM('Expenditures 15-22'!G128,'Expenditures 15-22'!I128)+'Expenditures 15-22'!K183-SUM('Expenditures 15-22'!G183,'Expenditures 15-22'!I183)+'Expenditures 15-22'!D278</f>
        <v>12000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3338</v>
      </c>
      <c r="F39" s="1825"/>
      <c r="G39" s="1827">
        <f>'Expenditures 15-22'!K75-SUM('Expenditures 15-22'!G75,'Expenditures 15-22'!I75)+'Expenditures 15-22'!K130-SUM('Expenditures 15-22'!G130,'Expenditures 15-22'!I130)+'Expenditures 15-22'!K185-SUM('Expenditures 15-22'!G185,'Expenditures 15-22'!I185)+'Expenditures 15-22'!D280</f>
        <v>3338</v>
      </c>
    </row>
    <row r="40" spans="1:7" ht="12" customHeight="1" x14ac:dyDescent="0.2">
      <c r="A40" s="991" t="s">
        <v>1930</v>
      </c>
      <c r="B40" s="992"/>
      <c r="C40" s="994"/>
      <c r="D40" s="1825"/>
      <c r="E40" s="1829">
        <f>-'Contracts Paid in CY 29'!G141</f>
        <v>-385347</v>
      </c>
      <c r="F40" s="1825"/>
      <c r="G40" s="1829">
        <f>-'Contracts Paid in CY 29'!G141</f>
        <v>-385347</v>
      </c>
    </row>
    <row r="41" spans="1:7" ht="12" customHeight="1" x14ac:dyDescent="0.2">
      <c r="A41" s="999" t="s">
        <v>158</v>
      </c>
      <c r="B41" s="1000"/>
      <c r="C41" s="1001"/>
      <c r="D41" s="1829">
        <f>SUM(D19:D39)</f>
        <v>11324</v>
      </c>
      <c r="E41" s="1829">
        <f>SUM(E19:E40)</f>
        <v>3901228</v>
      </c>
      <c r="F41" s="1829">
        <f>SUM(F19:F39)</f>
        <v>454312</v>
      </c>
      <c r="G41" s="1829">
        <f>SUM(G19:G40)</f>
        <v>3458240</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11324</v>
      </c>
      <c r="F43" s="1830" t="s">
        <v>495</v>
      </c>
      <c r="G43" s="1831">
        <f>F41</f>
        <v>454312</v>
      </c>
    </row>
    <row r="44" spans="1:7" ht="12" customHeight="1" x14ac:dyDescent="0.2">
      <c r="A44" s="988"/>
      <c r="B44" s="162"/>
      <c r="C44" s="1002"/>
      <c r="D44" s="1830" t="s">
        <v>494</v>
      </c>
      <c r="E44" s="1831">
        <f>E41</f>
        <v>3901228</v>
      </c>
      <c r="F44" s="1830" t="s">
        <v>494</v>
      </c>
      <c r="G44" s="1831">
        <f>G41</f>
        <v>3458240</v>
      </c>
    </row>
    <row r="45" spans="1:7" ht="12" customHeight="1" x14ac:dyDescent="0.2">
      <c r="A45" s="988"/>
      <c r="B45" s="162"/>
      <c r="C45" s="162"/>
      <c r="D45" s="1832" t="s">
        <v>1063</v>
      </c>
      <c r="E45" s="1833">
        <f>(E43/E44)</f>
        <v>2.9026757728592124E-3</v>
      </c>
      <c r="F45" s="1832" t="s">
        <v>1063</v>
      </c>
      <c r="G45" s="1833">
        <f>(G43/G44)</f>
        <v>0.13137087073193301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8" sqref="A8"/>
      <selection pane="bottomLeft" activeCell="A8" sqref="A8"/>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Pinckneyville School District No. 50</v>
      </c>
      <c r="D6" s="2315"/>
      <c r="E6" s="2315"/>
      <c r="F6" s="1877"/>
    </row>
    <row r="7" spans="1:10" ht="11.25" customHeight="1" thickBot="1" x14ac:dyDescent="0.3">
      <c r="A7" s="1875"/>
      <c r="B7" s="1876"/>
      <c r="C7" s="2316">
        <f>COVER!A13</f>
        <v>30073050002</v>
      </c>
      <c r="D7" s="2316"/>
      <c r="E7" s="231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2077</v>
      </c>
      <c r="D14" s="1890" t="s">
        <v>2077</v>
      </c>
      <c r="E14" s="1893"/>
      <c r="F14" s="1892" t="s">
        <v>2098</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2099</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8" sqref="A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Pinckneyville School District No. 50</v>
      </c>
      <c r="J6" s="2336"/>
      <c r="Q6" s="1686"/>
    </row>
    <row r="7" spans="1:17" x14ac:dyDescent="0.2">
      <c r="A7" s="2337" t="s">
        <v>924</v>
      </c>
      <c r="B7" s="2338"/>
      <c r="C7" s="2338"/>
      <c r="D7" s="2338"/>
      <c r="E7" s="2339"/>
      <c r="F7" s="1018"/>
      <c r="G7" s="1010"/>
      <c r="H7" s="1017" t="s">
        <v>390</v>
      </c>
      <c r="I7" s="2340">
        <f>COVER!A13</f>
        <v>30073050002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242123</v>
      </c>
      <c r="F12" s="1040"/>
      <c r="G12" s="1834">
        <f t="shared" ref="G12:G18" si="0">SUM(E12:F12)</f>
        <v>242123</v>
      </c>
      <c r="H12" s="1041"/>
      <c r="I12" s="1040"/>
      <c r="J12" s="1834">
        <f t="shared" ref="J12:J18" si="1">SUM(H12:I12)</f>
        <v>0</v>
      </c>
    </row>
    <row r="13" spans="1:17" ht="15" customHeight="1" x14ac:dyDescent="0.2">
      <c r="A13" s="1036">
        <v>2</v>
      </c>
      <c r="B13" s="1037" t="s">
        <v>44</v>
      </c>
      <c r="C13" s="1038"/>
      <c r="D13" s="1039">
        <v>2330</v>
      </c>
      <c r="E13" s="1834">
        <f>'Expenditures 15-22'!K51</f>
        <v>3836</v>
      </c>
      <c r="F13" s="1040"/>
      <c r="G13" s="1834">
        <f t="shared" si="0"/>
        <v>3836</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245959</v>
      </c>
      <c r="F19" s="1836">
        <f t="shared" si="2"/>
        <v>0</v>
      </c>
      <c r="G19" s="1836">
        <f t="shared" si="2"/>
        <v>245959</v>
      </c>
      <c r="H19" s="1836">
        <f t="shared" si="2"/>
        <v>0</v>
      </c>
      <c r="I19" s="1836">
        <f t="shared" si="2"/>
        <v>0</v>
      </c>
      <c r="J19" s="1836">
        <f t="shared" si="2"/>
        <v>0</v>
      </c>
    </row>
    <row r="20" spans="1:10" ht="13.5" thickTop="1" x14ac:dyDescent="0.2">
      <c r="A20" s="1036">
        <v>9</v>
      </c>
      <c r="B20" s="2347" t="s">
        <v>1703</v>
      </c>
      <c r="C20" s="2347"/>
      <c r="D20" s="2348"/>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8" sqref="A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Pinckneyville School District No. 50</v>
      </c>
    </row>
    <row r="65" spans="2:2" x14ac:dyDescent="0.2">
      <c r="B65" s="1071">
        <f>COVER!A13</f>
        <v>30073050002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election activeCell="A8" sqref="A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8" sqref="A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8" sqref="A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8" sqref="A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3599586</v>
      </c>
      <c r="C8" s="1838">
        <f>'Acct Summary 7-8'!D8</f>
        <v>259821</v>
      </c>
      <c r="D8" s="1838">
        <f>'Acct Summary 7-8'!F8</f>
        <v>474135</v>
      </c>
      <c r="E8" s="1838">
        <f>'Acct Summary 7-8'!I8</f>
        <v>37428</v>
      </c>
      <c r="F8" s="1838">
        <f>SUM(B8:E8)</f>
        <v>4370970</v>
      </c>
    </row>
    <row r="9" spans="1:8" s="1080" customFormat="1" ht="14.25" customHeight="1" thickBot="1" x14ac:dyDescent="0.25">
      <c r="A9" s="1079" t="s">
        <v>1436</v>
      </c>
      <c r="B9" s="1839">
        <f>'Acct Summary 7-8'!C17</f>
        <v>3484000</v>
      </c>
      <c r="C9" s="1839">
        <f>'Acct Summary 7-8'!D17</f>
        <v>401296</v>
      </c>
      <c r="D9" s="1839">
        <f>'Acct Summary 7-8'!F17</f>
        <v>386650</v>
      </c>
      <c r="E9" s="1838"/>
      <c r="F9" s="1838">
        <f>SUM(B9:E9)</f>
        <v>4271946</v>
      </c>
    </row>
    <row r="10" spans="1:8" s="1080" customFormat="1" ht="14.25" thickTop="1" thickBot="1" x14ac:dyDescent="0.25">
      <c r="A10" s="1081" t="s">
        <v>1437</v>
      </c>
      <c r="B10" s="1840">
        <f>(B8-B9)</f>
        <v>115586</v>
      </c>
      <c r="C10" s="1840">
        <f>(C8-C9)</f>
        <v>-141475</v>
      </c>
      <c r="D10" s="1840">
        <f>(D8-D9)</f>
        <v>87485</v>
      </c>
      <c r="E10" s="1839">
        <f>(E8-E9)</f>
        <v>37428</v>
      </c>
      <c r="F10" s="1841">
        <f>SUM(F8-F9)</f>
        <v>99024</v>
      </c>
    </row>
    <row r="11" spans="1:8" s="1080" customFormat="1" ht="14.25" thickTop="1" thickBot="1" x14ac:dyDescent="0.25">
      <c r="A11" s="1082" t="s">
        <v>1785</v>
      </c>
      <c r="B11" s="1842">
        <f>'Acct Summary 7-8'!C81</f>
        <v>416592</v>
      </c>
      <c r="C11" s="1842">
        <f>'Acct Summary 7-8'!D81</f>
        <v>436884</v>
      </c>
      <c r="D11" s="1842">
        <f>'Acct Summary 7-8'!F81</f>
        <v>337010</v>
      </c>
      <c r="E11" s="1842">
        <f>'Acct Summary 7-8'!I81</f>
        <v>1006493</v>
      </c>
      <c r="F11" s="1843">
        <f>SUM(B11:E11)</f>
        <v>2196979</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30073050002</v>
      </c>
    </row>
    <row r="3" spans="1:2" x14ac:dyDescent="0.2">
      <c r="A3" t="s">
        <v>1013</v>
      </c>
      <c r="B3" s="138" t="str">
        <f>COVER!A15</f>
        <v>Perry</v>
      </c>
    </row>
    <row r="4" spans="1:2" x14ac:dyDescent="0.2">
      <c r="A4" t="s">
        <v>1064</v>
      </c>
      <c r="B4" s="138" t="str">
        <f>COVER!A17</f>
        <v>Pinckneyville School District No. 50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066-005248</v>
      </c>
    </row>
    <row r="16" spans="1:2" x14ac:dyDescent="0.2">
      <c r="A16" t="s">
        <v>442</v>
      </c>
      <c r="B16" s="138" t="str">
        <f>COVER!T13</f>
        <v>Moore &amp; Simonin, PC</v>
      </c>
    </row>
    <row r="17" spans="1:2" x14ac:dyDescent="0.2">
      <c r="A17" t="s">
        <v>939</v>
      </c>
      <c r="B17" s="138" t="str">
        <f>COVER!T15</f>
        <v>Robert E. Moore, CPA</v>
      </c>
    </row>
    <row r="18" spans="1:2" x14ac:dyDescent="0.2">
      <c r="A18" t="s">
        <v>1212</v>
      </c>
      <c r="B18" s="138" t="str">
        <f>COVER!T17</f>
        <v>3636 North Belt West</v>
      </c>
    </row>
    <row r="19" spans="1:2" x14ac:dyDescent="0.2">
      <c r="A19" t="s">
        <v>941</v>
      </c>
      <c r="B19" s="138" t="str">
        <f>COVER!T25</f>
        <v>mooresimonin@mrsaccountants.com</v>
      </c>
    </row>
    <row r="20" spans="1:2" x14ac:dyDescent="0.2">
      <c r="A20" t="s">
        <v>942</v>
      </c>
      <c r="B20" s="138" t="str">
        <f>COVER!T19</f>
        <v>Belleville</v>
      </c>
    </row>
    <row r="21" spans="1:2" x14ac:dyDescent="0.2">
      <c r="A21" t="s">
        <v>500</v>
      </c>
      <c r="B21" s="138" t="str">
        <f>COVER!X19</f>
        <v>IL</v>
      </c>
    </row>
    <row r="22" spans="1:2" x14ac:dyDescent="0.2">
      <c r="A22" t="s">
        <v>943</v>
      </c>
      <c r="B22" s="138">
        <f>COVER!Z19</f>
        <v>62226</v>
      </c>
    </row>
    <row r="23" spans="1:2" x14ac:dyDescent="0.2">
      <c r="A23" t="s">
        <v>1214</v>
      </c>
      <c r="B23" s="138" t="str">
        <f>COVER!T21</f>
        <v>618-233-5049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416592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416592</v>
      </c>
      <c r="D92" s="2" t="str">
        <f t="shared" si="0"/>
        <v>Error?</v>
      </c>
    </row>
    <row r="93" spans="1:4" x14ac:dyDescent="0.2">
      <c r="A93" s="5">
        <v>32</v>
      </c>
      <c r="B93" s="138">
        <f>'Assets-Liab 5-6'!C41</f>
        <v>416592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436884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436884</v>
      </c>
      <c r="D123" s="2" t="str">
        <f t="shared" si="0"/>
        <v>Error?</v>
      </c>
    </row>
    <row r="124" spans="1:4" x14ac:dyDescent="0.2">
      <c r="A124" s="5">
        <v>63</v>
      </c>
      <c r="B124" s="138">
        <f>'Assets-Liab 5-6'!D41</f>
        <v>436884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14</v>
      </c>
      <c r="D140" s="2" t="str">
        <f t="shared" si="1"/>
        <v>Error?</v>
      </c>
    </row>
    <row r="141" spans="1:4" x14ac:dyDescent="0.2">
      <c r="A141" s="5">
        <v>80</v>
      </c>
      <c r="B141" s="138">
        <f>'Assets-Liab 5-6'!E41</f>
        <v>14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337010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337010</v>
      </c>
      <c r="D170" s="2" t="str">
        <f t="shared" si="1"/>
        <v>Error?</v>
      </c>
    </row>
    <row r="171" spans="1:4" x14ac:dyDescent="0.2">
      <c r="A171" s="5">
        <v>110</v>
      </c>
      <c r="B171" s="138">
        <f>'Assets-Liab 5-6'!F41</f>
        <v>337010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245351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214364</v>
      </c>
      <c r="D189" s="2" t="str">
        <f t="shared" si="1"/>
        <v>Error?</v>
      </c>
    </row>
    <row r="190" spans="1:4" x14ac:dyDescent="0.2">
      <c r="A190" s="5">
        <v>129</v>
      </c>
      <c r="B190" s="138">
        <f>'Assets-Liab 5-6'!G41</f>
        <v>245351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649103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649103</v>
      </c>
      <c r="D212" s="2" t="str">
        <f t="shared" si="2"/>
        <v>Error?</v>
      </c>
    </row>
    <row r="213" spans="1:4" x14ac:dyDescent="0.2">
      <c r="A213" s="12">
        <v>152</v>
      </c>
      <c r="B213" s="138">
        <f>'Assets-Liab 5-6'!H41</f>
        <v>649103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104174</v>
      </c>
      <c r="D273" s="2" t="str">
        <f t="shared" si="3"/>
        <v>Error?</v>
      </c>
    </row>
    <row r="274" spans="1:4" x14ac:dyDescent="0.2">
      <c r="A274" s="5">
        <v>213</v>
      </c>
      <c r="B274" s="138">
        <f>'Assets-Liab 5-6'!M17</f>
        <v>6942829</v>
      </c>
      <c r="D274" s="2" t="str">
        <f t="shared" si="3"/>
        <v>Error?</v>
      </c>
    </row>
    <row r="275" spans="1:4" x14ac:dyDescent="0.2">
      <c r="A275" s="5">
        <v>214</v>
      </c>
      <c r="B275" s="138">
        <f>'Assets-Liab 5-6'!M18</f>
        <v>285673</v>
      </c>
      <c r="D275" s="2" t="str">
        <f t="shared" si="3"/>
        <v>Error?</v>
      </c>
    </row>
    <row r="276" spans="1:4" x14ac:dyDescent="0.2">
      <c r="A276" s="5">
        <v>215</v>
      </c>
      <c r="B276" s="138">
        <f>'Assets-Liab 5-6'!M19</f>
        <v>1176770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8509446</v>
      </c>
      <c r="C279" s="2" t="s">
        <v>594</v>
      </c>
      <c r="D279" s="2" t="str">
        <f t="shared" si="3"/>
        <v>Error?</v>
      </c>
    </row>
    <row r="280" spans="1:4" x14ac:dyDescent="0.2">
      <c r="A280" s="5">
        <v>219</v>
      </c>
      <c r="B280" s="138">
        <f>'Assets-Liab 5-6'!M40</f>
        <v>8509446</v>
      </c>
      <c r="D280" s="2" t="str">
        <f t="shared" si="3"/>
        <v>Error?</v>
      </c>
    </row>
    <row r="281" spans="1:4" x14ac:dyDescent="0.2">
      <c r="A281" s="5">
        <v>220</v>
      </c>
      <c r="B281" s="138">
        <f>'Assets-Liab 5-6'!M41</f>
        <v>8509446</v>
      </c>
      <c r="C281" s="2" t="s">
        <v>594</v>
      </c>
      <c r="D281" s="2" t="str">
        <f t="shared" si="3"/>
        <v>Error?</v>
      </c>
    </row>
    <row r="282" spans="1:4" x14ac:dyDescent="0.2">
      <c r="A282" s="5">
        <v>221</v>
      </c>
      <c r="B282" s="138">
        <f>'Assets-Liab 5-6'!N21</f>
        <v>14</v>
      </c>
      <c r="D282" s="2" t="str">
        <f t="shared" si="3"/>
        <v>Error?</v>
      </c>
    </row>
    <row r="283" spans="1:4" x14ac:dyDescent="0.2">
      <c r="A283" s="5">
        <v>222</v>
      </c>
      <c r="B283" s="138">
        <f>'Assets-Liab 5-6'!N22</f>
        <v>642786</v>
      </c>
      <c r="D283" s="2" t="str">
        <f t="shared" si="3"/>
        <v>Error?</v>
      </c>
    </row>
    <row r="284" spans="1:4" x14ac:dyDescent="0.2">
      <c r="A284" s="5">
        <v>223</v>
      </c>
      <c r="B284" s="138">
        <f>'Assets-Liab 5-6'!N23</f>
        <v>642800</v>
      </c>
      <c r="C284" s="2" t="s">
        <v>594</v>
      </c>
      <c r="D284" s="2" t="str">
        <f t="shared" si="3"/>
        <v>Error?</v>
      </c>
    </row>
    <row r="285" spans="1:4" x14ac:dyDescent="0.2">
      <c r="A285" s="5">
        <v>224</v>
      </c>
      <c r="B285" s="138">
        <f>'Assets-Liab 5-6'!N36</f>
        <v>642800</v>
      </c>
      <c r="D285" s="2" t="str">
        <f t="shared" si="3"/>
        <v>Error?</v>
      </c>
    </row>
    <row r="286" spans="1:4" x14ac:dyDescent="0.2">
      <c r="A286" s="10">
        <v>225</v>
      </c>
      <c r="D286" s="2" t="str">
        <f t="shared" si="3"/>
        <v>OK</v>
      </c>
    </row>
    <row r="287" spans="1:4" x14ac:dyDescent="0.2">
      <c r="A287" s="5">
        <v>226</v>
      </c>
      <c r="B287" s="138">
        <f>'Assets-Liab 5-6'!N37</f>
        <v>642800</v>
      </c>
      <c r="C287" s="2" t="s">
        <v>594</v>
      </c>
      <c r="D287" s="2" t="str">
        <f t="shared" si="3"/>
        <v>Error?</v>
      </c>
    </row>
    <row r="288" spans="1:4" x14ac:dyDescent="0.2">
      <c r="A288" s="5">
        <v>227</v>
      </c>
      <c r="B288" s="138">
        <f>'Assets-Liab 5-6'!N41</f>
        <v>642800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1499846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21903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1786877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46238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58924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105162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360</v>
      </c>
      <c r="D732" s="2" t="str">
        <f t="shared" si="10"/>
        <v>Error?</v>
      </c>
    </row>
    <row r="733" spans="1:4" x14ac:dyDescent="0.2">
      <c r="A733" s="5">
        <v>672</v>
      </c>
      <c r="B733" s="138">
        <f>'Expenditures 15-22'!C50</f>
        <v>187635</v>
      </c>
      <c r="D733" s="2" t="str">
        <f t="shared" si="10"/>
        <v>Error?</v>
      </c>
    </row>
    <row r="734" spans="1:4" x14ac:dyDescent="0.2">
      <c r="A734" s="5">
        <v>673</v>
      </c>
      <c r="B734" s="138">
        <f>'Expenditures 15-22'!C53</f>
        <v>187995</v>
      </c>
      <c r="C734" s="2" t="s">
        <v>594</v>
      </c>
      <c r="D734" s="2" t="str">
        <f t="shared" si="10"/>
        <v>Error?</v>
      </c>
    </row>
    <row r="735" spans="1:4" x14ac:dyDescent="0.2">
      <c r="A735" s="5">
        <v>674</v>
      </c>
      <c r="B735" s="138">
        <f>'Expenditures 15-22'!C55</f>
        <v>225861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225861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11324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73570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84894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603912</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2390789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377272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1633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441000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12453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17249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29702</v>
      </c>
      <c r="C785" s="2" t="s">
        <v>594</v>
      </c>
      <c r="D785" s="2" t="str">
        <f t="shared" si="11"/>
        <v>Error?</v>
      </c>
    </row>
    <row r="786" spans="1:4" x14ac:dyDescent="0.2">
      <c r="A786" s="5">
        <v>725</v>
      </c>
      <c r="B786" s="138">
        <f>'Expenditures 15-22'!D44</f>
        <v>4800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4800</v>
      </c>
      <c r="C789" s="2" t="s">
        <v>594</v>
      </c>
      <c r="D789" s="2" t="str">
        <f t="shared" si="11"/>
        <v>Error?</v>
      </c>
    </row>
    <row r="790" spans="1:4" x14ac:dyDescent="0.2">
      <c r="A790" s="5">
        <v>729</v>
      </c>
      <c r="B790" s="138">
        <f>'Expenditures 15-22'!D49</f>
        <v>46</v>
      </c>
      <c r="D790" s="2" t="str">
        <f t="shared" si="11"/>
        <v>Error?</v>
      </c>
    </row>
    <row r="791" spans="1:4" x14ac:dyDescent="0.2">
      <c r="A791" s="5">
        <v>730</v>
      </c>
      <c r="B791" s="138">
        <f>'Expenditures 15-22'!D50</f>
        <v>49666</v>
      </c>
      <c r="D791" s="2" t="str">
        <f t="shared" si="11"/>
        <v>Error?</v>
      </c>
    </row>
    <row r="792" spans="1:4" x14ac:dyDescent="0.2">
      <c r="A792" s="5">
        <v>731</v>
      </c>
      <c r="B792" s="138">
        <f>'Expenditures 15-22'!D53</f>
        <v>49712</v>
      </c>
      <c r="C792" s="2" t="s">
        <v>594</v>
      </c>
      <c r="D792" s="2" t="str">
        <f t="shared" si="11"/>
        <v>Error?</v>
      </c>
    </row>
    <row r="793" spans="1:4" x14ac:dyDescent="0.2">
      <c r="A793" s="5">
        <v>732</v>
      </c>
      <c r="B793" s="138">
        <f>'Expenditures 15-22'!D55</f>
        <v>83557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83557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12695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12695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180466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621466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19697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9656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42152</v>
      </c>
      <c r="C836" s="2" t="s">
        <v>594</v>
      </c>
      <c r="D836" s="2" t="str">
        <f t="shared" si="12"/>
        <v>Error?</v>
      </c>
    </row>
    <row r="837" spans="1:4" x14ac:dyDescent="0.2">
      <c r="A837" s="5">
        <v>776</v>
      </c>
      <c r="B837" s="138">
        <f>'Expenditures 15-22'!E36</f>
        <v>75577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373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76170</v>
      </c>
      <c r="C843" s="2" t="s">
        <v>594</v>
      </c>
      <c r="D843" s="2" t="str">
        <f t="shared" si="12"/>
        <v>Error?</v>
      </c>
    </row>
    <row r="844" spans="1:4" x14ac:dyDescent="0.2">
      <c r="A844" s="5">
        <v>783</v>
      </c>
      <c r="B844" s="138">
        <f>'Expenditures 15-22'!E44</f>
        <v>3124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9200</v>
      </c>
      <c r="D846" s="2" t="str">
        <f t="shared" si="12"/>
        <v>Error?</v>
      </c>
    </row>
    <row r="847" spans="1:4" x14ac:dyDescent="0.2">
      <c r="A847" s="5">
        <v>786</v>
      </c>
      <c r="B847" s="138">
        <f>'Expenditures 15-22'!E47</f>
        <v>12324</v>
      </c>
      <c r="C847" s="2" t="s">
        <v>594</v>
      </c>
      <c r="D847" s="2" t="str">
        <f t="shared" si="12"/>
        <v>Error?</v>
      </c>
    </row>
    <row r="848" spans="1:4" x14ac:dyDescent="0.2">
      <c r="A848" s="5">
        <v>787</v>
      </c>
      <c r="B848" s="138">
        <f>'Expenditures 15-22'!E49</f>
        <v>10567</v>
      </c>
      <c r="D848" s="2" t="str">
        <f t="shared" si="12"/>
        <v>Error?</v>
      </c>
    </row>
    <row r="849" spans="1:4" x14ac:dyDescent="0.2">
      <c r="A849" s="5">
        <v>788</v>
      </c>
      <c r="B849" s="138">
        <f>'Expenditures 15-22'!E50</f>
        <v>98</v>
      </c>
      <c r="D849" s="2" t="str">
        <f t="shared" si="12"/>
        <v>Error?</v>
      </c>
    </row>
    <row r="850" spans="1:4" x14ac:dyDescent="0.2">
      <c r="A850" s="5">
        <v>789</v>
      </c>
      <c r="B850" s="138">
        <f>'Expenditures 15-22'!E53</f>
        <v>14501</v>
      </c>
      <c r="C850" s="2" t="s">
        <v>594</v>
      </c>
      <c r="D850" s="2" t="str">
        <f t="shared" si="12"/>
        <v>Error?</v>
      </c>
    </row>
    <row r="851" spans="1:4" x14ac:dyDescent="0.2">
      <c r="A851" s="5">
        <v>790</v>
      </c>
      <c r="B851" s="138">
        <f>'Expenditures 15-22'!E55</f>
        <v>406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2090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2090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12000</v>
      </c>
      <c r="D870" s="2" t="str">
        <f t="shared" si="12"/>
        <v>Error?</v>
      </c>
    </row>
    <row r="871" spans="1:4" x14ac:dyDescent="0.2">
      <c r="A871" s="5">
        <v>810</v>
      </c>
      <c r="B871" s="138">
        <f>'Expenditures 15-22'!E74</f>
        <v>117491</v>
      </c>
      <c r="C871" s="2" t="s">
        <v>594</v>
      </c>
      <c r="D871" s="2" t="str">
        <f t="shared" si="12"/>
        <v>Error?</v>
      </c>
    </row>
    <row r="872" spans="1:4" x14ac:dyDescent="0.2">
      <c r="A872" s="5">
        <v>811</v>
      </c>
      <c r="B872" s="138">
        <f>'Expenditures 15-22'!E75</f>
        <v>3338</v>
      </c>
      <c r="D872" s="2" t="str">
        <f t="shared" si="12"/>
        <v>Error?</v>
      </c>
    </row>
    <row r="873" spans="1:4" x14ac:dyDescent="0.2">
      <c r="A873" s="5">
        <v>812</v>
      </c>
      <c r="B873" s="138">
        <f>'Expenditures 15-22'!E114</f>
        <v>162981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38874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6232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93804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910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551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1461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2807</v>
      </c>
      <c r="D906" s="2" t="str">
        <f t="shared" si="13"/>
        <v>Error?</v>
      </c>
    </row>
    <row r="907" spans="1:4" x14ac:dyDescent="0.2">
      <c r="A907" s="5">
        <v>846</v>
      </c>
      <c r="B907" s="138">
        <f>'Expenditures 15-22'!F50</f>
        <v>814</v>
      </c>
      <c r="D907" s="2" t="str">
        <f t="shared" si="13"/>
        <v>Error?</v>
      </c>
    </row>
    <row r="908" spans="1:4" x14ac:dyDescent="0.2">
      <c r="A908" s="5">
        <v>847</v>
      </c>
      <c r="B908" s="138">
        <f>'Expenditures 15-22'!F53</f>
        <v>3621</v>
      </c>
      <c r="C908" s="2" t="s">
        <v>594</v>
      </c>
      <c r="D908" s="2" t="str">
        <f t="shared" si="13"/>
        <v>Error?</v>
      </c>
    </row>
    <row r="909" spans="1:4" x14ac:dyDescent="0.2">
      <c r="A909" s="5">
        <v>848</v>
      </c>
      <c r="B909" s="138">
        <f>'Expenditures 15-22'!F55</f>
        <v>842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842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84093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84093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90017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183821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1180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2727</v>
      </c>
      <c r="D1022" s="2" t="str">
        <f t="shared" si="14"/>
        <v>Error?</v>
      </c>
    </row>
    <row r="1023" spans="1:4" x14ac:dyDescent="0.2">
      <c r="A1023" s="5">
        <v>962</v>
      </c>
      <c r="B1023" s="138">
        <f>'Expenditures 15-22'!H50</f>
        <v>2226</v>
      </c>
      <c r="D1023" s="2" t="str">
        <f t="shared" ref="D1023:D1086" si="15">IF(ISBLANK(B1023),"OK",IF(A1023-B1023=0,"OK","Error?"))</f>
        <v>Error?</v>
      </c>
    </row>
    <row r="1024" spans="1:4" x14ac:dyDescent="0.2">
      <c r="A1024" s="5">
        <v>963</v>
      </c>
      <c r="B1024" s="138">
        <f>'Expenditures 15-22'!H53</f>
        <v>4953</v>
      </c>
      <c r="C1024" s="2" t="s">
        <v>594</v>
      </c>
      <c r="D1024" s="2" t="str">
        <f t="shared" si="15"/>
        <v>Error?</v>
      </c>
    </row>
    <row r="1025" spans="1:4" x14ac:dyDescent="0.2">
      <c r="A1025" s="5">
        <v>964</v>
      </c>
      <c r="B1025" s="138">
        <f>'Expenditures 15-22'!H55</f>
        <v>825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825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1411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1411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7189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67412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75781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1935758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40535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2408545</v>
      </c>
      <c r="C1108" s="2" t="s">
        <v>594</v>
      </c>
      <c r="D1108" s="2" t="str">
        <f t="shared" si="16"/>
        <v>Error?</v>
      </c>
    </row>
    <row r="1109" spans="1:4" x14ac:dyDescent="0.2">
      <c r="A1109" s="5">
        <v>1048</v>
      </c>
      <c r="B1109" s="138">
        <f>'Expenditures 15-22'!K36</f>
        <v>75577</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59821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77097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212495</v>
      </c>
      <c r="C1115" s="2" t="s">
        <v>594</v>
      </c>
      <c r="D1115" s="2" t="str">
        <f t="shared" si="16"/>
        <v>Error?</v>
      </c>
    </row>
    <row r="1116" spans="1:4" x14ac:dyDescent="0.2">
      <c r="A1116" s="5">
        <v>1055</v>
      </c>
      <c r="B1116" s="138">
        <f>'Expenditures 15-22'!K44</f>
        <v>7924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9200</v>
      </c>
      <c r="C1118" s="2" t="s">
        <v>594</v>
      </c>
      <c r="D1118" s="2" t="str">
        <f t="shared" si="16"/>
        <v>Error?</v>
      </c>
    </row>
    <row r="1119" spans="1:4" x14ac:dyDescent="0.2">
      <c r="A1119" s="5">
        <v>1058</v>
      </c>
      <c r="B1119" s="138">
        <f>'Expenditures 15-22'!K47</f>
        <v>17124</v>
      </c>
      <c r="C1119" s="2" t="s">
        <v>594</v>
      </c>
      <c r="D1119" s="2" t="str">
        <f t="shared" si="16"/>
        <v>Error?</v>
      </c>
    </row>
    <row r="1120" spans="1:4" x14ac:dyDescent="0.2">
      <c r="A1120" s="5">
        <v>1059</v>
      </c>
      <c r="B1120" s="138">
        <f>'Expenditures 15-22'!K49</f>
        <v>16507</v>
      </c>
      <c r="C1120" s="2" t="s">
        <v>594</v>
      </c>
      <c r="D1120" s="2" t="str">
        <f t="shared" si="16"/>
        <v>Error?</v>
      </c>
    </row>
    <row r="1121" spans="1:4" x14ac:dyDescent="0.2">
      <c r="A1121" s="5">
        <v>1060</v>
      </c>
      <c r="B1121" s="138">
        <f>'Expenditures 15-22'!K50</f>
        <v>242123</v>
      </c>
      <c r="C1121" s="2" t="s">
        <v>594</v>
      </c>
      <c r="D1121" s="2" t="str">
        <f t="shared" si="16"/>
        <v>Error?</v>
      </c>
    </row>
    <row r="1122" spans="1:4" x14ac:dyDescent="0.2">
      <c r="A1122" s="5">
        <v>1061</v>
      </c>
      <c r="B1122" s="138">
        <f>'Expenditures 15-22'!K53</f>
        <v>262466</v>
      </c>
      <c r="C1122" s="2" t="s">
        <v>594</v>
      </c>
      <c r="D1122" s="2" t="str">
        <f t="shared" si="16"/>
        <v>Error?</v>
      </c>
    </row>
    <row r="1123" spans="1:4" x14ac:dyDescent="0.2">
      <c r="A1123" s="5">
        <v>1062</v>
      </c>
      <c r="B1123" s="138">
        <f>'Expenditures 15-22'!K55</f>
        <v>311491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311491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11324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177805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189129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12000</v>
      </c>
      <c r="C1142" s="2" t="s">
        <v>594</v>
      </c>
      <c r="D1142" s="2" t="str">
        <f t="shared" si="16"/>
        <v>Error?</v>
      </c>
    </row>
    <row r="1143" spans="1:4" x14ac:dyDescent="0.2">
      <c r="A1143" s="5">
        <v>1082</v>
      </c>
      <c r="B1143" s="138">
        <f>'Expenditures 15-22'!K74</f>
        <v>1004705</v>
      </c>
      <c r="C1143" s="2" t="s">
        <v>594</v>
      </c>
      <c r="D1143" s="2" t="str">
        <f t="shared" si="16"/>
        <v>Error?</v>
      </c>
    </row>
    <row r="1144" spans="1:4" x14ac:dyDescent="0.2">
      <c r="A1144" s="5">
        <v>1083</v>
      </c>
      <c r="B1144" s="138">
        <f>'Expenditures 15-22'!K75</f>
        <v>3338</v>
      </c>
      <c r="C1144" s="2" t="s">
        <v>594</v>
      </c>
      <c r="D1144" s="2" t="str">
        <f t="shared" si="16"/>
        <v>Error?</v>
      </c>
    </row>
    <row r="1145" spans="1:4" x14ac:dyDescent="0.2">
      <c r="A1145" s="5">
        <v>1084</v>
      </c>
      <c r="B1145" s="138">
        <f>'Expenditures 15-22'!K102</f>
        <v>67412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3484000</v>
      </c>
      <c r="C1152" s="2" t="s">
        <v>594</v>
      </c>
      <c r="D1152" s="2" t="str">
        <f t="shared" si="17"/>
        <v>Error?</v>
      </c>
    </row>
    <row r="1153" spans="1:4" x14ac:dyDescent="0.2">
      <c r="A1153" s="5">
        <v>1092</v>
      </c>
      <c r="B1153" s="138">
        <f>'Expenditures 15-22'!K115</f>
        <v>115586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178966</v>
      </c>
      <c r="D1221" s="2" t="str">
        <f t="shared" si="18"/>
        <v>Error?</v>
      </c>
    </row>
    <row r="1222" spans="1:4" x14ac:dyDescent="0.2">
      <c r="A1222" s="10">
        <v>1161</v>
      </c>
      <c r="D1222" s="2" t="str">
        <f t="shared" si="18"/>
        <v>OK</v>
      </c>
    </row>
    <row r="1223" spans="1:4" x14ac:dyDescent="0.2">
      <c r="A1223" s="5">
        <v>1162</v>
      </c>
      <c r="B1223" s="138">
        <f>'Expenditures 15-22'!C127</f>
        <v>178966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178966</v>
      </c>
      <c r="C1225" s="2" t="s">
        <v>594</v>
      </c>
      <c r="D1225" s="2" t="str">
        <f t="shared" si="18"/>
        <v>Error?</v>
      </c>
    </row>
    <row r="1226" spans="1:4" x14ac:dyDescent="0.2">
      <c r="A1226" s="5">
        <v>1165</v>
      </c>
      <c r="B1226" s="138">
        <f>'Expenditures 15-22'!C151</f>
        <v>178966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45364</v>
      </c>
      <c r="D1229" s="2" t="str">
        <f t="shared" si="18"/>
        <v>Error?</v>
      </c>
    </row>
    <row r="1230" spans="1:4" x14ac:dyDescent="0.2">
      <c r="A1230" s="10">
        <v>1169</v>
      </c>
      <c r="D1230" s="2" t="str">
        <f t="shared" si="18"/>
        <v>OK</v>
      </c>
    </row>
    <row r="1231" spans="1:4" x14ac:dyDescent="0.2">
      <c r="A1231" s="5">
        <v>1170</v>
      </c>
      <c r="B1231" s="138">
        <f>'Expenditures 15-22'!D127</f>
        <v>45364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45364</v>
      </c>
      <c r="C1233" s="2" t="s">
        <v>594</v>
      </c>
      <c r="D1233" s="2" t="str">
        <f t="shared" si="18"/>
        <v>Error?</v>
      </c>
    </row>
    <row r="1234" spans="1:4" x14ac:dyDescent="0.2">
      <c r="A1234" s="5">
        <v>1173</v>
      </c>
      <c r="B1234" s="138">
        <f>'Expenditures 15-22'!D151</f>
        <v>45364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37782</v>
      </c>
      <c r="D1237" s="2" t="str">
        <f t="shared" si="18"/>
        <v>Error?</v>
      </c>
    </row>
    <row r="1238" spans="1:4" x14ac:dyDescent="0.2">
      <c r="A1238" s="10">
        <v>1177</v>
      </c>
      <c r="D1238" s="2" t="str">
        <f t="shared" si="18"/>
        <v>OK</v>
      </c>
    </row>
    <row r="1239" spans="1:4" x14ac:dyDescent="0.2">
      <c r="A1239" s="5">
        <v>1178</v>
      </c>
      <c r="B1239" s="138">
        <f>'Expenditures 15-22'!E127</f>
        <v>37782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37782</v>
      </c>
      <c r="C1241" s="2" t="s">
        <v>594</v>
      </c>
      <c r="D1241" s="2" t="str">
        <f t="shared" si="18"/>
        <v>Error?</v>
      </c>
    </row>
    <row r="1242" spans="1:4" x14ac:dyDescent="0.2">
      <c r="A1242" s="5">
        <v>1181</v>
      </c>
      <c r="B1242" s="138">
        <f>'Expenditures 15-22'!E151</f>
        <v>37782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139184</v>
      </c>
      <c r="D1245" s="2" t="str">
        <f t="shared" si="18"/>
        <v>Error?</v>
      </c>
    </row>
    <row r="1246" spans="1:4" x14ac:dyDescent="0.2">
      <c r="A1246" s="10">
        <v>1185</v>
      </c>
      <c r="D1246" s="2" t="str">
        <f t="shared" si="18"/>
        <v>OK</v>
      </c>
    </row>
    <row r="1247" spans="1:4" x14ac:dyDescent="0.2">
      <c r="A1247" s="5">
        <v>1186</v>
      </c>
      <c r="B1247" s="138">
        <f>'Expenditures 15-22'!F127</f>
        <v>139184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139184</v>
      </c>
      <c r="C1249" s="2" t="s">
        <v>594</v>
      </c>
      <c r="D1249" s="2" t="str">
        <f t="shared" si="18"/>
        <v>Error?</v>
      </c>
    </row>
    <row r="1250" spans="1:4" x14ac:dyDescent="0.2">
      <c r="A1250" s="5">
        <v>1189</v>
      </c>
      <c r="B1250" s="138">
        <f>'Expenditures 15-22'!F151</f>
        <v>139184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401296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401296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401296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401296</v>
      </c>
      <c r="C1288" s="2" t="s">
        <v>594</v>
      </c>
      <c r="D1288" s="2" t="str">
        <f t="shared" si="19"/>
        <v>Error?</v>
      </c>
    </row>
    <row r="1289" spans="1:4" x14ac:dyDescent="0.2">
      <c r="A1289" s="5">
        <v>1228</v>
      </c>
      <c r="B1289" s="138">
        <f>'Expenditures 15-22'!K152</f>
        <v>-141475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30739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128600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159339</v>
      </c>
      <c r="C1317" s="2" t="s">
        <v>594</v>
      </c>
      <c r="D1317" s="2" t="str">
        <f t="shared" si="19"/>
        <v>Error?</v>
      </c>
    </row>
    <row r="1318" spans="1:4" x14ac:dyDescent="0.2">
      <c r="A1318" s="5">
        <v>1257</v>
      </c>
      <c r="B1318" s="138">
        <f>'Expenditures 15-22'!H174</f>
        <v>159339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30739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128600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159339</v>
      </c>
      <c r="C1331" s="2" t="s">
        <v>594</v>
      </c>
      <c r="D1331" s="2" t="str">
        <f t="shared" si="19"/>
        <v>Error?</v>
      </c>
    </row>
    <row r="1332" spans="1:4" x14ac:dyDescent="0.2">
      <c r="A1332" s="5">
        <v>1271</v>
      </c>
      <c r="B1332" s="138">
        <f>'Expenditures 15-22'!K174</f>
        <v>159339</v>
      </c>
      <c r="C1332" s="2" t="s">
        <v>594</v>
      </c>
      <c r="D1332" s="2" t="str">
        <f t="shared" si="19"/>
        <v>Error?</v>
      </c>
    </row>
    <row r="1333" spans="1:4" x14ac:dyDescent="0.2">
      <c r="A1333" s="5">
        <v>1272</v>
      </c>
      <c r="B1333" s="138">
        <f>'Expenditures 15-22'!K175</f>
        <v>-485</v>
      </c>
      <c r="C1333" s="2" t="s">
        <v>594</v>
      </c>
      <c r="D1333" s="2" t="str">
        <f t="shared" si="19"/>
        <v>Error?</v>
      </c>
    </row>
    <row r="1334" spans="1:4" x14ac:dyDescent="0.2">
      <c r="A1334" s="10">
        <v>1273</v>
      </c>
      <c r="D1334" s="2" t="str">
        <f t="shared" si="19"/>
        <v>OK</v>
      </c>
    </row>
    <row r="1335" spans="1:4" x14ac:dyDescent="0.2">
      <c r="A1335" s="5">
        <v>1274</v>
      </c>
      <c r="B1335" s="138">
        <f>'Expenditures 15-22'!C182</f>
        <v>12877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12877</v>
      </c>
      <c r="C1339" s="2" t="s">
        <v>594</v>
      </c>
      <c r="D1339" s="2" t="str">
        <f t="shared" si="19"/>
        <v>Error?</v>
      </c>
    </row>
    <row r="1340" spans="1:4" x14ac:dyDescent="0.2">
      <c r="A1340" s="5">
        <v>1279</v>
      </c>
      <c r="B1340" s="138">
        <f>'Expenditures 15-22'!C210</f>
        <v>12877</v>
      </c>
      <c r="C1340" s="2" t="s">
        <v>594</v>
      </c>
      <c r="D1340" s="2" t="str">
        <f t="shared" si="19"/>
        <v>Error?</v>
      </c>
    </row>
    <row r="1341" spans="1:4" x14ac:dyDescent="0.2">
      <c r="A1341" s="5">
        <v>1280</v>
      </c>
      <c r="B1341" s="138">
        <f>'Expenditures 15-22'!D182</f>
        <v>1647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1647</v>
      </c>
      <c r="C1345" s="2" t="s">
        <v>594</v>
      </c>
      <c r="D1345" s="2" t="str">
        <f t="shared" si="20"/>
        <v>Error?</v>
      </c>
    </row>
    <row r="1346" spans="1:4" x14ac:dyDescent="0.2">
      <c r="A1346" s="5">
        <v>1285</v>
      </c>
      <c r="B1346" s="138">
        <f>'Expenditures 15-22'!D210</f>
        <v>1647</v>
      </c>
      <c r="C1346" s="2" t="s">
        <v>594</v>
      </c>
      <c r="D1346" s="2" t="str">
        <f t="shared" si="20"/>
        <v>Error?</v>
      </c>
    </row>
    <row r="1347" spans="1:4" x14ac:dyDescent="0.2">
      <c r="A1347" s="5">
        <v>1286</v>
      </c>
      <c r="B1347" s="138">
        <f>'Expenditures 15-22'!E182</f>
        <v>372126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372126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372126</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386650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386650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386650</v>
      </c>
      <c r="C1388" s="2" t="s">
        <v>594</v>
      </c>
      <c r="D1388" s="2" t="str">
        <f t="shared" si="20"/>
        <v>Error?</v>
      </c>
    </row>
    <row r="1389" spans="1:4" x14ac:dyDescent="0.2">
      <c r="A1389" s="5">
        <v>1328</v>
      </c>
      <c r="B1389" s="138">
        <f>'Expenditures 15-22'!K211</f>
        <v>87485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1146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42427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11001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845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11846</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5</v>
      </c>
      <c r="D1422" s="2" t="str">
        <f t="shared" si="21"/>
        <v>Error?</v>
      </c>
    </row>
    <row r="1423" spans="1:4" x14ac:dyDescent="0.2">
      <c r="A1423" s="5">
        <v>1362</v>
      </c>
      <c r="B1423" s="138">
        <f>'Expenditures 15-22'!D246</f>
        <v>13357</v>
      </c>
      <c r="D1423" s="2" t="str">
        <f t="shared" si="21"/>
        <v>Error?</v>
      </c>
    </row>
    <row r="1424" spans="1:4" x14ac:dyDescent="0.2">
      <c r="A1424" s="5">
        <v>1363</v>
      </c>
      <c r="B1424" s="138">
        <f>'Expenditures 15-22'!D257</f>
        <v>13362</v>
      </c>
      <c r="C1424" s="2" t="s">
        <v>594</v>
      </c>
      <c r="D1424" s="2" t="str">
        <f t="shared" si="21"/>
        <v>Error?</v>
      </c>
    </row>
    <row r="1425" spans="1:4" x14ac:dyDescent="0.2">
      <c r="A1425" s="5">
        <v>1364</v>
      </c>
      <c r="B1425" s="138">
        <f>'Expenditures 15-22'!D259</f>
        <v>16401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16401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41692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18067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59759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101368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143795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1146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42427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11001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845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11846</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5</v>
      </c>
      <c r="C1486" s="2" t="s">
        <v>594</v>
      </c>
      <c r="D1486" s="2" t="str">
        <f t="shared" si="22"/>
        <v>Error?</v>
      </c>
    </row>
    <row r="1487" spans="1:4" x14ac:dyDescent="0.2">
      <c r="A1487" s="5">
        <v>1426</v>
      </c>
      <c r="B1487" s="138">
        <f>'Expenditures 15-22'!K246</f>
        <v>13357</v>
      </c>
      <c r="C1487" s="2" t="s">
        <v>594</v>
      </c>
      <c r="D1487" s="2" t="str">
        <f t="shared" si="22"/>
        <v>Error?</v>
      </c>
    </row>
    <row r="1488" spans="1:4" x14ac:dyDescent="0.2">
      <c r="A1488" s="5">
        <v>1427</v>
      </c>
      <c r="B1488" s="138">
        <f>'Expenditures 15-22'!K257</f>
        <v>13362</v>
      </c>
      <c r="C1488" s="2" t="s">
        <v>594</v>
      </c>
      <c r="D1488" s="2" t="str">
        <f t="shared" si="22"/>
        <v>Error?</v>
      </c>
    </row>
    <row r="1489" spans="1:4" x14ac:dyDescent="0.2">
      <c r="A1489" s="5">
        <v>1428</v>
      </c>
      <c r="B1489" s="138">
        <f>'Expenditures 15-22'!K259</f>
        <v>16401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16401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41692</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18067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59759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101368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143795</v>
      </c>
      <c r="C1517" s="2" t="s">
        <v>594</v>
      </c>
      <c r="D1517" s="2" t="str">
        <f t="shared" si="22"/>
        <v>Error?</v>
      </c>
    </row>
    <row r="1518" spans="1:4" x14ac:dyDescent="0.2">
      <c r="A1518" s="5">
        <v>1457</v>
      </c>
      <c r="B1518" s="138">
        <f>'Expenditures 15-22'!K296</f>
        <v>40747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900</v>
      </c>
      <c r="D1534" s="2" t="str">
        <f t="shared" si="22"/>
        <v>Error?</v>
      </c>
    </row>
    <row r="1535" spans="1:4" x14ac:dyDescent="0.2">
      <c r="A1535" s="5">
        <v>1474</v>
      </c>
      <c r="B1535" s="138">
        <f>'Expenditures 15-22'!E303</f>
        <v>1500</v>
      </c>
      <c r="C1535" s="2" t="s">
        <v>594</v>
      </c>
      <c r="D1535" s="2" t="str">
        <f t="shared" ref="D1535:D1598" si="23">IF(ISBLANK(B1535),"OK",IF(A1535-B1535=0,"OK","Error?"))</f>
        <v>Error?</v>
      </c>
    </row>
    <row r="1536" spans="1:4" x14ac:dyDescent="0.2">
      <c r="A1536" s="5">
        <v>1475</v>
      </c>
      <c r="B1536" s="138">
        <f>'Expenditures 15-22'!E312</f>
        <v>1500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975</v>
      </c>
      <c r="D1540" s="2" t="str">
        <f t="shared" si="23"/>
        <v>Error?</v>
      </c>
    </row>
    <row r="1541" spans="1:4" x14ac:dyDescent="0.2">
      <c r="A1541" s="5">
        <v>1480</v>
      </c>
      <c r="B1541" s="138">
        <f>'Expenditures 15-22'!F303</f>
        <v>975</v>
      </c>
      <c r="C1541" s="2" t="s">
        <v>594</v>
      </c>
      <c r="D1541" s="2" t="str">
        <f t="shared" si="23"/>
        <v>Error?</v>
      </c>
    </row>
    <row r="1542" spans="1:4" x14ac:dyDescent="0.2">
      <c r="A1542" s="5">
        <v>1481</v>
      </c>
      <c r="B1542" s="138">
        <f>'Expenditures 15-22'!F312</f>
        <v>975</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600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1875</v>
      </c>
      <c r="C1558" s="2" t="s">
        <v>594</v>
      </c>
      <c r="D1558" s="2" t="str">
        <f t="shared" si="23"/>
        <v>Error?</v>
      </c>
    </row>
    <row r="1559" spans="1:4" x14ac:dyDescent="0.2">
      <c r="A1559" s="5">
        <v>1498</v>
      </c>
      <c r="B1559" s="138">
        <f>'Expenditures 15-22'!K303</f>
        <v>2475</v>
      </c>
      <c r="C1559" s="2" t="s">
        <v>594</v>
      </c>
      <c r="D1559" s="2" t="str">
        <f t="shared" si="23"/>
        <v>Error?</v>
      </c>
    </row>
    <row r="1560" spans="1:4" x14ac:dyDescent="0.2">
      <c r="A1560" s="5">
        <v>1499</v>
      </c>
      <c r="B1560" s="138">
        <f>'Expenditures 15-22'!K312</f>
        <v>2475</v>
      </c>
      <c r="C1560" s="2" t="s">
        <v>594</v>
      </c>
      <c r="D1560" s="2" t="str">
        <f t="shared" si="23"/>
        <v>Error?</v>
      </c>
    </row>
    <row r="1561" spans="1:4" x14ac:dyDescent="0.2">
      <c r="A1561" s="5">
        <v>1500</v>
      </c>
      <c r="B1561" s="138">
        <f>'Expenditures 15-22'!K313</f>
        <v>249081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301006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416592</v>
      </c>
      <c r="C1630" s="2" t="s">
        <v>594</v>
      </c>
      <c r="D1630" s="2" t="str">
        <f t="shared" si="24"/>
        <v>Error?</v>
      </c>
    </row>
    <row r="1631" spans="1:4" x14ac:dyDescent="0.2">
      <c r="A1631" s="5">
        <v>1570</v>
      </c>
      <c r="B1631" s="138">
        <f>'Acct Summary 7-8'!D79</f>
        <v>578359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436884</v>
      </c>
      <c r="C1644" s="2" t="s">
        <v>594</v>
      </c>
      <c r="D1644" s="2" t="str">
        <f t="shared" si="24"/>
        <v>Error?</v>
      </c>
    </row>
    <row r="1645" spans="1:4" x14ac:dyDescent="0.2">
      <c r="A1645" s="5">
        <v>1584</v>
      </c>
      <c r="B1645" s="138">
        <f>'Acct Summary 7-8'!E79</f>
        <v>499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v>
      </c>
      <c r="C1658" s="2" t="s">
        <v>594</v>
      </c>
      <c r="D1658" s="2" t="str">
        <f t="shared" si="24"/>
        <v>Error?</v>
      </c>
    </row>
    <row r="1659" spans="1:4" x14ac:dyDescent="0.2">
      <c r="A1659" s="5">
        <v>1598</v>
      </c>
      <c r="B1659" s="138">
        <f>'Acct Summary 7-8'!F79</f>
        <v>249525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337010</v>
      </c>
      <c r="C1672" s="2" t="s">
        <v>594</v>
      </c>
      <c r="D1672" s="2" t="str">
        <f t="shared" si="25"/>
        <v>Error?</v>
      </c>
    </row>
    <row r="1673" spans="1:4" x14ac:dyDescent="0.2">
      <c r="A1673" s="5">
        <v>1612</v>
      </c>
      <c r="B1673" s="138">
        <f>'Acct Summary 7-8'!G79</f>
        <v>204604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245351</v>
      </c>
      <c r="C1686" s="2" t="s">
        <v>594</v>
      </c>
      <c r="D1686" s="2" t="str">
        <f t="shared" si="25"/>
        <v>Error?</v>
      </c>
    </row>
    <row r="1687" spans="1:4" x14ac:dyDescent="0.2">
      <c r="A1687" s="5">
        <v>1626</v>
      </c>
      <c r="B1687" s="138">
        <f>'Acct Summary 7-8'!H79</f>
        <v>400022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649103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625348</v>
      </c>
      <c r="C1744" s="2" t="s">
        <v>594</v>
      </c>
      <c r="D1744" s="2" t="str">
        <f t="shared" si="26"/>
        <v>Error?</v>
      </c>
    </row>
    <row r="1745" spans="1:5" x14ac:dyDescent="0.2">
      <c r="A1745" s="5">
        <v>1684</v>
      </c>
      <c r="B1745" s="138">
        <f>'Tax Sched 23'!B5</f>
        <v>169931</v>
      </c>
      <c r="C1745" s="2" t="s">
        <v>594</v>
      </c>
      <c r="D1745" s="2" t="str">
        <f t="shared" si="26"/>
        <v>Error?</v>
      </c>
    </row>
    <row r="1746" spans="1:5" x14ac:dyDescent="0.2">
      <c r="A1746" s="5">
        <v>1685</v>
      </c>
      <c r="B1746" s="138">
        <f>'Tax Sched 23'!B6</f>
        <v>158851</v>
      </c>
      <c r="C1746" s="2" t="s">
        <v>594</v>
      </c>
      <c r="D1746" s="2" t="str">
        <f t="shared" si="26"/>
        <v>Error?</v>
      </c>
    </row>
    <row r="1747" spans="1:5" x14ac:dyDescent="0.2">
      <c r="A1747" s="5">
        <v>1686</v>
      </c>
      <c r="B1747" s="138">
        <f>'Tax Sched 23'!B7</f>
        <v>81567</v>
      </c>
      <c r="C1747" s="2" t="s">
        <v>594</v>
      </c>
      <c r="D1747" s="2" t="str">
        <f t="shared" si="26"/>
        <v>Error?</v>
      </c>
    </row>
    <row r="1748" spans="1:5" x14ac:dyDescent="0.2">
      <c r="A1748" s="5">
        <v>1687</v>
      </c>
      <c r="B1748" s="138">
        <f>'Tax Sched 23'!B8</f>
        <v>94889</v>
      </c>
      <c r="C1748" s="2" t="s">
        <v>594</v>
      </c>
      <c r="D1748" s="2" t="str">
        <f t="shared" si="26"/>
        <v>Error?</v>
      </c>
    </row>
    <row r="1749" spans="1:5" x14ac:dyDescent="0.2">
      <c r="A1749" s="5">
        <v>1688</v>
      </c>
      <c r="B1749" s="138">
        <f>'Tax Sched 23'!B10</f>
        <v>33986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186516</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13594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1432383</v>
      </c>
      <c r="C1759" s="2" t="s">
        <v>594</v>
      </c>
      <c r="D1759" s="2" t="str">
        <f t="shared" si="26"/>
        <v>Error?</v>
      </c>
    </row>
    <row r="1760" spans="1:5" x14ac:dyDescent="0.2">
      <c r="A1760" s="5">
        <v>1699</v>
      </c>
      <c r="B1760" s="138">
        <f>'Tax Sched 23'!D4</f>
        <v>625348</v>
      </c>
      <c r="C1760" s="2" t="s">
        <v>594</v>
      </c>
      <c r="D1760" s="2" t="str">
        <f t="shared" si="26"/>
        <v>Error?</v>
      </c>
    </row>
    <row r="1761" spans="1:5" x14ac:dyDescent="0.2">
      <c r="A1761" s="5">
        <v>1700</v>
      </c>
      <c r="B1761" s="138">
        <f>'Tax Sched 23'!D5</f>
        <v>169931</v>
      </c>
      <c r="C1761" s="2" t="s">
        <v>594</v>
      </c>
      <c r="D1761" s="2" t="str">
        <f t="shared" si="26"/>
        <v>Error?</v>
      </c>
    </row>
    <row r="1762" spans="1:5" s="8" customFormat="1" x14ac:dyDescent="0.2">
      <c r="A1762" s="5">
        <v>1701</v>
      </c>
      <c r="B1762" s="138">
        <f>'Tax Sched 23'!D6</f>
        <v>158851</v>
      </c>
      <c r="C1762" s="2" t="s">
        <v>594</v>
      </c>
      <c r="D1762" s="2" t="str">
        <f t="shared" si="26"/>
        <v>Error?</v>
      </c>
      <c r="E1762" s="9"/>
    </row>
    <row r="1763" spans="1:5" x14ac:dyDescent="0.2">
      <c r="A1763" s="5">
        <v>1702</v>
      </c>
      <c r="B1763" s="138">
        <f>'Tax Sched 23'!D7</f>
        <v>81567</v>
      </c>
      <c r="C1763" s="2" t="s">
        <v>594</v>
      </c>
      <c r="D1763" s="2" t="str">
        <f t="shared" si="26"/>
        <v>Error?</v>
      </c>
    </row>
    <row r="1764" spans="1:5" x14ac:dyDescent="0.2">
      <c r="A1764" s="5">
        <v>1703</v>
      </c>
      <c r="B1764" s="138">
        <f>'Tax Sched 23'!D8</f>
        <v>94889</v>
      </c>
      <c r="C1764" s="2" t="s">
        <v>594</v>
      </c>
      <c r="D1764" s="2" t="str">
        <f t="shared" si="26"/>
        <v>Error?</v>
      </c>
    </row>
    <row r="1765" spans="1:5" x14ac:dyDescent="0.2">
      <c r="A1765" s="5">
        <v>1704</v>
      </c>
      <c r="B1765" s="138">
        <f>'Tax Sched 23'!D10</f>
        <v>33986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186516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13594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1432383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644263</v>
      </c>
      <c r="C1792" s="2" t="s">
        <v>594</v>
      </c>
      <c r="D1792" s="2" t="str">
        <f t="shared" si="27"/>
        <v>Error?</v>
      </c>
    </row>
    <row r="1793" spans="1:4" x14ac:dyDescent="0.2">
      <c r="A1793" s="5">
        <v>1732</v>
      </c>
      <c r="B1793" s="138">
        <f>'Tax Sched 23'!F5</f>
        <v>175089</v>
      </c>
      <c r="C1793" s="2" t="s">
        <v>594</v>
      </c>
      <c r="D1793" s="2" t="str">
        <f t="shared" si="27"/>
        <v>Error?</v>
      </c>
    </row>
    <row r="1794" spans="1:4" x14ac:dyDescent="0.2">
      <c r="A1794" s="5">
        <v>1733</v>
      </c>
      <c r="B1794" s="138">
        <f>'Tax Sched 23'!F6</f>
        <v>152581</v>
      </c>
      <c r="C1794" s="2" t="s">
        <v>594</v>
      </c>
      <c r="D1794" s="2" t="str">
        <f t="shared" si="27"/>
        <v>Error?</v>
      </c>
    </row>
    <row r="1795" spans="1:4" x14ac:dyDescent="0.2">
      <c r="A1795" s="5">
        <v>1734</v>
      </c>
      <c r="B1795" s="138">
        <f>'Tax Sched 23'!F7</f>
        <v>84065</v>
      </c>
      <c r="C1795" s="2" t="s">
        <v>594</v>
      </c>
      <c r="D1795" s="2" t="str">
        <f t="shared" si="27"/>
        <v>Error?</v>
      </c>
    </row>
    <row r="1796" spans="1:4" x14ac:dyDescent="0.2">
      <c r="A1796" s="5">
        <v>1735</v>
      </c>
      <c r="B1796" s="138">
        <f>'Tax Sched 23'!F8</f>
        <v>95212</v>
      </c>
      <c r="C1796" s="2" t="s">
        <v>594</v>
      </c>
      <c r="D1796" s="2" t="str">
        <f t="shared" si="27"/>
        <v>Error?</v>
      </c>
    </row>
    <row r="1797" spans="1:4" x14ac:dyDescent="0.2">
      <c r="A1797" s="5">
        <v>1736</v>
      </c>
      <c r="B1797" s="138">
        <f>'Tax Sched 23'!F10</f>
        <v>35004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203276</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13987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1473484</v>
      </c>
      <c r="C1807" s="2" t="s">
        <v>594</v>
      </c>
      <c r="D1807" s="2" t="str">
        <f t="shared" si="27"/>
        <v>Error?</v>
      </c>
    </row>
    <row r="1808" spans="1:4" x14ac:dyDescent="0.2">
      <c r="A1808" s="5">
        <v>1747</v>
      </c>
      <c r="B1808" s="138">
        <f>'Tax Sched 23'!E4</f>
        <v>644263</v>
      </c>
      <c r="D1808" s="2" t="str">
        <f t="shared" si="27"/>
        <v>Error?</v>
      </c>
    </row>
    <row r="1809" spans="1:4" x14ac:dyDescent="0.2">
      <c r="A1809" s="5">
        <v>1748</v>
      </c>
      <c r="B1809" s="138">
        <f>'Tax Sched 23'!E5</f>
        <v>175089</v>
      </c>
      <c r="D1809" s="2" t="str">
        <f t="shared" si="27"/>
        <v>Error?</v>
      </c>
    </row>
    <row r="1810" spans="1:4" x14ac:dyDescent="0.2">
      <c r="A1810" s="5">
        <v>1749</v>
      </c>
      <c r="B1810" s="138">
        <f>'Tax Sched 23'!E6</f>
        <v>152581</v>
      </c>
      <c r="D1810" s="2" t="str">
        <f t="shared" si="27"/>
        <v>Error?</v>
      </c>
    </row>
    <row r="1811" spans="1:4" x14ac:dyDescent="0.2">
      <c r="A1811" s="5">
        <v>1750</v>
      </c>
      <c r="B1811" s="138">
        <f>'Tax Sched 23'!E7</f>
        <v>84065</v>
      </c>
      <c r="D1811" s="2" t="str">
        <f t="shared" si="27"/>
        <v>Error?</v>
      </c>
    </row>
    <row r="1812" spans="1:4" x14ac:dyDescent="0.2">
      <c r="A1812" s="5">
        <v>1751</v>
      </c>
      <c r="B1812" s="138">
        <f>'Tax Sched 23'!E8</f>
        <v>95212</v>
      </c>
      <c r="D1812" s="2" t="str">
        <f t="shared" si="27"/>
        <v>Error?</v>
      </c>
    </row>
    <row r="1813" spans="1:4" x14ac:dyDescent="0.2">
      <c r="A1813" s="5">
        <v>1752</v>
      </c>
      <c r="B1813" s="138">
        <f>'Tax Sched 23'!E10</f>
        <v>35004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203276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13987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1473484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771400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13594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13594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13594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104174</v>
      </c>
      <c r="D2008" s="2" t="str">
        <f t="shared" si="30"/>
        <v>Error?</v>
      </c>
    </row>
    <row r="2009" spans="1:4" x14ac:dyDescent="0.2">
      <c r="A2009" s="5">
        <v>1948</v>
      </c>
      <c r="B2009" s="138">
        <f>'Cap Outlay Deprec 26'!C8</f>
        <v>6942829</v>
      </c>
      <c r="D2009" s="2" t="str">
        <f t="shared" si="30"/>
        <v>Error?</v>
      </c>
    </row>
    <row r="2010" spans="1:4" x14ac:dyDescent="0.2">
      <c r="A2010" s="5">
        <v>1949</v>
      </c>
      <c r="B2010" s="138">
        <f>'Cap Outlay Deprec 26'!C10</f>
        <v>285673</v>
      </c>
      <c r="D2010" s="2" t="str">
        <f t="shared" si="30"/>
        <v>Error?</v>
      </c>
    </row>
    <row r="2011" spans="1:4" x14ac:dyDescent="0.2">
      <c r="A2011" s="5">
        <v>1950</v>
      </c>
      <c r="B2011" s="138">
        <f>'Cap Outlay Deprec 26'!C12</f>
        <v>952427</v>
      </c>
      <c r="D2011" s="2" t="str">
        <f t="shared" si="30"/>
        <v>Error?</v>
      </c>
    </row>
    <row r="2012" spans="1:4" x14ac:dyDescent="0.2">
      <c r="A2012" s="5">
        <v>1951</v>
      </c>
      <c r="B2012" s="138">
        <f>'Cap Outlay Deprec 26'!C13</f>
        <v>224343</v>
      </c>
      <c r="D2012" s="2" t="str">
        <f t="shared" si="30"/>
        <v>Error?</v>
      </c>
    </row>
    <row r="2013" spans="1:4" x14ac:dyDescent="0.2">
      <c r="A2013" s="5">
        <v>1952</v>
      </c>
      <c r="B2013" s="138">
        <f>'Cap Outlay Deprec 26'!C16</f>
        <v>8509446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104174</v>
      </c>
      <c r="C2026" s="2" t="s">
        <v>594</v>
      </c>
      <c r="D2026" s="2" t="str">
        <f t="shared" si="30"/>
        <v>Error?</v>
      </c>
    </row>
    <row r="2027" spans="1:4" x14ac:dyDescent="0.2">
      <c r="A2027" s="5">
        <v>1966</v>
      </c>
      <c r="B2027" s="138">
        <f>'Cap Outlay Deprec 26'!F8</f>
        <v>6942829</v>
      </c>
      <c r="C2027" s="2" t="s">
        <v>594</v>
      </c>
      <c r="D2027" s="2" t="str">
        <f t="shared" si="30"/>
        <v>Error?</v>
      </c>
    </row>
    <row r="2028" spans="1:4" x14ac:dyDescent="0.2">
      <c r="A2028" s="5">
        <v>1967</v>
      </c>
      <c r="B2028" s="138">
        <f>'Cap Outlay Deprec 26'!F10</f>
        <v>285673</v>
      </c>
      <c r="C2028" s="2" t="s">
        <v>594</v>
      </c>
      <c r="D2028" s="2" t="str">
        <f t="shared" si="30"/>
        <v>Error?</v>
      </c>
    </row>
    <row r="2029" spans="1:4" x14ac:dyDescent="0.2">
      <c r="A2029" s="5">
        <v>1968</v>
      </c>
      <c r="B2029" s="138">
        <f>'Cap Outlay Deprec 26'!F12</f>
        <v>952427</v>
      </c>
      <c r="C2029" s="2" t="s">
        <v>594</v>
      </c>
      <c r="D2029" s="2" t="str">
        <f t="shared" si="30"/>
        <v>Error?</v>
      </c>
    </row>
    <row r="2030" spans="1:4" x14ac:dyDescent="0.2">
      <c r="A2030" s="5">
        <v>1969</v>
      </c>
      <c r="B2030" s="138">
        <f>'Cap Outlay Deprec 26'!F13</f>
        <v>224343</v>
      </c>
      <c r="C2030" s="2" t="s">
        <v>594</v>
      </c>
      <c r="D2030" s="2" t="str">
        <f t="shared" si="30"/>
        <v>Error?</v>
      </c>
    </row>
    <row r="2031" spans="1:4" x14ac:dyDescent="0.2">
      <c r="A2031" s="5">
        <v>1970</v>
      </c>
      <c r="B2031" s="138">
        <f>'Cap Outlay Deprec 26'!F16</f>
        <v>8509446</v>
      </c>
      <c r="C2031" s="2" t="s">
        <v>594</v>
      </c>
      <c r="D2031" s="2" t="str">
        <f t="shared" si="30"/>
        <v>Error?</v>
      </c>
    </row>
    <row r="2032" spans="1:4" x14ac:dyDescent="0.2">
      <c r="A2032" s="10">
        <v>1971</v>
      </c>
      <c r="D2032" s="2" t="str">
        <f t="shared" si="30"/>
        <v>OK</v>
      </c>
    </row>
    <row r="2033" spans="1:4" x14ac:dyDescent="0.2">
      <c r="A2033" s="5">
        <v>1972</v>
      </c>
      <c r="B2033" s="138">
        <f>'Cap Outlay Deprec 26'!H8</f>
        <v>3228223</v>
      </c>
      <c r="D2033" s="2" t="str">
        <f t="shared" si="30"/>
        <v>Error?</v>
      </c>
    </row>
    <row r="2034" spans="1:4" x14ac:dyDescent="0.2">
      <c r="A2034" s="5">
        <v>1973</v>
      </c>
      <c r="B2034" s="138">
        <f>'Cap Outlay Deprec 26'!H10</f>
        <v>153712</v>
      </c>
      <c r="D2034" s="2" t="str">
        <f t="shared" si="30"/>
        <v>Error?</v>
      </c>
    </row>
    <row r="2035" spans="1:4" x14ac:dyDescent="0.2">
      <c r="A2035" s="5">
        <v>1974</v>
      </c>
      <c r="B2035" s="138">
        <f>'Cap Outlay Deprec 26'!H12</f>
        <v>864561</v>
      </c>
      <c r="D2035" s="2" t="str">
        <f t="shared" si="30"/>
        <v>Error?</v>
      </c>
    </row>
    <row r="2036" spans="1:4" x14ac:dyDescent="0.2">
      <c r="A2036" s="5">
        <v>1975</v>
      </c>
      <c r="B2036" s="138">
        <f>'Cap Outlay Deprec 26'!H13</f>
        <v>189475</v>
      </c>
      <c r="D2036" s="2" t="str">
        <f t="shared" si="30"/>
        <v>Error?</v>
      </c>
    </row>
    <row r="2037" spans="1:4" x14ac:dyDescent="0.2">
      <c r="A2037" s="5">
        <v>1976</v>
      </c>
      <c r="B2037" s="138">
        <f>'Cap Outlay Deprec 26'!H16</f>
        <v>4435971</v>
      </c>
      <c r="C2037" s="2" t="s">
        <v>594</v>
      </c>
      <c r="D2037" s="2" t="str">
        <f t="shared" si="30"/>
        <v>Error?</v>
      </c>
    </row>
    <row r="2038" spans="1:4" x14ac:dyDescent="0.2">
      <c r="A2038" s="10">
        <v>1977</v>
      </c>
      <c r="D2038" s="2" t="str">
        <f t="shared" si="30"/>
        <v>OK</v>
      </c>
    </row>
    <row r="2039" spans="1:4" x14ac:dyDescent="0.2">
      <c r="A2039" s="5">
        <v>1978</v>
      </c>
      <c r="B2039" s="138">
        <f>'Cap Outlay Deprec 26'!I8</f>
        <v>166464</v>
      </c>
      <c r="D2039" s="2" t="str">
        <f t="shared" si="30"/>
        <v>Error?</v>
      </c>
    </row>
    <row r="2040" spans="1:4" x14ac:dyDescent="0.2">
      <c r="A2040" s="5">
        <v>1979</v>
      </c>
      <c r="B2040" s="138">
        <f>'Cap Outlay Deprec 26'!I10</f>
        <v>14302</v>
      </c>
      <c r="D2040" s="2" t="str">
        <f t="shared" si="30"/>
        <v>Error?</v>
      </c>
    </row>
    <row r="2041" spans="1:4" x14ac:dyDescent="0.2">
      <c r="A2041" s="5">
        <v>1980</v>
      </c>
      <c r="B2041" s="138">
        <f>'Cap Outlay Deprec 26'!I12</f>
        <v>12789</v>
      </c>
      <c r="D2041" s="2" t="str">
        <f t="shared" si="30"/>
        <v>Error?</v>
      </c>
    </row>
    <row r="2042" spans="1:4" x14ac:dyDescent="0.2">
      <c r="A2042" s="5">
        <v>1981</v>
      </c>
      <c r="B2042" s="138">
        <f>'Cap Outlay Deprec 26'!I13</f>
        <v>18760</v>
      </c>
      <c r="D2042" s="2" t="str">
        <f t="shared" si="30"/>
        <v>Error?</v>
      </c>
    </row>
    <row r="2043" spans="1:4" x14ac:dyDescent="0.2">
      <c r="A2043" s="5">
        <v>1982</v>
      </c>
      <c r="B2043" s="138">
        <f>'Cap Outlay Deprec 26'!I16</f>
        <v>212315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3394687</v>
      </c>
      <c r="C2051" s="2" t="s">
        <v>594</v>
      </c>
      <c r="D2051" s="2" t="str">
        <f t="shared" si="31"/>
        <v>Error?</v>
      </c>
    </row>
    <row r="2052" spans="1:4" x14ac:dyDescent="0.2">
      <c r="A2052" s="5">
        <v>1991</v>
      </c>
      <c r="B2052" s="138">
        <f>'Cap Outlay Deprec 26'!K10</f>
        <v>168014</v>
      </c>
      <c r="C2052" s="2" t="s">
        <v>594</v>
      </c>
      <c r="D2052" s="2" t="str">
        <f t="shared" si="31"/>
        <v>Error?</v>
      </c>
    </row>
    <row r="2053" spans="1:4" x14ac:dyDescent="0.2">
      <c r="A2053" s="5">
        <v>1992</v>
      </c>
      <c r="B2053" s="138">
        <f>'Cap Outlay Deprec 26'!K12</f>
        <v>877350</v>
      </c>
      <c r="C2053" s="2" t="s">
        <v>594</v>
      </c>
      <c r="D2053" s="2" t="str">
        <f t="shared" si="31"/>
        <v>Error?</v>
      </c>
    </row>
    <row r="2054" spans="1:4" x14ac:dyDescent="0.2">
      <c r="A2054" s="5">
        <v>1993</v>
      </c>
      <c r="B2054" s="138">
        <f>'Cap Outlay Deprec 26'!K13</f>
        <v>208235</v>
      </c>
      <c r="C2054" s="2" t="s">
        <v>594</v>
      </c>
      <c r="D2054" s="2" t="str">
        <f t="shared" si="31"/>
        <v>Error?</v>
      </c>
    </row>
    <row r="2055" spans="1:4" x14ac:dyDescent="0.2">
      <c r="A2055" s="5">
        <v>1994</v>
      </c>
      <c r="B2055" s="138">
        <f>'Cap Outlay Deprec 26'!K16</f>
        <v>4648286</v>
      </c>
      <c r="C2055" s="2" t="s">
        <v>594</v>
      </c>
      <c r="D2055" s="2" t="str">
        <f t="shared" si="31"/>
        <v>Error?</v>
      </c>
    </row>
    <row r="2056" spans="1:4" x14ac:dyDescent="0.2">
      <c r="A2056" s="5">
        <v>1995</v>
      </c>
      <c r="B2056" s="138">
        <f>'Cap Outlay Deprec 26'!L5</f>
        <v>104174</v>
      </c>
      <c r="C2056" s="2" t="s">
        <v>594</v>
      </c>
      <c r="D2056" s="2" t="str">
        <f t="shared" si="31"/>
        <v>Error?</v>
      </c>
    </row>
    <row r="2057" spans="1:4" x14ac:dyDescent="0.2">
      <c r="A2057" s="5">
        <v>1996</v>
      </c>
      <c r="B2057" s="138">
        <f>'Cap Outlay Deprec 26'!L8</f>
        <v>3548142</v>
      </c>
      <c r="C2057" s="2" t="s">
        <v>594</v>
      </c>
      <c r="D2057" s="2" t="str">
        <f t="shared" si="31"/>
        <v>Error?</v>
      </c>
    </row>
    <row r="2058" spans="1:4" x14ac:dyDescent="0.2">
      <c r="A2058" s="5">
        <v>1997</v>
      </c>
      <c r="B2058" s="138">
        <f>'Cap Outlay Deprec 26'!L10</f>
        <v>117659</v>
      </c>
      <c r="C2058" s="2" t="s">
        <v>594</v>
      </c>
      <c r="D2058" s="2" t="str">
        <f t="shared" si="31"/>
        <v>Error?</v>
      </c>
    </row>
    <row r="2059" spans="1:4" x14ac:dyDescent="0.2">
      <c r="A2059" s="5">
        <v>1998</v>
      </c>
      <c r="B2059" s="138">
        <f>'Cap Outlay Deprec 26'!L12</f>
        <v>75077</v>
      </c>
      <c r="C2059" s="2" t="s">
        <v>594</v>
      </c>
      <c r="D2059" s="2" t="str">
        <f t="shared" si="31"/>
        <v>Error?</v>
      </c>
    </row>
    <row r="2060" spans="1:4" x14ac:dyDescent="0.2">
      <c r="A2060" s="5">
        <v>1999</v>
      </c>
      <c r="B2060" s="138">
        <f>'Cap Outlay Deprec 26'!L13</f>
        <v>16108</v>
      </c>
      <c r="C2060" s="2" t="s">
        <v>594</v>
      </c>
      <c r="D2060" s="2" t="str">
        <f t="shared" si="31"/>
        <v>Error?</v>
      </c>
    </row>
    <row r="2061" spans="1:4" x14ac:dyDescent="0.2">
      <c r="A2061" s="5">
        <v>2000</v>
      </c>
      <c r="B2061" s="138">
        <f>'Cap Outlay Deprec 26'!L16</f>
        <v>3861160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67412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67412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30987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871733</v>
      </c>
      <c r="C2551" s="2" t="s">
        <v>594</v>
      </c>
      <c r="D2551" s="2" t="str">
        <f t="shared" si="38"/>
        <v>Error?</v>
      </c>
    </row>
    <row r="2552" spans="1:4" x14ac:dyDescent="0.2">
      <c r="A2552" s="10">
        <v>2491</v>
      </c>
      <c r="D2552" s="2" t="str">
        <f t="shared" si="38"/>
        <v>OK</v>
      </c>
    </row>
    <row r="2553" spans="1:4" x14ac:dyDescent="0.2">
      <c r="A2553" s="5">
        <v>2492</v>
      </c>
      <c r="B2553" s="138">
        <f>'Acct Summary 7-8'!C6</f>
        <v>2191555</v>
      </c>
      <c r="C2553" s="2" t="s">
        <v>594</v>
      </c>
      <c r="D2553" s="2" t="str">
        <f t="shared" si="38"/>
        <v>Error?</v>
      </c>
    </row>
    <row r="2554" spans="1:4" x14ac:dyDescent="0.2">
      <c r="A2554" s="5">
        <v>2493</v>
      </c>
      <c r="B2554" s="138">
        <f>'Acct Summary 7-8'!C7</f>
        <v>536298</v>
      </c>
      <c r="C2554" s="2" t="s">
        <v>594</v>
      </c>
      <c r="D2554" s="2" t="str">
        <f t="shared" si="38"/>
        <v>Error?</v>
      </c>
    </row>
    <row r="2555" spans="1:4" x14ac:dyDescent="0.2">
      <c r="A2555" s="5">
        <v>2494</v>
      </c>
      <c r="B2555" s="138">
        <f>'Acct Summary 7-8'!C8</f>
        <v>3599586</v>
      </c>
      <c r="C2555" s="2" t="s">
        <v>594</v>
      </c>
      <c r="D2555" s="2" t="str">
        <f t="shared" si="38"/>
        <v>Error?</v>
      </c>
    </row>
    <row r="2556" spans="1:4" x14ac:dyDescent="0.2">
      <c r="A2556" s="5">
        <v>2495</v>
      </c>
      <c r="B2556" s="138">
        <f>'Acct Summary 7-8'!C12</f>
        <v>2408545</v>
      </c>
      <c r="C2556" s="2" t="s">
        <v>594</v>
      </c>
      <c r="D2556" s="2" t="str">
        <f t="shared" si="38"/>
        <v>Error?</v>
      </c>
    </row>
    <row r="2557" spans="1:4" x14ac:dyDescent="0.2">
      <c r="A2557" s="5">
        <v>2496</v>
      </c>
      <c r="B2557" s="138">
        <f>'Acct Summary 7-8'!C13</f>
        <v>1004705</v>
      </c>
      <c r="C2557" s="2" t="s">
        <v>594</v>
      </c>
      <c r="D2557" s="2" t="str">
        <f t="shared" si="38"/>
        <v>Error?</v>
      </c>
    </row>
    <row r="2558" spans="1:4" x14ac:dyDescent="0.2">
      <c r="A2558" s="5">
        <v>2497</v>
      </c>
      <c r="B2558" s="138">
        <f>'Acct Summary 7-8'!C14</f>
        <v>3338</v>
      </c>
      <c r="C2558" s="2" t="s">
        <v>594</v>
      </c>
      <c r="D2558" s="2" t="str">
        <f t="shared" si="38"/>
        <v>Error?</v>
      </c>
    </row>
    <row r="2559" spans="1:4" x14ac:dyDescent="0.2">
      <c r="A2559" s="5">
        <v>2498</v>
      </c>
      <c r="B2559" s="138">
        <f>'Acct Summary 7-8'!C15</f>
        <v>67412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3484000</v>
      </c>
      <c r="C2561" s="2" t="s">
        <v>594</v>
      </c>
      <c r="D2561" s="2" t="str">
        <f t="shared" si="39"/>
        <v>Error?</v>
      </c>
    </row>
    <row r="2562" spans="1:4" x14ac:dyDescent="0.2">
      <c r="A2562" s="5">
        <v>2501</v>
      </c>
      <c r="B2562" s="138">
        <f>'Acct Summary 7-8'!C20</f>
        <v>115586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259821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259821</v>
      </c>
      <c r="C2568" s="2" t="s">
        <v>594</v>
      </c>
      <c r="D2568" s="2" t="str">
        <f t="shared" si="39"/>
        <v>Error?</v>
      </c>
    </row>
    <row r="2569" spans="1:4" x14ac:dyDescent="0.2">
      <c r="A2569" s="5">
        <v>2508</v>
      </c>
      <c r="B2569" s="138">
        <f>'Acct Summary 7-8'!D13</f>
        <v>401296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401296</v>
      </c>
      <c r="C2573" s="2" t="s">
        <v>594</v>
      </c>
      <c r="D2573" s="2" t="str">
        <f t="shared" si="39"/>
        <v>Error?</v>
      </c>
    </row>
    <row r="2574" spans="1:4" x14ac:dyDescent="0.2">
      <c r="A2574" s="5">
        <v>2513</v>
      </c>
      <c r="B2574" s="138">
        <f>'Acct Summary 7-8'!D20</f>
        <v>-141475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82713</v>
      </c>
      <c r="C2591" s="2" t="s">
        <v>594</v>
      </c>
      <c r="D2591" s="2" t="str">
        <f t="shared" si="39"/>
        <v>Error?</v>
      </c>
    </row>
    <row r="2592" spans="1:4" x14ac:dyDescent="0.2">
      <c r="A2592" s="10">
        <v>2531</v>
      </c>
      <c r="D2592" s="2" t="str">
        <f t="shared" si="39"/>
        <v>OK</v>
      </c>
    </row>
    <row r="2593" spans="1:4" x14ac:dyDescent="0.2">
      <c r="A2593" s="5">
        <v>2532</v>
      </c>
      <c r="B2593" s="138">
        <f>'Acct Summary 7-8'!F6</f>
        <v>391422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474135</v>
      </c>
      <c r="C2595" s="2" t="s">
        <v>594</v>
      </c>
      <c r="D2595" s="2" t="str">
        <f t="shared" si="39"/>
        <v>Error?</v>
      </c>
    </row>
    <row r="2596" spans="1:4" x14ac:dyDescent="0.2">
      <c r="A2596" s="5">
        <v>2535</v>
      </c>
      <c r="B2596" s="138">
        <f>'Acct Summary 7-8'!F13</f>
        <v>386650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386650</v>
      </c>
      <c r="C2600" s="2" t="s">
        <v>594</v>
      </c>
      <c r="D2600" s="2" t="str">
        <f t="shared" si="39"/>
        <v>Error?</v>
      </c>
    </row>
    <row r="2601" spans="1:4" x14ac:dyDescent="0.2">
      <c r="A2601" s="5">
        <v>2540</v>
      </c>
      <c r="B2601" s="138">
        <f>'Acct Summary 7-8'!F20</f>
        <v>87485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171633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12909</v>
      </c>
      <c r="C2605" s="2" t="s">
        <v>594</v>
      </c>
      <c r="D2605" s="2" t="str">
        <f t="shared" si="39"/>
        <v>Error?</v>
      </c>
    </row>
    <row r="2606" spans="1:4" x14ac:dyDescent="0.2">
      <c r="A2606" s="5">
        <v>2545</v>
      </c>
      <c r="B2606" s="138">
        <f>'Acct Summary 7-8'!G8</f>
        <v>184542</v>
      </c>
      <c r="C2606" s="2" t="s">
        <v>594</v>
      </c>
      <c r="D2606" s="2" t="str">
        <f t="shared" si="39"/>
        <v>Error?</v>
      </c>
    </row>
    <row r="2607" spans="1:4" x14ac:dyDescent="0.2">
      <c r="A2607" s="5">
        <v>2546</v>
      </c>
      <c r="B2607" s="138">
        <f>'Acct Summary 7-8'!G12</f>
        <v>42427</v>
      </c>
      <c r="C2607" s="2" t="s">
        <v>594</v>
      </c>
      <c r="D2607" s="2" t="str">
        <f t="shared" si="39"/>
        <v>Error?</v>
      </c>
    </row>
    <row r="2608" spans="1:4" x14ac:dyDescent="0.2">
      <c r="A2608" s="5">
        <v>2547</v>
      </c>
      <c r="B2608" s="138">
        <f>'Acct Summary 7-8'!G13</f>
        <v>101368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143795</v>
      </c>
      <c r="C2612" s="2" t="s">
        <v>594</v>
      </c>
      <c r="D2612" s="2" t="str">
        <f t="shared" si="39"/>
        <v>Error?</v>
      </c>
    </row>
    <row r="2613" spans="1:4" x14ac:dyDescent="0.2">
      <c r="A2613" s="5">
        <v>2552</v>
      </c>
      <c r="B2613" s="138">
        <f>'Acct Summary 7-8'!G20</f>
        <v>40747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158854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158854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159339</v>
      </c>
      <c r="C2634" s="2" t="s">
        <v>594</v>
      </c>
      <c r="D2634" s="2" t="str">
        <f t="shared" si="40"/>
        <v>Error?</v>
      </c>
    </row>
    <row r="2635" spans="1:4" x14ac:dyDescent="0.2">
      <c r="A2635" s="5">
        <v>2574</v>
      </c>
      <c r="B2635" s="138">
        <f>'Acct Summary 7-8'!E17</f>
        <v>159339</v>
      </c>
      <c r="C2635" s="2" t="s">
        <v>594</v>
      </c>
      <c r="D2635" s="2" t="str">
        <f t="shared" si="40"/>
        <v>Error?</v>
      </c>
    </row>
    <row r="2636" spans="1:4" x14ac:dyDescent="0.2">
      <c r="A2636" s="5">
        <v>2575</v>
      </c>
      <c r="B2636" s="138">
        <f>'Acct Summary 7-8'!E20</f>
        <v>-485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251556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251556</v>
      </c>
      <c r="C2658" s="2" t="s">
        <v>594</v>
      </c>
      <c r="D2658" s="2" t="str">
        <f t="shared" si="40"/>
        <v>Error?</v>
      </c>
    </row>
    <row r="2659" spans="1:4" x14ac:dyDescent="0.2">
      <c r="A2659" s="5">
        <v>2598</v>
      </c>
      <c r="B2659" s="138">
        <f>'Acct Summary 7-8'!H13</f>
        <v>2475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2475</v>
      </c>
      <c r="C2661" s="2" t="s">
        <v>594</v>
      </c>
      <c r="D2661" s="2" t="str">
        <f t="shared" si="40"/>
        <v>Error?</v>
      </c>
    </row>
    <row r="2662" spans="1:4" x14ac:dyDescent="0.2">
      <c r="A2662" s="5">
        <v>2601</v>
      </c>
      <c r="B2662" s="138">
        <f>'Acct Summary 7-8'!H20</f>
        <v>249081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3836</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3836</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1006493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22833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1006493</v>
      </c>
      <c r="D2912" s="2" t="str">
        <f t="shared" si="44"/>
        <v>Error?</v>
      </c>
    </row>
    <row r="2913" spans="1:4" x14ac:dyDescent="0.2">
      <c r="A2913" s="5">
        <v>2852</v>
      </c>
      <c r="B2913" s="138">
        <f>'Assets-Liab 5-6'!I41</f>
        <v>1006493</v>
      </c>
      <c r="C2913" s="2" t="s">
        <v>594</v>
      </c>
      <c r="D2913" s="2" t="str">
        <f t="shared" si="44"/>
        <v>Error?</v>
      </c>
    </row>
    <row r="2914" spans="1:4" x14ac:dyDescent="0.2">
      <c r="A2914" s="5">
        <v>2853</v>
      </c>
      <c r="B2914" s="138">
        <f>'Assets-Liab 5-6'!L33</f>
        <v>22833</v>
      </c>
      <c r="D2914" s="2" t="str">
        <f t="shared" si="44"/>
        <v>Error?</v>
      </c>
    </row>
    <row r="2915" spans="1:4" x14ac:dyDescent="0.2">
      <c r="A2915" s="10">
        <v>2854</v>
      </c>
      <c r="D2915" s="2" t="str">
        <f t="shared" si="44"/>
        <v>OK</v>
      </c>
    </row>
    <row r="2916" spans="1:4" x14ac:dyDescent="0.2">
      <c r="A2916" s="5">
        <v>2855</v>
      </c>
      <c r="B2916" s="138">
        <f>'Assets-Liab 5-6'!L34</f>
        <v>22833</v>
      </c>
      <c r="C2916" s="2" t="s">
        <v>594</v>
      </c>
      <c r="D2916" s="2" t="str">
        <f t="shared" si="44"/>
        <v>Error?</v>
      </c>
    </row>
    <row r="2917" spans="1:4" x14ac:dyDescent="0.2">
      <c r="A2917" s="5">
        <v>2856</v>
      </c>
      <c r="B2917" s="138">
        <f>'Assets-Liab 5-6'!L41</f>
        <v>22833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67412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67412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52206</v>
      </c>
      <c r="D3055" s="2" t="str">
        <f t="shared" si="46"/>
        <v>Error?</v>
      </c>
    </row>
    <row r="3056" spans="1:4" x14ac:dyDescent="0.2">
      <c r="A3056" s="5">
        <v>2995</v>
      </c>
      <c r="B3056" s="138">
        <f>'Expenditures 15-22'!D10</f>
        <v>3748</v>
      </c>
      <c r="D3056" s="2" t="str">
        <f t="shared" si="46"/>
        <v>Error?</v>
      </c>
    </row>
    <row r="3057" spans="1:4" x14ac:dyDescent="0.2">
      <c r="A3057" s="5">
        <v>2996</v>
      </c>
      <c r="B3057" s="138">
        <f>'Expenditures 15-22'!E10</f>
        <v>12799</v>
      </c>
      <c r="D3057" s="2" t="str">
        <f t="shared" si="46"/>
        <v>Error?</v>
      </c>
    </row>
    <row r="3058" spans="1:4" x14ac:dyDescent="0.2">
      <c r="A3058" s="5">
        <v>2997</v>
      </c>
      <c r="B3058" s="138">
        <f>'Expenditures 15-22'!F10</f>
        <v>47179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159464</v>
      </c>
      <c r="C3062" s="2" t="s">
        <v>594</v>
      </c>
      <c r="D3062" s="2" t="str">
        <f t="shared" si="46"/>
        <v>Error?</v>
      </c>
    </row>
    <row r="3063" spans="1:4" x14ac:dyDescent="0.2">
      <c r="A3063" s="10">
        <v>3002</v>
      </c>
      <c r="D3063" s="2" t="str">
        <f t="shared" si="46"/>
        <v>OK</v>
      </c>
    </row>
    <row r="3064" spans="1:4" x14ac:dyDescent="0.2">
      <c r="A3064" s="5">
        <v>3003</v>
      </c>
      <c r="B3064" s="138">
        <f>'Expenditures 15-22'!D219</f>
        <v>12909</v>
      </c>
      <c r="D3064" s="2" t="str">
        <f t="shared" si="46"/>
        <v>Error?</v>
      </c>
    </row>
    <row r="3065" spans="1:4" x14ac:dyDescent="0.2">
      <c r="A3065" s="5">
        <v>3004</v>
      </c>
      <c r="B3065" s="138">
        <f>'Expenditures 15-22'!K219</f>
        <v>12909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37428</v>
      </c>
      <c r="C3225" s="2" t="s">
        <v>594</v>
      </c>
      <c r="D3225" s="2" t="str">
        <f t="shared" si="49"/>
        <v>Error?</v>
      </c>
    </row>
    <row r="3226" spans="1:4" x14ac:dyDescent="0.2">
      <c r="A3226" s="5">
        <v>3165</v>
      </c>
      <c r="B3226" s="138">
        <f>'Acct Summary 7-8'!I8</f>
        <v>37428</v>
      </c>
      <c r="C3226" s="2" t="s">
        <v>594</v>
      </c>
      <c r="D3226" s="2" t="str">
        <f t="shared" si="49"/>
        <v>Error?</v>
      </c>
    </row>
    <row r="3227" spans="1:4" x14ac:dyDescent="0.2">
      <c r="A3227" s="5">
        <v>3166</v>
      </c>
      <c r="B3227" s="138">
        <f>'Acct Summary 7-8'!I20</f>
        <v>37428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115586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-141475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87485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40747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-485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249081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37428</v>
      </c>
      <c r="C3320" s="2" t="s">
        <v>594</v>
      </c>
      <c r="D3320" s="2" t="str">
        <f t="shared" si="50"/>
        <v>Error?</v>
      </c>
    </row>
    <row r="3321" spans="1:4" x14ac:dyDescent="0.2">
      <c r="A3321" s="5">
        <v>3260</v>
      </c>
      <c r="B3321" s="138">
        <f>'Acct Summary 7-8'!I79</f>
        <v>969065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1006493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212922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58347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1519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272788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20350</v>
      </c>
      <c r="D3387" s="2" t="str">
        <f t="shared" si="51"/>
        <v>Error?</v>
      </c>
    </row>
    <row r="3388" spans="1:4" x14ac:dyDescent="0.2">
      <c r="A3388" s="5">
        <v>3327</v>
      </c>
      <c r="B3388" s="138">
        <f>'Expenditures 15-22'!D217</f>
        <v>8022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20350</v>
      </c>
      <c r="C3390" s="2" t="s">
        <v>594</v>
      </c>
      <c r="D3390" s="2" t="str">
        <f t="shared" si="51"/>
        <v>Error?</v>
      </c>
    </row>
    <row r="3391" spans="1:4" x14ac:dyDescent="0.2">
      <c r="A3391" s="5">
        <v>3330</v>
      </c>
      <c r="B3391" s="138">
        <f>'Expenditures 15-22'!K217</f>
        <v>8022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416592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436884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v>
      </c>
      <c r="D3417" s="2" t="str">
        <f t="shared" si="52"/>
        <v>Error?</v>
      </c>
    </row>
    <row r="3418" spans="1:4" x14ac:dyDescent="0.2">
      <c r="A3418" s="10">
        <v>3357</v>
      </c>
      <c r="D3418" s="2" t="str">
        <f t="shared" si="52"/>
        <v>OK</v>
      </c>
    </row>
    <row r="3419" spans="1:4" x14ac:dyDescent="0.2">
      <c r="A3419" s="5">
        <v>3358</v>
      </c>
      <c r="B3419" s="138">
        <f>'Assets-Liab 5-6'!F4</f>
        <v>337010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245351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649103</v>
      </c>
      <c r="D3425" s="2" t="str">
        <f t="shared" si="52"/>
        <v>Error?</v>
      </c>
    </row>
    <row r="3426" spans="1:4" x14ac:dyDescent="0.2">
      <c r="A3426" s="10">
        <v>3365</v>
      </c>
      <c r="D3426" s="2" t="str">
        <f t="shared" si="52"/>
        <v>OK</v>
      </c>
    </row>
    <row r="3427" spans="1:4" x14ac:dyDescent="0.2">
      <c r="A3427" s="5">
        <v>3366</v>
      </c>
      <c r="B3427" s="138">
        <f>'Assets-Liab 5-6'!I4</f>
        <v>1006493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22833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67701</v>
      </c>
      <c r="C3446" s="2" t="s">
        <v>594</v>
      </c>
      <c r="D3446" s="2" t="str">
        <f t="shared" si="52"/>
        <v>Error?</v>
      </c>
    </row>
    <row r="3447" spans="1:4" x14ac:dyDescent="0.2">
      <c r="A3447" s="5">
        <v>3386</v>
      </c>
      <c r="B3447" s="138">
        <f>'Tax Sched 23'!D16</f>
        <v>67701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70007</v>
      </c>
      <c r="C3449" s="2" t="s">
        <v>594</v>
      </c>
      <c r="D3449" s="2" t="str">
        <f t="shared" si="52"/>
        <v>Error?</v>
      </c>
    </row>
    <row r="3450" spans="1:4" x14ac:dyDescent="0.2">
      <c r="A3450" s="5">
        <v>3389</v>
      </c>
      <c r="B3450" s="138">
        <f>'Tax Sched 23'!E16</f>
        <v>70007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124611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124611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124611</v>
      </c>
      <c r="D3567" s="2" t="str">
        <f t="shared" si="54"/>
        <v>Error?</v>
      </c>
    </row>
    <row r="3568" spans="1:4" x14ac:dyDescent="0.2">
      <c r="A3568" s="5">
        <v>3507</v>
      </c>
      <c r="B3568" s="138">
        <f>'Assets-Liab 5-6'!K41</f>
        <v>124611</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124611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124611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86183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1751603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5351189</v>
      </c>
      <c r="C4122" s="2" t="s">
        <v>594</v>
      </c>
      <c r="D4122" s="2" t="str">
        <f t="shared" si="63"/>
        <v>Error?</v>
      </c>
    </row>
    <row r="4123" spans="1:4" x14ac:dyDescent="0.2">
      <c r="A4123" s="5">
        <v>4062</v>
      </c>
      <c r="B4123" s="138">
        <f>'Acct Summary 7-8'!D10</f>
        <v>259821</v>
      </c>
      <c r="C4123" s="2" t="s">
        <v>594</v>
      </c>
      <c r="D4123" s="2" t="str">
        <f t="shared" si="63"/>
        <v>Error?</v>
      </c>
    </row>
    <row r="4124" spans="1:4" x14ac:dyDescent="0.2">
      <c r="A4124" s="5">
        <v>4063</v>
      </c>
      <c r="B4124" s="138">
        <f>'Acct Summary 7-8'!E10</f>
        <v>158854</v>
      </c>
      <c r="C4124" s="2" t="s">
        <v>594</v>
      </c>
      <c r="D4124" s="2" t="str">
        <f t="shared" si="63"/>
        <v>Error?</v>
      </c>
    </row>
    <row r="4125" spans="1:4" x14ac:dyDescent="0.2">
      <c r="A4125" s="5">
        <v>4064</v>
      </c>
      <c r="B4125" s="138">
        <f>'Acct Summary 7-8'!F10</f>
        <v>474135</v>
      </c>
      <c r="C4125" s="2" t="s">
        <v>594</v>
      </c>
      <c r="D4125" s="2" t="str">
        <f t="shared" si="63"/>
        <v>Error?</v>
      </c>
    </row>
    <row r="4126" spans="1:4" x14ac:dyDescent="0.2">
      <c r="A4126" s="5">
        <v>4065</v>
      </c>
      <c r="B4126" s="138">
        <f>'Acct Summary 7-8'!G10</f>
        <v>184542</v>
      </c>
      <c r="C4126" s="2" t="s">
        <v>594</v>
      </c>
      <c r="D4126" s="2" t="str">
        <f t="shared" si="63"/>
        <v>Error?</v>
      </c>
    </row>
    <row r="4127" spans="1:4" x14ac:dyDescent="0.2">
      <c r="A4127" s="5">
        <v>4066</v>
      </c>
      <c r="B4127" s="138">
        <f>'Acct Summary 7-8'!H10</f>
        <v>251556</v>
      </c>
      <c r="C4127" s="2" t="s">
        <v>594</v>
      </c>
      <c r="D4127" s="2" t="str">
        <f t="shared" si="63"/>
        <v>Error?</v>
      </c>
    </row>
    <row r="4128" spans="1:4" x14ac:dyDescent="0.2">
      <c r="A4128" s="5">
        <v>4067</v>
      </c>
      <c r="B4128" s="138">
        <f>'Acct Summary 7-8'!I10</f>
        <v>37428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1751603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5235603</v>
      </c>
      <c r="C4136" s="2" t="s">
        <v>594</v>
      </c>
      <c r="D4136" s="2" t="str">
        <f t="shared" si="63"/>
        <v>Error?</v>
      </c>
    </row>
    <row r="4137" spans="1:4" x14ac:dyDescent="0.2">
      <c r="A4137" s="5">
        <v>4076</v>
      </c>
      <c r="B4137" s="138">
        <f>'Acct Summary 7-8'!D19</f>
        <v>401296</v>
      </c>
      <c r="C4137" s="2" t="s">
        <v>594</v>
      </c>
      <c r="D4137" s="2" t="str">
        <f t="shared" si="63"/>
        <v>Error?</v>
      </c>
    </row>
    <row r="4138" spans="1:4" x14ac:dyDescent="0.2">
      <c r="A4138" s="5">
        <v>4077</v>
      </c>
      <c r="B4138" s="138">
        <f>'Acct Summary 7-8'!E19</f>
        <v>159339</v>
      </c>
      <c r="C4138" s="2" t="s">
        <v>594</v>
      </c>
      <c r="D4138" s="2" t="str">
        <f t="shared" si="63"/>
        <v>Error?</v>
      </c>
    </row>
    <row r="4139" spans="1:4" x14ac:dyDescent="0.2">
      <c r="A4139" s="5">
        <v>4078</v>
      </c>
      <c r="B4139" s="138">
        <f>'Acct Summary 7-8'!F19</f>
        <v>386650</v>
      </c>
      <c r="C4139" s="2" t="s">
        <v>594</v>
      </c>
      <c r="D4139" s="2" t="str">
        <f t="shared" si="63"/>
        <v>Error?</v>
      </c>
    </row>
    <row r="4140" spans="1:4" x14ac:dyDescent="0.2">
      <c r="A4140" s="5">
        <v>4079</v>
      </c>
      <c r="B4140" s="138">
        <f>'Acct Summary 7-8'!G19</f>
        <v>143795</v>
      </c>
      <c r="C4140" s="2" t="s">
        <v>594</v>
      </c>
      <c r="D4140" s="2" t="str">
        <f t="shared" si="63"/>
        <v>Error?</v>
      </c>
    </row>
    <row r="4141" spans="1:4" x14ac:dyDescent="0.2">
      <c r="A4141" s="5">
        <v>4080</v>
      </c>
      <c r="B4141" s="138">
        <f>'Acct Summary 7-8'!H19</f>
        <v>2475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642800</v>
      </c>
      <c r="C4171" s="2" t="s">
        <v>594</v>
      </c>
      <c r="D4171" s="2" t="str">
        <f t="shared" si="64"/>
        <v>Error?</v>
      </c>
    </row>
    <row r="4172" spans="1:4" x14ac:dyDescent="0.2">
      <c r="A4172" s="5">
        <v>4111</v>
      </c>
      <c r="B4172" s="138">
        <f>'Short-Term Long-Term Debt 24'!J49</f>
        <v>642786</v>
      </c>
      <c r="C4172" s="2" t="s">
        <v>594</v>
      </c>
      <c r="D4172" s="2" t="str">
        <f t="shared" si="64"/>
        <v>Error?</v>
      </c>
    </row>
    <row r="4173" spans="1:4" x14ac:dyDescent="0.2">
      <c r="A4173" s="5">
        <v>4112</v>
      </c>
      <c r="B4173" s="138">
        <f>'Short-Term Long-Term Debt 24'!H49</f>
        <v>128600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910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1280</v>
      </c>
      <c r="C4268" s="2" t="s">
        <v>594</v>
      </c>
      <c r="D4268" s="2" t="str">
        <f t="shared" si="65"/>
        <v>Error?</v>
      </c>
    </row>
    <row r="4269" spans="1:5" x14ac:dyDescent="0.2">
      <c r="A4269" s="12">
        <v>4208</v>
      </c>
      <c r="B4269" s="138">
        <f>'FP Info 3'!J16</f>
        <v>2196979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13233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28612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34032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72062504</v>
      </c>
      <c r="D4995" s="2" t="str">
        <f t="shared" si="77"/>
        <v>Error?</v>
      </c>
    </row>
    <row r="4996" spans="1:4" x14ac:dyDescent="0.2">
      <c r="A4996" s="12">
        <v>4935</v>
      </c>
      <c r="B4996" s="138">
        <f>'FP Info 3'!H31</f>
        <v>4972312.7760000005</v>
      </c>
      <c r="D4996" s="2" t="str">
        <f t="shared" si="77"/>
        <v>Error?</v>
      </c>
    </row>
    <row r="4997" spans="1:4" x14ac:dyDescent="0.2">
      <c r="A4997" s="12">
        <v>4936</v>
      </c>
      <c r="B4997" s="138">
        <f>'FP Info 3'!H37</f>
        <v>642800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625348</v>
      </c>
      <c r="D5061" s="2" t="str">
        <f t="shared" si="78"/>
        <v>Error?</v>
      </c>
    </row>
    <row r="5062" spans="1:4" x14ac:dyDescent="0.2">
      <c r="A5062" s="10">
        <v>5001</v>
      </c>
      <c r="D5062" s="2" t="str">
        <f t="shared" si="78"/>
        <v>OK</v>
      </c>
    </row>
    <row r="5063" spans="1:4" x14ac:dyDescent="0.2">
      <c r="A5063" s="5">
        <v>5002</v>
      </c>
      <c r="B5063" s="138">
        <f>'Revenues 9-14'!C7</f>
        <v>13594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638942</v>
      </c>
      <c r="C5066" s="2" t="s">
        <v>594</v>
      </c>
      <c r="D5066" s="2" t="str">
        <f t="shared" si="78"/>
        <v>Error?</v>
      </c>
    </row>
    <row r="5067" spans="1:4" x14ac:dyDescent="0.2">
      <c r="A5067" s="5">
        <v>5006</v>
      </c>
      <c r="B5067" s="138">
        <f>'Revenues 9-14'!C14</f>
        <v>12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123933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123945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1118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2708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75875</v>
      </c>
      <c r="C5096" s="2" t="s">
        <v>594</v>
      </c>
      <c r="D5096" s="2" t="str">
        <f t="shared" si="78"/>
        <v>Error?</v>
      </c>
    </row>
    <row r="5097" spans="1:4" x14ac:dyDescent="0.2">
      <c r="A5097" s="5">
        <v>5036</v>
      </c>
      <c r="B5097" s="138">
        <f>'Revenues 9-14'!C77</f>
        <v>10845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563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11408</v>
      </c>
      <c r="C5102" s="2" t="s">
        <v>594</v>
      </c>
      <c r="D5102" s="2" t="str">
        <f t="shared" si="78"/>
        <v>Error?</v>
      </c>
    </row>
    <row r="5103" spans="1:4" x14ac:dyDescent="0.2">
      <c r="A5103" s="5">
        <v>5042</v>
      </c>
      <c r="B5103" s="138">
        <f>'Revenues 9-14'!C84</f>
        <v>14748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14748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2530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3167</v>
      </c>
      <c r="D5119" s="2" t="str">
        <f t="shared" ref="D5119:D5182" si="79">IF(ISBLANK(B5119),"OK",IF(A5119-B5119=0,"OK","Error?"))</f>
        <v>Error?</v>
      </c>
    </row>
    <row r="5120" spans="1:4" x14ac:dyDescent="0.2">
      <c r="A5120" s="5">
        <v>5059</v>
      </c>
      <c r="B5120" s="138">
        <f>'Revenues 9-14'!C108</f>
        <v>5697</v>
      </c>
      <c r="C5120" s="2" t="s">
        <v>594</v>
      </c>
      <c r="D5120" s="2" t="str">
        <f t="shared" si="79"/>
        <v>Error?</v>
      </c>
    </row>
    <row r="5121" spans="1:4" x14ac:dyDescent="0.2">
      <c r="A5121" s="5">
        <v>5060</v>
      </c>
      <c r="B5121" s="138">
        <f>'Revenues 9-14'!C109</f>
        <v>871733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2084858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2084858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37169</v>
      </c>
      <c r="D5134" s="2" t="str">
        <f t="shared" si="79"/>
        <v>Error?</v>
      </c>
    </row>
    <row r="5135" spans="1:4" x14ac:dyDescent="0.2">
      <c r="A5135" s="5">
        <v>5074</v>
      </c>
      <c r="B5135" s="138">
        <f>'Revenues 9-14'!C126</f>
        <v>31895</v>
      </c>
      <c r="D5135" s="2" t="str">
        <f t="shared" si="79"/>
        <v>Error?</v>
      </c>
    </row>
    <row r="5136" spans="1:4" x14ac:dyDescent="0.2">
      <c r="A5136" s="10">
        <v>5075</v>
      </c>
      <c r="D5136" s="2" t="str">
        <f t="shared" si="79"/>
        <v>OK</v>
      </c>
    </row>
    <row r="5137" spans="1:4" x14ac:dyDescent="0.2">
      <c r="A5137" s="5">
        <v>5076</v>
      </c>
      <c r="B5137" s="138">
        <f>'Revenues 9-14'!C127</f>
        <v>35556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104620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2077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106697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2191555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108062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43807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151869</v>
      </c>
      <c r="C5246" s="2" t="s">
        <v>594</v>
      </c>
      <c r="D5246" s="2" t="str">
        <f t="shared" si="80"/>
        <v>Error?</v>
      </c>
    </row>
    <row r="5247" spans="1:4" x14ac:dyDescent="0.2">
      <c r="A5247" s="5">
        <v>5186</v>
      </c>
      <c r="B5247" s="138">
        <f>'Revenues 9-14'!C203</f>
        <v>308552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308552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536298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536298</v>
      </c>
      <c r="C5326" s="2" t="s">
        <v>594</v>
      </c>
      <c r="D5326" s="2" t="str">
        <f t="shared" si="82"/>
        <v>Error?</v>
      </c>
    </row>
    <row r="5327" spans="1:4" x14ac:dyDescent="0.2">
      <c r="A5327" s="5">
        <v>5266</v>
      </c>
      <c r="B5327" s="138">
        <f>'Revenues 9-14'!C275</f>
        <v>3599586</v>
      </c>
      <c r="C5327" s="2" t="s">
        <v>594</v>
      </c>
      <c r="D5327" s="2" t="str">
        <f t="shared" si="82"/>
        <v>Error?</v>
      </c>
    </row>
    <row r="5328" spans="1:4" x14ac:dyDescent="0.2">
      <c r="A5328" s="5">
        <v>5267</v>
      </c>
      <c r="B5328" s="138">
        <f>'Revenues 9-14'!D5</f>
        <v>169931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169931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1775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1775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88115</v>
      </c>
      <c r="C5355" s="2" t="s">
        <v>594</v>
      </c>
      <c r="D5355" s="2" t="str">
        <f t="shared" si="82"/>
        <v>Error?</v>
      </c>
    </row>
    <row r="5356" spans="1:4" x14ac:dyDescent="0.2">
      <c r="A5356" s="5">
        <v>5295</v>
      </c>
      <c r="B5356" s="138">
        <f>'Revenues 9-14'!D109</f>
        <v>259821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259821</v>
      </c>
      <c r="C5508" s="2" t="s">
        <v>594</v>
      </c>
      <c r="D5508" s="2" t="str">
        <f t="shared" si="85"/>
        <v>Error?</v>
      </c>
    </row>
    <row r="5509" spans="1:4" x14ac:dyDescent="0.2">
      <c r="A5509" s="5">
        <v>5448</v>
      </c>
      <c r="B5509" s="138">
        <f>'Revenues 9-14'!E5</f>
        <v>158851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158851</v>
      </c>
      <c r="C5513" s="2" t="s">
        <v>594</v>
      </c>
      <c r="D5513" s="2" t="str">
        <f t="shared" si="85"/>
        <v>Error?</v>
      </c>
    </row>
    <row r="5514" spans="1:4" x14ac:dyDescent="0.2">
      <c r="A5514" s="5">
        <v>5453</v>
      </c>
      <c r="B5514" s="138">
        <f>'Revenues 9-14'!E14</f>
        <v>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158854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158854</v>
      </c>
      <c r="C5552" s="2" t="s">
        <v>594</v>
      </c>
      <c r="D5552" s="2" t="str">
        <f t="shared" si="85"/>
        <v>Error?</v>
      </c>
    </row>
    <row r="5553" spans="1:4" x14ac:dyDescent="0.2">
      <c r="A5553" s="5">
        <v>5492</v>
      </c>
      <c r="B5553" s="138">
        <f>'Revenues 9-14'!F5</f>
        <v>81567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81567</v>
      </c>
      <c r="C5557" s="2" t="s">
        <v>594</v>
      </c>
      <c r="D5557" s="2" t="str">
        <f t="shared" si="85"/>
        <v>Error?</v>
      </c>
    </row>
    <row r="5558" spans="1:4" x14ac:dyDescent="0.2">
      <c r="A5558" s="5">
        <v>5497</v>
      </c>
      <c r="B5558" s="138">
        <f>'Revenues 9-14'!F14</f>
        <v>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1145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1145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82713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83852</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83852</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124023</v>
      </c>
      <c r="D5615" s="2" t="str">
        <f t="shared" si="86"/>
        <v>Error?</v>
      </c>
    </row>
    <row r="5616" spans="1:4" x14ac:dyDescent="0.2">
      <c r="A5616" s="10">
        <v>5555</v>
      </c>
      <c r="D5616" s="2" t="str">
        <f t="shared" si="86"/>
        <v>OK</v>
      </c>
    </row>
    <row r="5617" spans="1:4" x14ac:dyDescent="0.2">
      <c r="A5617" s="5">
        <v>5556</v>
      </c>
      <c r="B5617" s="138">
        <f>'Revenues 9-14'!F152</f>
        <v>183547</v>
      </c>
      <c r="D5617" s="2" t="str">
        <f t="shared" si="86"/>
        <v>Error?</v>
      </c>
    </row>
    <row r="5618" spans="1:4" x14ac:dyDescent="0.2">
      <c r="A5618" s="5">
        <v>5557</v>
      </c>
      <c r="B5618" s="138">
        <f>'Revenues 9-14'!F154</f>
        <v>307570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307570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391422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474135</v>
      </c>
      <c r="C5720" s="2" t="s">
        <v>594</v>
      </c>
      <c r="D5720" s="2" t="str">
        <f t="shared" si="88"/>
        <v>Error?</v>
      </c>
    </row>
    <row r="5721" spans="1:4" x14ac:dyDescent="0.2">
      <c r="A5721" s="5">
        <v>5660</v>
      </c>
      <c r="B5721" s="138">
        <f>'Revenues 9-14'!G5</f>
        <v>94889</v>
      </c>
      <c r="D5721" s="2" t="str">
        <f t="shared" si="88"/>
        <v>Error?</v>
      </c>
    </row>
    <row r="5722" spans="1:4" x14ac:dyDescent="0.2">
      <c r="A5722" s="5">
        <v>5661</v>
      </c>
      <c r="B5722" s="138">
        <f>'Revenues 9-14'!G7</f>
        <v>0</v>
      </c>
      <c r="D5722" s="2" t="str">
        <f t="shared" si="88"/>
        <v>Error?</v>
      </c>
    </row>
    <row r="5723" spans="1:4" x14ac:dyDescent="0.2">
      <c r="A5723" s="5">
        <v>5662</v>
      </c>
      <c r="B5723" s="138">
        <f>'Revenues 9-14'!G8</f>
        <v>67701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162590</v>
      </c>
      <c r="C5725" s="2" t="s">
        <v>594</v>
      </c>
      <c r="D5725" s="2" t="str">
        <f t="shared" si="88"/>
        <v>Error?</v>
      </c>
    </row>
    <row r="5726" spans="1:4" x14ac:dyDescent="0.2">
      <c r="A5726" s="5">
        <v>5665</v>
      </c>
      <c r="B5726" s="138">
        <f>'Revenues 9-14'!G14</f>
        <v>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8200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8203</v>
      </c>
      <c r="C5730" s="2" t="s">
        <v>594</v>
      </c>
      <c r="D5730" s="2" t="str">
        <f t="shared" si="88"/>
        <v>Error?</v>
      </c>
    </row>
    <row r="5731" spans="1:4" x14ac:dyDescent="0.2">
      <c r="A5731" s="5">
        <v>5670</v>
      </c>
      <c r="B5731" s="138">
        <f>'Revenues 9-14'!G65</f>
        <v>840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840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12909</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12909</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12909</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12909</v>
      </c>
      <c r="C5869" s="2" t="s">
        <v>594</v>
      </c>
      <c r="D5869" s="2" t="str">
        <f t="shared" si="90"/>
        <v>Error?</v>
      </c>
    </row>
    <row r="5870" spans="1:4" x14ac:dyDescent="0.2">
      <c r="A5870" s="5">
        <v>5809</v>
      </c>
      <c r="B5870" s="138">
        <f>'Revenues 9-14'!G275</f>
        <v>184542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251556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251556</v>
      </c>
      <c r="C5915" s="2" t="s">
        <v>594</v>
      </c>
      <c r="D5915" s="2" t="str">
        <f t="shared" si="91"/>
        <v>Error?</v>
      </c>
    </row>
    <row r="5916" spans="1:4" x14ac:dyDescent="0.2">
      <c r="A5916" s="5">
        <v>5855</v>
      </c>
      <c r="B5916" s="138">
        <f>'Revenues 9-14'!I5</f>
        <v>33986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33986</v>
      </c>
      <c r="C5918" s="2" t="s">
        <v>594</v>
      </c>
      <c r="D5918" s="2" t="str">
        <f t="shared" si="91"/>
        <v>Error?</v>
      </c>
    </row>
    <row r="5919" spans="1:4" x14ac:dyDescent="0.2">
      <c r="A5919" s="5">
        <v>5858</v>
      </c>
      <c r="B5919" s="138">
        <f>'Revenues 9-14'!I14</f>
        <v>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v>
      </c>
      <c r="C5923" s="2" t="s">
        <v>594</v>
      </c>
      <c r="D5923" s="2" t="str">
        <f t="shared" si="91"/>
        <v>Error?</v>
      </c>
    </row>
    <row r="5924" spans="1:4" x14ac:dyDescent="0.2">
      <c r="A5924" s="5">
        <v>5863</v>
      </c>
      <c r="B5924" s="138">
        <f>'Revenues 9-14'!I65</f>
        <v>3440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3440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37428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171633</v>
      </c>
      <c r="C6024" s="2" t="s">
        <v>594</v>
      </c>
      <c r="D6024" s="2" t="str">
        <f t="shared" si="93"/>
        <v>Error?</v>
      </c>
    </row>
    <row r="6025" spans="1:5" x14ac:dyDescent="0.2">
      <c r="A6025" s="5">
        <v>5964</v>
      </c>
      <c r="B6025" s="138">
        <f>'Revenues 9-14'!H109</f>
        <v>251556</v>
      </c>
      <c r="C6025" s="2" t="s">
        <v>594</v>
      </c>
      <c r="D6025" s="2" t="str">
        <f t="shared" si="93"/>
        <v>Error?</v>
      </c>
    </row>
    <row r="6026" spans="1:5" x14ac:dyDescent="0.2">
      <c r="A6026" s="5">
        <v>5965</v>
      </c>
      <c r="B6026" s="138">
        <f>'Revenues 9-14'!I109</f>
        <v>37428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73167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23890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521.88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258596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258596</v>
      </c>
      <c r="D6215" s="2" t="str">
        <f t="shared" si="96"/>
        <v>Error?</v>
      </c>
      <c r="E6215" s="2" t="s">
        <v>199</v>
      </c>
    </row>
    <row r="6216" spans="1:5" x14ac:dyDescent="0.2">
      <c r="A6216">
        <v>6155</v>
      </c>
      <c r="B6216" s="138">
        <f>'Assets-Liab 5-6'!J41</f>
        <v>258596</v>
      </c>
      <c r="D6216" s="2" t="str">
        <f t="shared" si="96"/>
        <v>Error?</v>
      </c>
      <c r="E6216" s="2" t="s">
        <v>199</v>
      </c>
    </row>
    <row r="6217" spans="1:5" x14ac:dyDescent="0.2">
      <c r="A6217">
        <v>6156</v>
      </c>
      <c r="B6217" s="138">
        <f>'Assets-Liab 5-6'!J4</f>
        <v>258596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186519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186519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186519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84915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84915</v>
      </c>
      <c r="D6229" s="2" t="str">
        <f t="shared" si="96"/>
        <v>Error?</v>
      </c>
      <c r="E6229" s="2" t="s">
        <v>199</v>
      </c>
    </row>
    <row r="6230" spans="1:5" x14ac:dyDescent="0.2">
      <c r="A6230">
        <v>6169</v>
      </c>
      <c r="B6230" s="138">
        <f>'Acct Summary 7-8'!J20</f>
        <v>101604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101604</v>
      </c>
      <c r="D6263" s="2" t="str">
        <f t="shared" si="96"/>
        <v>Error?</v>
      </c>
      <c r="E6263" s="2" t="s">
        <v>199</v>
      </c>
    </row>
    <row r="6264" spans="1:5" x14ac:dyDescent="0.2">
      <c r="A6264">
        <v>6203</v>
      </c>
      <c r="B6264" s="138">
        <f>'Acct Summary 7-8'!J79</f>
        <v>156992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258596</v>
      </c>
      <c r="D6266" s="2" t="str">
        <f t="shared" si="96"/>
        <v>Error?</v>
      </c>
      <c r="E6266" s="2" t="s">
        <v>199</v>
      </c>
    </row>
    <row r="6267" spans="1:5" x14ac:dyDescent="0.2">
      <c r="A6267">
        <v>6206</v>
      </c>
      <c r="B6267" s="138">
        <f>'Acct Summary 7-8'!C82</f>
        <v>115586</v>
      </c>
      <c r="D6267" s="2" t="str">
        <f t="shared" si="96"/>
        <v>Error?</v>
      </c>
      <c r="E6267" s="2" t="s">
        <v>199</v>
      </c>
    </row>
    <row r="6268" spans="1:5" x14ac:dyDescent="0.2">
      <c r="A6268">
        <v>6207</v>
      </c>
      <c r="B6268" s="138">
        <f>'Acct Summary 7-8'!D82</f>
        <v>-141475</v>
      </c>
      <c r="D6268" s="2" t="str">
        <f t="shared" si="96"/>
        <v>Error?</v>
      </c>
      <c r="E6268" s="2" t="s">
        <v>199</v>
      </c>
    </row>
    <row r="6269" spans="1:5" x14ac:dyDescent="0.2">
      <c r="A6269">
        <v>6208</v>
      </c>
      <c r="B6269" s="138">
        <f>'Acct Summary 7-8'!E82</f>
        <v>-485</v>
      </c>
      <c r="D6269" s="2" t="str">
        <f t="shared" si="96"/>
        <v>Error?</v>
      </c>
      <c r="E6269" s="2" t="s">
        <v>199</v>
      </c>
    </row>
    <row r="6270" spans="1:5" x14ac:dyDescent="0.2">
      <c r="A6270">
        <v>6209</v>
      </c>
      <c r="B6270" s="138">
        <f>'Acct Summary 7-8'!F82</f>
        <v>87485</v>
      </c>
      <c r="D6270" s="2" t="str">
        <f t="shared" si="96"/>
        <v>Error?</v>
      </c>
      <c r="E6270" s="2" t="s">
        <v>199</v>
      </c>
    </row>
    <row r="6271" spans="1:5" x14ac:dyDescent="0.2">
      <c r="A6271">
        <v>6210</v>
      </c>
      <c r="B6271" s="138">
        <f>'Acct Summary 7-8'!G82</f>
        <v>40747</v>
      </c>
      <c r="D6271" s="2" t="str">
        <f t="shared" ref="D6271:D6334" si="97">IF(ISBLANK(B6271),"OK",IF(A6271-B6271=0,"OK","Error?"))</f>
        <v>Error?</v>
      </c>
      <c r="E6271" s="2" t="s">
        <v>199</v>
      </c>
    </row>
    <row r="6272" spans="1:5" x14ac:dyDescent="0.2">
      <c r="A6272">
        <v>6211</v>
      </c>
      <c r="B6272" s="138">
        <f>'Acct Summary 7-8'!H82</f>
        <v>249081</v>
      </c>
      <c r="D6272" s="2" t="str">
        <f t="shared" si="97"/>
        <v>Error?</v>
      </c>
      <c r="E6272" s="2" t="s">
        <v>199</v>
      </c>
    </row>
    <row r="6273" spans="1:5" x14ac:dyDescent="0.2">
      <c r="A6273">
        <v>6212</v>
      </c>
      <c r="B6273" s="138">
        <f>'Acct Summary 7-8'!I82</f>
        <v>37428</v>
      </c>
      <c r="D6273" s="2" t="str">
        <f t="shared" si="97"/>
        <v>Error?</v>
      </c>
      <c r="E6273" s="2" t="s">
        <v>199</v>
      </c>
    </row>
    <row r="6274" spans="1:5" x14ac:dyDescent="0.2">
      <c r="A6274">
        <v>6213</v>
      </c>
      <c r="B6274" s="138">
        <f>'Acct Summary 7-8'!J82</f>
        <v>101604</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0.27745612013672849</v>
      </c>
      <c r="D6276" s="2" t="str">
        <f t="shared" si="97"/>
        <v>Error?</v>
      </c>
      <c r="E6276" s="2" t="s">
        <v>199</v>
      </c>
    </row>
    <row r="6277" spans="1:5" x14ac:dyDescent="0.2">
      <c r="A6277">
        <v>6216</v>
      </c>
      <c r="B6277" s="138">
        <f>'Acct Summary 7-8'!D83</f>
        <v>-0.32382737751897528</v>
      </c>
      <c r="D6277" s="2" t="str">
        <f t="shared" si="97"/>
        <v>Error?</v>
      </c>
      <c r="E6277" s="2" t="s">
        <v>199</v>
      </c>
    </row>
    <row r="6278" spans="1:5" x14ac:dyDescent="0.2">
      <c r="A6278">
        <v>6217</v>
      </c>
      <c r="B6278" s="138">
        <f>'Acct Summary 7-8'!E83</f>
        <v>-34.642857142857146</v>
      </c>
      <c r="D6278" s="2" t="str">
        <f t="shared" si="97"/>
        <v>Error?</v>
      </c>
      <c r="E6278" s="2" t="s">
        <v>199</v>
      </c>
    </row>
    <row r="6279" spans="1:5" x14ac:dyDescent="0.2">
      <c r="A6279">
        <v>6218</v>
      </c>
      <c r="B6279" s="138">
        <f>'Acct Summary 7-8'!F83</f>
        <v>0.2595917035102816</v>
      </c>
      <c r="D6279" s="2" t="str">
        <f t="shared" si="97"/>
        <v>Error?</v>
      </c>
      <c r="E6279" s="2" t="s">
        <v>199</v>
      </c>
    </row>
    <row r="6280" spans="1:5" x14ac:dyDescent="0.2">
      <c r="A6280">
        <v>6219</v>
      </c>
      <c r="B6280" s="138">
        <f>'Acct Summary 7-8'!G83</f>
        <v>0.16607635591458766</v>
      </c>
      <c r="D6280" s="2" t="str">
        <f t="shared" si="97"/>
        <v>Error?</v>
      </c>
      <c r="E6280" s="2" t="s">
        <v>199</v>
      </c>
    </row>
    <row r="6281" spans="1:5" x14ac:dyDescent="0.2">
      <c r="A6281">
        <v>6220</v>
      </c>
      <c r="B6281" s="138">
        <f>'Acct Summary 7-8'!H83</f>
        <v>0.38373108736209816</v>
      </c>
      <c r="D6281" s="2" t="str">
        <f t="shared" si="97"/>
        <v>Error?</v>
      </c>
      <c r="E6281" s="2" t="s">
        <v>199</v>
      </c>
    </row>
    <row r="6282" spans="1:5" x14ac:dyDescent="0.2">
      <c r="A6282">
        <v>6221</v>
      </c>
      <c r="B6282" s="138">
        <f>'Acct Summary 7-8'!I83</f>
        <v>3.7186547745488546E-2</v>
      </c>
      <c r="D6282" s="2" t="str">
        <f t="shared" si="97"/>
        <v>Error?</v>
      </c>
      <c r="E6282" s="2" t="s">
        <v>199</v>
      </c>
    </row>
    <row r="6283" spans="1:5" x14ac:dyDescent="0.2">
      <c r="A6283">
        <v>6222</v>
      </c>
      <c r="B6283" s="138">
        <f>'Acct Summary 7-8'!J83</f>
        <v>0.39290630945567606</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186516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186516</v>
      </c>
      <c r="D6301" s="2" t="str">
        <f t="shared" si="97"/>
        <v>Error?</v>
      </c>
      <c r="E6301" s="2" t="s">
        <v>199</v>
      </c>
    </row>
    <row r="6302" spans="1:5" x14ac:dyDescent="0.2">
      <c r="A6302">
        <v>6241</v>
      </c>
      <c r="B6302" s="138">
        <f>'Revenues 9-14'!J14</f>
        <v>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88115</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186519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43532</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43532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1684</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1684</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3946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3946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5630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49162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84915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186519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12110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12110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5258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5258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16300</v>
      </c>
      <c r="D7172" s="2" t="str">
        <f t="shared" si="111"/>
        <v>Error?</v>
      </c>
    </row>
    <row r="7173" spans="1:4" x14ac:dyDescent="0.2">
      <c r="A7173">
        <v>7112</v>
      </c>
      <c r="B7173" s="138">
        <f>'Expenditures 15-22'!D325</f>
        <v>2085</v>
      </c>
      <c r="D7173" s="2" t="str">
        <f t="shared" si="111"/>
        <v>Error?</v>
      </c>
    </row>
    <row r="7174" spans="1:4" x14ac:dyDescent="0.2">
      <c r="A7174">
        <v>7113</v>
      </c>
      <c r="B7174" s="138">
        <f>'Expenditures 15-22'!E325</f>
        <v>11596</v>
      </c>
      <c r="D7174" s="2" t="str">
        <f t="shared" si="111"/>
        <v>Error?</v>
      </c>
    </row>
    <row r="7175" spans="1:4" x14ac:dyDescent="0.2">
      <c r="A7175">
        <v>7114</v>
      </c>
      <c r="B7175" s="138">
        <f>'Expenditures 15-22'!F325</f>
        <v>1474</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31455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5062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5062</v>
      </c>
      <c r="D7198" s="2" t="str">
        <f t="shared" si="111"/>
        <v>Error?</v>
      </c>
    </row>
    <row r="7199" spans="1:4" x14ac:dyDescent="0.2">
      <c r="A7199">
        <v>7138</v>
      </c>
      <c r="B7199" s="138">
        <f>'Expenditures 15-22'!C330</f>
        <v>16300</v>
      </c>
      <c r="D7199" s="2" t="str">
        <f t="shared" si="111"/>
        <v>Error?</v>
      </c>
    </row>
    <row r="7200" spans="1:4" x14ac:dyDescent="0.2">
      <c r="A7200">
        <v>7139</v>
      </c>
      <c r="B7200" s="138">
        <f>'Expenditures 15-22'!D330</f>
        <v>2085</v>
      </c>
      <c r="D7200" s="2" t="str">
        <f t="shared" si="111"/>
        <v>Error?</v>
      </c>
    </row>
    <row r="7201" spans="1:4" x14ac:dyDescent="0.2">
      <c r="A7201">
        <v>7140</v>
      </c>
      <c r="B7201" s="138">
        <f>'Expenditures 15-22'!E330</f>
        <v>65056</v>
      </c>
      <c r="D7201" s="2" t="str">
        <f t="shared" si="111"/>
        <v>Error?</v>
      </c>
    </row>
    <row r="7202" spans="1:4" x14ac:dyDescent="0.2">
      <c r="A7202">
        <v>7141</v>
      </c>
      <c r="B7202" s="138">
        <f>'Expenditures 15-22'!F330</f>
        <v>1474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84915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16300</v>
      </c>
      <c r="D7216" s="2" t="str">
        <f t="shared" si="111"/>
        <v>Error?</v>
      </c>
    </row>
    <row r="7217" spans="1:4" x14ac:dyDescent="0.2">
      <c r="A7217">
        <v>7156</v>
      </c>
      <c r="B7217" s="138">
        <f>'Expenditures 15-22'!D342</f>
        <v>2085</v>
      </c>
      <c r="D7217" s="2" t="str">
        <f t="shared" si="111"/>
        <v>Error?</v>
      </c>
    </row>
    <row r="7218" spans="1:4" x14ac:dyDescent="0.2">
      <c r="A7218">
        <v>7157</v>
      </c>
      <c r="B7218" s="138">
        <f>'Expenditures 15-22'!E342</f>
        <v>65056</v>
      </c>
      <c r="D7218" s="2" t="str">
        <f t="shared" si="111"/>
        <v>Error?</v>
      </c>
    </row>
    <row r="7219" spans="1:4" x14ac:dyDescent="0.2">
      <c r="A7219">
        <v>7158</v>
      </c>
      <c r="B7219" s="138">
        <f>'Expenditures 15-22'!F342</f>
        <v>1474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84915</v>
      </c>
      <c r="D7224" s="2" t="str">
        <f t="shared" si="111"/>
        <v>Error?</v>
      </c>
    </row>
    <row r="7225" spans="1:4" x14ac:dyDescent="0.2">
      <c r="A7225">
        <v>7164</v>
      </c>
      <c r="B7225" s="138">
        <f>'Expenditures 15-22'!K343</f>
        <v>101604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49162</v>
      </c>
      <c r="D7624" s="2" t="str">
        <f t="shared" si="124"/>
        <v>Error?</v>
      </c>
      <c r="E7624" s="2" t="s">
        <v>19</v>
      </c>
    </row>
    <row r="7625" spans="1:5" x14ac:dyDescent="0.2">
      <c r="A7625">
        <f t="shared" si="123"/>
        <v>7564</v>
      </c>
      <c r="B7625" s="138">
        <f>'Cap Outlay Deprec 26'!I17</f>
        <v>4916.2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217231.2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31030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31030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13594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251556</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460347</v>
      </c>
      <c r="D7797" s="2" t="str">
        <f t="shared" si="127"/>
        <v>Error?</v>
      </c>
      <c r="E7797" s="4" t="s">
        <v>2019</v>
      </c>
    </row>
    <row r="7798" spans="1:5" x14ac:dyDescent="0.2">
      <c r="A7798">
        <v>7737</v>
      </c>
      <c r="B7798" s="138">
        <f>'Contracts Paid in CY 29'!F141</f>
        <v>75000</v>
      </c>
      <c r="D7798" s="2" t="str">
        <f t="shared" si="127"/>
        <v>Error?</v>
      </c>
      <c r="E7798" s="4" t="s">
        <v>2019</v>
      </c>
    </row>
    <row r="7799" spans="1:5" x14ac:dyDescent="0.2">
      <c r="A7799">
        <v>7738</v>
      </c>
      <c r="B7799" s="138">
        <f>'Contracts Paid in CY 29'!G141</f>
        <v>385347</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Pinckneyville School District No. 50</v>
      </c>
      <c r="B7" s="2422"/>
      <c r="C7" s="2422"/>
      <c r="D7" s="2423"/>
      <c r="E7" s="2424">
        <f>COVER!A13</f>
        <v>30073050002</v>
      </c>
      <c r="F7" s="2425"/>
      <c r="G7" s="2431" t="str">
        <f>COVER!T23</f>
        <v>066-005248</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Moore &amp; Simonin, PC</v>
      </c>
      <c r="H9" s="2437"/>
      <c r="I9" s="2437"/>
      <c r="J9" s="2437"/>
      <c r="K9" s="2437"/>
      <c r="L9" s="2438"/>
    </row>
    <row r="10" spans="1:29" ht="13.5" customHeight="1" x14ac:dyDescent="0.2">
      <c r="A10" s="2411">
        <f>COVER!A38</f>
        <v>0</v>
      </c>
      <c r="B10" s="2412"/>
      <c r="C10" s="2412"/>
      <c r="D10" s="2412"/>
      <c r="E10" s="2412"/>
      <c r="F10" s="2413"/>
      <c r="G10" s="2405" t="str">
        <f>COVER!T17</f>
        <v>3636 North Belt West</v>
      </c>
      <c r="H10" s="2406"/>
      <c r="I10" s="2406"/>
      <c r="J10" s="2406"/>
      <c r="K10" s="2406"/>
      <c r="L10" s="2407"/>
    </row>
    <row r="11" spans="1:29" ht="13.5" customHeight="1" x14ac:dyDescent="0.2">
      <c r="A11" s="1185" t="s">
        <v>1599</v>
      </c>
      <c r="B11" s="1186"/>
      <c r="C11" s="1187"/>
      <c r="D11" s="1192"/>
      <c r="E11" s="1187"/>
      <c r="F11" s="1191"/>
      <c r="G11" s="2405" t="str">
        <f>COVER!T19</f>
        <v>Belleville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mooresimonin@mrsaccountants.com</v>
      </c>
      <c r="J13" s="2418"/>
      <c r="K13" s="2418"/>
      <c r="L13" s="2419"/>
    </row>
    <row r="14" spans="1:29" ht="13.5" customHeight="1" x14ac:dyDescent="0.2">
      <c r="A14" s="2405" t="str">
        <f>COVER!A19</f>
        <v>301 W. Mulberry</v>
      </c>
      <c r="B14" s="2406"/>
      <c r="C14" s="2406"/>
      <c r="D14" s="2406"/>
      <c r="E14" s="2406"/>
      <c r="F14" s="2407"/>
      <c r="G14" s="1196" t="s">
        <v>1247</v>
      </c>
      <c r="H14" s="1194"/>
      <c r="I14" s="1194"/>
      <c r="J14" s="1194"/>
      <c r="K14" s="1194"/>
      <c r="L14" s="1195"/>
    </row>
    <row r="15" spans="1:29" ht="13.5" customHeight="1" x14ac:dyDescent="0.2">
      <c r="A15" s="2405" t="str">
        <f>COVER!A21</f>
        <v>Pinckneyville</v>
      </c>
      <c r="B15" s="2406"/>
      <c r="C15" s="2406"/>
      <c r="D15" s="2406"/>
      <c r="E15" s="2406"/>
      <c r="F15" s="2407"/>
      <c r="G15" s="2402" t="str">
        <f>COVER!T15</f>
        <v>Robert E. Moore, CPA</v>
      </c>
      <c r="H15" s="2403"/>
      <c r="I15" s="2403"/>
      <c r="J15" s="2403"/>
      <c r="K15" s="2403"/>
      <c r="L15" s="2404"/>
    </row>
    <row r="16" spans="1:29" ht="12.2" customHeight="1" x14ac:dyDescent="0.2">
      <c r="A16" s="2427">
        <f>COVER!A25</f>
        <v>62274</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618-233-5049</v>
      </c>
      <c r="H18" s="2422"/>
      <c r="I18" s="2422"/>
      <c r="J18" s="2422"/>
      <c r="K18" s="2421" t="str">
        <f>COVER!X21</f>
        <v>618-233-1061</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Pinckneyville School District No. 50</v>
      </c>
      <c r="B1" s="2420"/>
      <c r="C1" s="2420"/>
      <c r="D1" s="2420"/>
    </row>
    <row r="2" spans="1:11" s="1215" customFormat="1" ht="12.75" x14ac:dyDescent="0.2">
      <c r="A2" s="2444">
        <f>'Single Audit Cover'!E7</f>
        <v>30073050002</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Pinckneyville School District No. 50</v>
      </c>
      <c r="B1" s="2447"/>
      <c r="C1" s="2447"/>
      <c r="D1" s="2447"/>
      <c r="E1" s="2447"/>
    </row>
    <row r="2" spans="1:5" x14ac:dyDescent="0.2">
      <c r="A2" s="2448">
        <f>'Single Audit Cover'!E7</f>
        <v>30073050002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549207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23890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-28612</v>
      </c>
    </row>
    <row r="19" spans="1:4" ht="13.5" thickBot="1" x14ac:dyDescent="0.25">
      <c r="A19" s="1265" t="s">
        <v>1297</v>
      </c>
      <c r="D19" s="1266">
        <f>SUM(D10:D17)</f>
        <v>544485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544485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544485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Pinckneyville School District No. 50</v>
      </c>
      <c r="B1" s="2460"/>
      <c r="C1" s="2460"/>
      <c r="D1" s="2460"/>
      <c r="E1" s="2460"/>
      <c r="F1" s="2460"/>
    </row>
    <row r="2" spans="1:7" ht="13.5" customHeight="1" x14ac:dyDescent="0.2">
      <c r="A2" s="2461">
        <f>'Single Audit Cover'!E7</f>
        <v>30073050002</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Pinckneyville School District No. 50</v>
      </c>
      <c r="C1" s="2464"/>
      <c r="D1" s="2464"/>
      <c r="E1" s="2464"/>
      <c r="F1" s="2464"/>
      <c r="G1" s="2464"/>
      <c r="H1" s="2464"/>
      <c r="I1" s="2464"/>
      <c r="J1" s="2464"/>
      <c r="K1" s="2464"/>
      <c r="L1" s="2464"/>
      <c r="M1" s="2464"/>
    </row>
    <row r="2" spans="2:14" ht="15" x14ac:dyDescent="0.2">
      <c r="B2" s="2461">
        <f>'Single Audit Cover'!E7</f>
        <v>30073050002</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1"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Pinckneyville School District No. 50</v>
      </c>
      <c r="C1" s="2479"/>
      <c r="D1" s="2479"/>
      <c r="E1" s="2479"/>
      <c r="F1" s="2479"/>
      <c r="G1" s="2479"/>
      <c r="H1" s="2479"/>
      <c r="I1" s="2479"/>
      <c r="J1" s="1422"/>
    </row>
    <row r="2" spans="2:10" s="317" customFormat="1" ht="12.75" customHeight="1" x14ac:dyDescent="0.2">
      <c r="B2" s="2480">
        <f>'Single Audit Cover'!E7</f>
        <v>30073050002</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Pinckneyville School District No. 50</v>
      </c>
      <c r="C1" s="2478"/>
      <c r="D1" s="2478"/>
      <c r="E1" s="2478"/>
      <c r="F1" s="2478"/>
      <c r="G1" s="2478"/>
      <c r="H1" s="2478"/>
      <c r="I1" s="2478"/>
      <c r="J1" s="2478"/>
      <c r="K1" s="2478"/>
      <c r="L1" s="1374"/>
      <c r="M1" s="1374"/>
    </row>
    <row r="2" spans="1:13" ht="12" customHeight="1" x14ac:dyDescent="0.2">
      <c r="B2" s="2480">
        <f>'Single Audit Cover'!E7</f>
        <v>30073050002</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2100</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2101</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t="s">
        <v>2102</v>
      </c>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2103</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2104</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2105</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2106</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Pinckneyville School District No. 50</v>
      </c>
      <c r="C1" s="2501"/>
      <c r="D1" s="2501"/>
      <c r="E1" s="2501"/>
      <c r="F1" s="2501"/>
      <c r="G1" s="2501"/>
      <c r="H1" s="2501"/>
      <c r="I1" s="2501"/>
      <c r="J1" s="2501"/>
      <c r="K1" s="2501"/>
      <c r="L1" s="1465"/>
    </row>
    <row r="2" spans="1:12" ht="12.75" customHeight="1" x14ac:dyDescent="0.2">
      <c r="B2" s="2502">
        <f>'Single Audit Cover'!E7</f>
        <v>30073050002</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11" sqref="B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Pinckneyville School District No. 50</v>
      </c>
      <c r="C1" s="2478"/>
      <c r="D1" s="2478"/>
      <c r="E1" s="1491"/>
    </row>
    <row r="2" spans="2:5" s="1282" customFormat="1" ht="12.75" customHeight="1" x14ac:dyDescent="0.2">
      <c r="B2" s="2480">
        <f>'Single Audit Cover'!E7</f>
        <v>30073050002</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t="s">
        <v>2107</v>
      </c>
      <c r="C8" s="324" t="s">
        <v>2108</v>
      </c>
      <c r="D8" s="324" t="s">
        <v>2111</v>
      </c>
      <c r="E8" s="324"/>
    </row>
    <row r="9" spans="2:5" ht="13.5" customHeight="1" x14ac:dyDescent="0.2">
      <c r="B9" s="1497"/>
      <c r="C9" s="323" t="s">
        <v>2109</v>
      </c>
      <c r="D9" s="323"/>
      <c r="E9" s="323"/>
    </row>
    <row r="10" spans="2:5" ht="13.5" customHeight="1" x14ac:dyDescent="0.2">
      <c r="B10" s="1496"/>
      <c r="C10" s="323" t="s">
        <v>2110</v>
      </c>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A8" sqref="A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72062504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9.1000000000000004E-3</v>
      </c>
      <c r="E10" s="356" t="s">
        <v>1062</v>
      </c>
      <c r="F10" s="355">
        <v>2.5000000000000001E-3</v>
      </c>
      <c r="G10" s="356" t="s">
        <v>1062</v>
      </c>
      <c r="H10" s="355">
        <v>1.1999999999999999E-3</v>
      </c>
      <c r="I10" s="356" t="s">
        <v>1063</v>
      </c>
      <c r="J10" s="1754">
        <f>ROUND(D10+F10+H10,5)</f>
        <v>1.2800000000000001E-2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4370970</v>
      </c>
      <c r="E16" s="356"/>
      <c r="F16" s="1755">
        <f>SUM('Acct Summary 7-8'!C17,'Acct Summary 7-8'!D17,'Acct Summary 7-8'!F17)</f>
        <v>4271946</v>
      </c>
      <c r="G16" s="356"/>
      <c r="H16" s="1755">
        <f>SUM(D16-F16)</f>
        <v>99024</v>
      </c>
      <c r="I16" s="222"/>
      <c r="J16" s="1755">
        <f>SUM('Acct Summary 7-8'!C81,'Acct Summary 7-8'!D81,'Acct Summary 7-8'!F81,'Acct Summary 7-8'!I81)</f>
        <v>2196979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4972312.7760000005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642800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8" sqref="A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Pinckneyville School District No. 50</v>
      </c>
      <c r="E7" s="391"/>
      <c r="G7" s="252"/>
      <c r="H7" s="387"/>
      <c r="I7" s="387"/>
      <c r="J7" s="387"/>
      <c r="K7" s="387"/>
      <c r="L7" s="329"/>
      <c r="M7" s="329"/>
      <c r="N7" s="329"/>
      <c r="O7" s="329"/>
      <c r="P7" s="329"/>
    </row>
    <row r="8" spans="1:18" ht="12.75" x14ac:dyDescent="0.2">
      <c r="A8" s="329"/>
      <c r="B8" s="329"/>
      <c r="C8" s="389" t="s">
        <v>1187</v>
      </c>
      <c r="D8" s="392">
        <f>COVER!A13</f>
        <v>30073050002</v>
      </c>
      <c r="E8" s="393"/>
      <c r="G8" s="329"/>
      <c r="H8" s="329"/>
      <c r="I8" s="329"/>
      <c r="J8" s="329"/>
      <c r="K8" s="329"/>
      <c r="L8" s="329"/>
      <c r="M8" s="329"/>
      <c r="N8" s="329"/>
      <c r="O8" s="329"/>
      <c r="P8" s="329"/>
    </row>
    <row r="9" spans="1:18" ht="12.75" x14ac:dyDescent="0.2">
      <c r="A9" s="329"/>
      <c r="B9" s="329"/>
      <c r="C9" s="389" t="s">
        <v>737</v>
      </c>
      <c r="D9" s="394" t="str">
        <f>COVER!A15</f>
        <v>Perry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2196979</v>
      </c>
      <c r="I12" s="404"/>
      <c r="J12" s="404"/>
      <c r="K12" s="405">
        <f>TRUNC((H12/H13*100000),5)/100000</f>
        <v>0.50262962219999996</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4370970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4271946</v>
      </c>
      <c r="I17" s="404"/>
      <c r="J17" s="416"/>
      <c r="K17" s="405">
        <f>TRUNC((H17/H18*100000),5)/100000</f>
        <v>0.97734507439999996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4370970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2196979</v>
      </c>
      <c r="I24" s="422"/>
      <c r="J24" s="422"/>
      <c r="K24" s="423">
        <f>TRUNC(((H24/H25*100000)/100000),2)</f>
        <v>185.14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11866.516670000001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784040.04351999995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642800</v>
      </c>
      <c r="I32" s="420"/>
      <c r="J32" s="420"/>
      <c r="K32" s="423">
        <f>TRUNC(100-((((H32/H33*100))*100)/100),2)</f>
        <v>87.07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4972312.7760000005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4" activePane="bottomLeft" state="frozen"/>
      <selection activeCell="A8" sqref="A8"/>
      <selection pane="bottomLeft" activeCell="A8" sqref="A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416592</v>
      </c>
      <c r="D4" s="466">
        <v>436884</v>
      </c>
      <c r="E4" s="466">
        <v>14</v>
      </c>
      <c r="F4" s="466">
        <v>337010</v>
      </c>
      <c r="G4" s="466">
        <v>245351</v>
      </c>
      <c r="H4" s="466">
        <v>649103</v>
      </c>
      <c r="I4" s="466">
        <v>1006493</v>
      </c>
      <c r="J4" s="467">
        <v>258596</v>
      </c>
      <c r="K4" s="466">
        <v>124611</v>
      </c>
      <c r="L4" s="466">
        <v>22833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416592</v>
      </c>
      <c r="D13" s="1759">
        <f t="shared" ref="D13:L13" si="0">SUM(D4:D12)</f>
        <v>436884</v>
      </c>
      <c r="E13" s="1759">
        <f t="shared" si="0"/>
        <v>14</v>
      </c>
      <c r="F13" s="1759">
        <f t="shared" si="0"/>
        <v>337010</v>
      </c>
      <c r="G13" s="1759">
        <f t="shared" si="0"/>
        <v>245351</v>
      </c>
      <c r="H13" s="1759">
        <f t="shared" si="0"/>
        <v>649103</v>
      </c>
      <c r="I13" s="1759">
        <f t="shared" si="0"/>
        <v>1006493</v>
      </c>
      <c r="J13" s="1759">
        <f t="shared" si="0"/>
        <v>258596</v>
      </c>
      <c r="K13" s="1759">
        <f t="shared" si="0"/>
        <v>124611</v>
      </c>
      <c r="L13" s="1759">
        <f t="shared" si="0"/>
        <v>22833</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104174</v>
      </c>
      <c r="N16" s="484"/>
    </row>
    <row r="17" spans="1:14" s="485" customFormat="1" ht="12.75" customHeight="1" x14ac:dyDescent="0.2">
      <c r="A17" s="482" t="s">
        <v>1470</v>
      </c>
      <c r="B17" s="483">
        <v>230</v>
      </c>
      <c r="C17" s="477"/>
      <c r="D17" s="477"/>
      <c r="E17" s="477"/>
      <c r="F17" s="477"/>
      <c r="G17" s="477"/>
      <c r="H17" s="477"/>
      <c r="I17" s="477"/>
      <c r="J17" s="477"/>
      <c r="K17" s="477"/>
      <c r="L17" s="477"/>
      <c r="M17" s="467">
        <v>6942829</v>
      </c>
      <c r="N17" s="484"/>
    </row>
    <row r="18" spans="1:14" s="485" customFormat="1" ht="12.75" customHeight="1" x14ac:dyDescent="0.2">
      <c r="A18" s="482" t="s">
        <v>1471</v>
      </c>
      <c r="B18" s="483">
        <v>240</v>
      </c>
      <c r="C18" s="477"/>
      <c r="D18" s="477"/>
      <c r="E18" s="477"/>
      <c r="F18" s="477"/>
      <c r="G18" s="477"/>
      <c r="H18" s="477"/>
      <c r="I18" s="477"/>
      <c r="J18" s="477"/>
      <c r="K18" s="477"/>
      <c r="L18" s="477"/>
      <c r="M18" s="467">
        <v>285673</v>
      </c>
      <c r="N18" s="484"/>
    </row>
    <row r="19" spans="1:14" s="485" customFormat="1" ht="12.75" customHeight="1" x14ac:dyDescent="0.2">
      <c r="A19" s="482" t="s">
        <v>1472</v>
      </c>
      <c r="B19" s="483">
        <v>250</v>
      </c>
      <c r="C19" s="477"/>
      <c r="D19" s="477"/>
      <c r="E19" s="477"/>
      <c r="F19" s="477"/>
      <c r="G19" s="477"/>
      <c r="H19" s="477"/>
      <c r="I19" s="477"/>
      <c r="J19" s="477"/>
      <c r="K19" s="477"/>
      <c r="L19" s="477"/>
      <c r="M19" s="467">
        <v>1176770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642786</v>
      </c>
    </row>
    <row r="23" spans="1:14" ht="13.5" customHeight="1" thickBot="1" x14ac:dyDescent="0.25">
      <c r="A23" s="1758" t="s">
        <v>664</v>
      </c>
      <c r="B23" s="1763"/>
      <c r="C23" s="468"/>
      <c r="D23" s="468"/>
      <c r="E23" s="468"/>
      <c r="F23" s="468"/>
      <c r="G23" s="468"/>
      <c r="H23" s="468"/>
      <c r="I23" s="468"/>
      <c r="J23" s="468"/>
      <c r="K23" s="468"/>
      <c r="L23" s="468"/>
      <c r="M23" s="1710">
        <f>SUM(M15:M22)</f>
        <v>8509446</v>
      </c>
      <c r="N23" s="1710">
        <f>SUM(N21:N22)</f>
        <v>642800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22833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22833</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642800</v>
      </c>
    </row>
    <row r="37" spans="1:14" ht="13.5" thickBot="1" x14ac:dyDescent="0.25">
      <c r="A37" s="1758" t="s">
        <v>674</v>
      </c>
      <c r="B37" s="1763"/>
      <c r="C37" s="477"/>
      <c r="D37" s="477"/>
      <c r="E37" s="477"/>
      <c r="F37" s="477"/>
      <c r="G37" s="477"/>
      <c r="H37" s="477"/>
      <c r="I37" s="477"/>
      <c r="J37" s="477"/>
      <c r="K37" s="477"/>
      <c r="L37" s="480"/>
      <c r="M37" s="468"/>
      <c r="N37" s="1710">
        <f>SUM(N36:N36)</f>
        <v>642800</v>
      </c>
    </row>
    <row r="38" spans="1:14" s="329" customFormat="1" ht="13.5" customHeight="1" thickTop="1" x14ac:dyDescent="0.2">
      <c r="A38" s="496" t="s">
        <v>440</v>
      </c>
      <c r="B38" s="483">
        <v>714</v>
      </c>
      <c r="C38" s="466"/>
      <c r="D38" s="466"/>
      <c r="E38" s="466"/>
      <c r="F38" s="466"/>
      <c r="G38" s="466">
        <v>30987</v>
      </c>
      <c r="H38" s="466"/>
      <c r="I38" s="466"/>
      <c r="J38" s="467"/>
      <c r="K38" s="466"/>
      <c r="L38" s="481"/>
      <c r="M38" s="497"/>
      <c r="N38" s="497"/>
    </row>
    <row r="39" spans="1:14" s="329" customFormat="1" ht="13.5" customHeight="1" x14ac:dyDescent="0.2">
      <c r="A39" s="496" t="s">
        <v>360</v>
      </c>
      <c r="B39" s="483">
        <v>730</v>
      </c>
      <c r="C39" s="466">
        <v>416592</v>
      </c>
      <c r="D39" s="466">
        <v>436884</v>
      </c>
      <c r="E39" s="466">
        <v>14</v>
      </c>
      <c r="F39" s="466">
        <v>337010</v>
      </c>
      <c r="G39" s="466">
        <v>214364</v>
      </c>
      <c r="H39" s="466">
        <v>649103</v>
      </c>
      <c r="I39" s="466">
        <v>1006493</v>
      </c>
      <c r="J39" s="467">
        <v>258596</v>
      </c>
      <c r="K39" s="466">
        <v>124611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8509446</v>
      </c>
      <c r="N40" s="497"/>
    </row>
    <row r="41" spans="1:14" ht="13.5" customHeight="1" thickBot="1" x14ac:dyDescent="0.25">
      <c r="A41" s="1758" t="s">
        <v>676</v>
      </c>
      <c r="B41" s="1728"/>
      <c r="C41" s="1710">
        <f>(SUM(C34,C37,C38,C39))</f>
        <v>416592</v>
      </c>
      <c r="D41" s="1710">
        <f t="shared" ref="D41:L41" si="2">SUM(D34,D37,D38:D39)</f>
        <v>436884</v>
      </c>
      <c r="E41" s="1710">
        <f t="shared" si="2"/>
        <v>14</v>
      </c>
      <c r="F41" s="1710">
        <f t="shared" si="2"/>
        <v>337010</v>
      </c>
      <c r="G41" s="1710">
        <f t="shared" si="2"/>
        <v>245351</v>
      </c>
      <c r="H41" s="1710">
        <f t="shared" si="2"/>
        <v>649103</v>
      </c>
      <c r="I41" s="1710">
        <f t="shared" si="2"/>
        <v>1006493</v>
      </c>
      <c r="J41" s="1710">
        <f t="shared" si="2"/>
        <v>258596</v>
      </c>
      <c r="K41" s="1710">
        <f t="shared" si="2"/>
        <v>124611</v>
      </c>
      <c r="L41" s="1710">
        <f t="shared" si="2"/>
        <v>22833</v>
      </c>
      <c r="M41" s="1710">
        <f>SUM(M40)</f>
        <v>8509446</v>
      </c>
      <c r="N41" s="1710">
        <f>SUM(N37)</f>
        <v>642800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&amp;L&amp;8See notes.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9" activePane="bottomLeft" state="frozenSplit"/>
      <selection activeCell="A8" sqref="A8"/>
      <selection pane="bottomLeft" activeCell="A8" sqref="A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871733</v>
      </c>
      <c r="D4" s="1764">
        <f>'Revenues 9-14'!D109</f>
        <v>259821</v>
      </c>
      <c r="E4" s="1764">
        <f>'Revenues 9-14'!E109</f>
        <v>158854</v>
      </c>
      <c r="F4" s="1764">
        <f>'Revenues 9-14'!F109</f>
        <v>82713</v>
      </c>
      <c r="G4" s="1764">
        <f>'Revenues 9-14'!G109</f>
        <v>171633</v>
      </c>
      <c r="H4" s="1764">
        <f>'Revenues 9-14'!H109</f>
        <v>251556</v>
      </c>
      <c r="I4" s="1764">
        <f>'Revenues 9-14'!I109</f>
        <v>37428</v>
      </c>
      <c r="J4" s="1764">
        <f>'Revenues 9-14'!J109</f>
        <v>186519</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2191555</v>
      </c>
      <c r="D6" s="1765">
        <f>'Revenues 9-14'!D173</f>
        <v>0</v>
      </c>
      <c r="E6" s="1765">
        <f>'Revenues 9-14'!E173</f>
        <v>0</v>
      </c>
      <c r="F6" s="1765">
        <f>'Revenues 9-14'!F173</f>
        <v>391422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536298</v>
      </c>
      <c r="D7" s="1765">
        <f>'Revenues 9-14'!D274</f>
        <v>0</v>
      </c>
      <c r="E7" s="1765">
        <f>'Revenues 9-14'!E274</f>
        <v>0</v>
      </c>
      <c r="F7" s="1765">
        <f>'Revenues 9-14'!F274</f>
        <v>0</v>
      </c>
      <c r="G7" s="1765">
        <f>'Revenues 9-14'!G274</f>
        <v>12909</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3599586</v>
      </c>
      <c r="D8" s="1710">
        <f t="shared" ref="D8:K8" si="0">SUM(D4:D7)</f>
        <v>259821</v>
      </c>
      <c r="E8" s="1710">
        <f t="shared" si="0"/>
        <v>158854</v>
      </c>
      <c r="F8" s="1710">
        <f t="shared" si="0"/>
        <v>474135</v>
      </c>
      <c r="G8" s="1710">
        <f t="shared" si="0"/>
        <v>184542</v>
      </c>
      <c r="H8" s="1710">
        <f t="shared" si="0"/>
        <v>251556</v>
      </c>
      <c r="I8" s="1710">
        <f t="shared" si="0"/>
        <v>37428</v>
      </c>
      <c r="J8" s="1710">
        <f t="shared" si="0"/>
        <v>186519</v>
      </c>
      <c r="K8" s="1710">
        <f t="shared" si="0"/>
        <v>0</v>
      </c>
      <c r="L8" s="347"/>
    </row>
    <row r="9" spans="1:13" ht="15.75" thickTop="1" x14ac:dyDescent="0.2">
      <c r="A9" s="514" t="s">
        <v>1752</v>
      </c>
      <c r="B9" s="515">
        <v>3998</v>
      </c>
      <c r="C9" s="481">
        <v>1751603</v>
      </c>
      <c r="D9" s="516"/>
      <c r="E9" s="481"/>
      <c r="F9" s="481"/>
      <c r="G9" s="517"/>
      <c r="H9" s="481"/>
      <c r="I9" s="509" t="s">
        <v>1231</v>
      </c>
      <c r="J9" s="478"/>
      <c r="K9" s="481"/>
      <c r="L9" s="347"/>
    </row>
    <row r="10" spans="1:13" s="519" customFormat="1" ht="13.5" thickBot="1" x14ac:dyDescent="0.25">
      <c r="A10" s="1758" t="s">
        <v>1235</v>
      </c>
      <c r="B10" s="1731"/>
      <c r="C10" s="1710">
        <f>SUM(C8:C9)</f>
        <v>5351189</v>
      </c>
      <c r="D10" s="1710">
        <f t="shared" ref="D10:K10" si="1">SUM(D8:D9)</f>
        <v>259821</v>
      </c>
      <c r="E10" s="1710">
        <f t="shared" si="1"/>
        <v>158854</v>
      </c>
      <c r="F10" s="1710">
        <f t="shared" si="1"/>
        <v>474135</v>
      </c>
      <c r="G10" s="1710">
        <f t="shared" si="1"/>
        <v>184542</v>
      </c>
      <c r="H10" s="1710">
        <f t="shared" si="1"/>
        <v>251556</v>
      </c>
      <c r="I10" s="1710">
        <f t="shared" si="1"/>
        <v>37428</v>
      </c>
      <c r="J10" s="1710">
        <f t="shared" si="1"/>
        <v>186519</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2408545</v>
      </c>
      <c r="D12" s="520" t="s">
        <v>1231</v>
      </c>
      <c r="E12" s="468" t="s">
        <v>1231</v>
      </c>
      <c r="F12" s="468" t="s">
        <v>1231</v>
      </c>
      <c r="G12" s="1764">
        <f>'Expenditures 15-22'!K229</f>
        <v>42427</v>
      </c>
      <c r="H12" s="521"/>
      <c r="I12" s="468" t="s">
        <v>1231</v>
      </c>
      <c r="J12" s="468" t="s">
        <v>1231</v>
      </c>
      <c r="K12" s="521" t="s">
        <v>1231</v>
      </c>
      <c r="L12" s="347"/>
    </row>
    <row r="13" spans="1:13" ht="15.75" customHeight="1" x14ac:dyDescent="0.2">
      <c r="A13" s="1598" t="s">
        <v>477</v>
      </c>
      <c r="B13" s="1600">
        <v>2000</v>
      </c>
      <c r="C13" s="1765">
        <f>'Expenditures 15-22'!K74</f>
        <v>1004705</v>
      </c>
      <c r="D13" s="1765">
        <f>'Expenditures 15-22'!K129</f>
        <v>401296</v>
      </c>
      <c r="E13" s="469" t="s">
        <v>1231</v>
      </c>
      <c r="F13" s="1765">
        <f>'Expenditures 15-22'!K184</f>
        <v>386650</v>
      </c>
      <c r="G13" s="1765">
        <f>'Expenditures 15-22'!K279</f>
        <v>101368</v>
      </c>
      <c r="H13" s="1765">
        <f>'Expenditures 15-22'!K303</f>
        <v>2475</v>
      </c>
      <c r="I13" s="468" t="s">
        <v>1231</v>
      </c>
      <c r="J13" s="1765">
        <f>'Expenditures 15-22'!K330</f>
        <v>84915</v>
      </c>
      <c r="K13" s="1769">
        <f>'Expenditures 15-22'!K352</f>
        <v>0</v>
      </c>
      <c r="L13" s="347"/>
    </row>
    <row r="14" spans="1:13" ht="15.75" customHeight="1" x14ac:dyDescent="0.2">
      <c r="A14" s="1598" t="s">
        <v>469</v>
      </c>
      <c r="B14" s="1600">
        <v>3000</v>
      </c>
      <c r="C14" s="1765">
        <f>'Expenditures 15-22'!K75</f>
        <v>3338</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67412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159339</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3484000</v>
      </c>
      <c r="D17" s="1710">
        <f t="shared" si="2"/>
        <v>401296</v>
      </c>
      <c r="E17" s="1710">
        <f t="shared" si="2"/>
        <v>159339</v>
      </c>
      <c r="F17" s="1710">
        <f t="shared" si="2"/>
        <v>386650</v>
      </c>
      <c r="G17" s="1710">
        <f t="shared" si="2"/>
        <v>143795</v>
      </c>
      <c r="H17" s="1710">
        <f t="shared" si="2"/>
        <v>2475</v>
      </c>
      <c r="I17" s="468"/>
      <c r="J17" s="1710">
        <f>SUM(J12:J16)</f>
        <v>84915</v>
      </c>
      <c r="K17" s="1710">
        <f>SUM(K12:K16)</f>
        <v>0</v>
      </c>
      <c r="L17" s="347"/>
    </row>
    <row r="18" spans="1:12" ht="15" customHeight="1" thickTop="1" x14ac:dyDescent="0.2">
      <c r="A18" s="1766" t="s">
        <v>1753</v>
      </c>
      <c r="B18" s="1767">
        <v>4180</v>
      </c>
      <c r="C18" s="1764">
        <f t="shared" ref="C18:H18" si="3">C9</f>
        <v>1751603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5235603</v>
      </c>
      <c r="D19" s="1710">
        <f t="shared" si="4"/>
        <v>401296</v>
      </c>
      <c r="E19" s="1710">
        <f t="shared" si="4"/>
        <v>159339</v>
      </c>
      <c r="F19" s="1710">
        <f t="shared" si="4"/>
        <v>386650</v>
      </c>
      <c r="G19" s="1710">
        <f t="shared" si="4"/>
        <v>143795</v>
      </c>
      <c r="H19" s="1710">
        <f t="shared" si="4"/>
        <v>2475</v>
      </c>
      <c r="I19" s="468"/>
      <c r="J19" s="1710">
        <f>SUM(J17:J18)</f>
        <v>84915</v>
      </c>
      <c r="K19" s="1710">
        <f>SUM(K17:K18)</f>
        <v>0</v>
      </c>
      <c r="L19" s="347"/>
    </row>
    <row r="20" spans="1:12" ht="16.5" thickTop="1" thickBot="1" x14ac:dyDescent="0.25">
      <c r="A20" s="2144" t="s">
        <v>1754</v>
      </c>
      <c r="B20" s="2145"/>
      <c r="C20" s="1768">
        <f>C8-C17</f>
        <v>115586</v>
      </c>
      <c r="D20" s="1768">
        <f t="shared" ref="D20:K20" si="5">D8-D17</f>
        <v>-141475</v>
      </c>
      <c r="E20" s="1768">
        <f t="shared" si="5"/>
        <v>-485</v>
      </c>
      <c r="F20" s="1768">
        <f t="shared" si="5"/>
        <v>87485</v>
      </c>
      <c r="G20" s="1768">
        <f t="shared" si="5"/>
        <v>40747</v>
      </c>
      <c r="H20" s="1768">
        <f t="shared" si="5"/>
        <v>249081</v>
      </c>
      <c r="I20" s="1768">
        <f t="shared" si="5"/>
        <v>37428</v>
      </c>
      <c r="J20" s="1768">
        <f t="shared" si="5"/>
        <v>101604</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115586</v>
      </c>
      <c r="D78" s="1724">
        <f t="shared" si="9"/>
        <v>-141475</v>
      </c>
      <c r="E78" s="1724">
        <f t="shared" si="9"/>
        <v>-485</v>
      </c>
      <c r="F78" s="1724">
        <f t="shared" si="9"/>
        <v>87485</v>
      </c>
      <c r="G78" s="1724">
        <f t="shared" si="9"/>
        <v>40747</v>
      </c>
      <c r="H78" s="1724">
        <f t="shared" si="9"/>
        <v>249081</v>
      </c>
      <c r="I78" s="1724">
        <f t="shared" si="9"/>
        <v>37428</v>
      </c>
      <c r="J78" s="1724">
        <f t="shared" si="9"/>
        <v>101604</v>
      </c>
      <c r="K78" s="1724">
        <f t="shared" si="9"/>
        <v>0</v>
      </c>
      <c r="L78" s="533"/>
    </row>
    <row r="79" spans="1:12" ht="13.5" thickTop="1" x14ac:dyDescent="0.2">
      <c r="A79" s="1516" t="s">
        <v>2071</v>
      </c>
      <c r="B79" s="534"/>
      <c r="C79" s="478">
        <v>301006</v>
      </c>
      <c r="D79" s="535">
        <v>578359</v>
      </c>
      <c r="E79" s="535">
        <v>499</v>
      </c>
      <c r="F79" s="535">
        <v>249525</v>
      </c>
      <c r="G79" s="535">
        <v>204604</v>
      </c>
      <c r="H79" s="535">
        <v>400022</v>
      </c>
      <c r="I79" s="535">
        <v>969065</v>
      </c>
      <c r="J79" s="535">
        <v>156992</v>
      </c>
      <c r="K79" s="535">
        <v>124611</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416592</v>
      </c>
      <c r="D81" s="1710">
        <f>SUM(D78:D80)</f>
        <v>436884</v>
      </c>
      <c r="E81" s="1710">
        <f t="shared" ref="E81:K81" si="10">SUM(E78:E80)</f>
        <v>14</v>
      </c>
      <c r="F81" s="1710">
        <f t="shared" si="10"/>
        <v>337010</v>
      </c>
      <c r="G81" s="1710">
        <f t="shared" si="10"/>
        <v>245351</v>
      </c>
      <c r="H81" s="1710">
        <f t="shared" si="10"/>
        <v>649103</v>
      </c>
      <c r="I81" s="1710">
        <f t="shared" si="10"/>
        <v>1006493</v>
      </c>
      <c r="J81" s="1710">
        <f t="shared" si="10"/>
        <v>258596</v>
      </c>
      <c r="K81" s="1710">
        <f t="shared" si="10"/>
        <v>124611</v>
      </c>
      <c r="L81" s="347"/>
    </row>
    <row r="82" spans="1:12" ht="0.75" customHeight="1" thickTop="1" thickBot="1" x14ac:dyDescent="0.25">
      <c r="A82" s="536" t="s">
        <v>361</v>
      </c>
      <c r="B82" s="537"/>
      <c r="C82" s="538">
        <f>(C81-C79)</f>
        <v>115586</v>
      </c>
      <c r="D82" s="538">
        <f t="shared" ref="D82:K82" si="11">(D81-D79)</f>
        <v>-141475</v>
      </c>
      <c r="E82" s="538">
        <f t="shared" si="11"/>
        <v>-485</v>
      </c>
      <c r="F82" s="538">
        <f t="shared" si="11"/>
        <v>87485</v>
      </c>
      <c r="G82" s="538">
        <f t="shared" si="11"/>
        <v>40747</v>
      </c>
      <c r="H82" s="538">
        <f t="shared" si="11"/>
        <v>249081</v>
      </c>
      <c r="I82" s="538">
        <f t="shared" si="11"/>
        <v>37428</v>
      </c>
      <c r="J82" s="538">
        <f t="shared" si="11"/>
        <v>101604</v>
      </c>
      <c r="K82" s="538">
        <f t="shared" si="11"/>
        <v>0</v>
      </c>
    </row>
    <row r="83" spans="1:12" ht="14.25" hidden="1" thickTop="1" thickBot="1" x14ac:dyDescent="0.25">
      <c r="A83" s="539" t="s">
        <v>362</v>
      </c>
      <c r="B83" s="464"/>
      <c r="C83" s="540">
        <f>C82/C81</f>
        <v>0.27745612013672849</v>
      </c>
      <c r="D83" s="540">
        <f t="shared" ref="D83:K83" si="12">D82/D81</f>
        <v>-0.32382737751897528</v>
      </c>
      <c r="E83" s="540">
        <f t="shared" si="12"/>
        <v>-34.642857142857146</v>
      </c>
      <c r="F83" s="540">
        <f t="shared" si="12"/>
        <v>0.2595917035102816</v>
      </c>
      <c r="G83" s="540">
        <f t="shared" si="12"/>
        <v>0.16607635591458766</v>
      </c>
      <c r="H83" s="540">
        <f t="shared" si="12"/>
        <v>0.38373108736209816</v>
      </c>
      <c r="I83" s="540">
        <f t="shared" si="12"/>
        <v>3.7186547745488546E-2</v>
      </c>
      <c r="J83" s="540">
        <f t="shared" si="12"/>
        <v>0.39290630945567606</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&amp;L&amp;8See notes.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5" activePane="bottomLeft" state="frozen"/>
      <selection activeCell="A8" sqref="A8"/>
      <selection pane="bottomLeft" activeCell="E5" sqref="E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625348</v>
      </c>
      <c r="D5" s="481">
        <v>169931</v>
      </c>
      <c r="E5" s="466">
        <v>158851</v>
      </c>
      <c r="F5" s="548">
        <v>81567</v>
      </c>
      <c r="G5" s="466">
        <v>94889</v>
      </c>
      <c r="H5" s="466"/>
      <c r="I5" s="466">
        <v>33986</v>
      </c>
      <c r="J5" s="467">
        <v>186516</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13594</v>
      </c>
      <c r="D7" s="466"/>
      <c r="E7" s="468"/>
      <c r="F7" s="467"/>
      <c r="G7" s="467"/>
      <c r="H7" s="467"/>
      <c r="I7" s="468"/>
      <c r="J7" s="468"/>
      <c r="K7" s="468"/>
    </row>
    <row r="8" spans="1:12" x14ac:dyDescent="0.2">
      <c r="A8" s="463" t="s">
        <v>433</v>
      </c>
      <c r="B8" s="470">
        <v>1150</v>
      </c>
      <c r="C8" s="475"/>
      <c r="D8" s="475"/>
      <c r="E8" s="477"/>
      <c r="F8" s="477"/>
      <c r="G8" s="481">
        <v>67701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638942</v>
      </c>
      <c r="D12" s="1729">
        <f t="shared" si="0"/>
        <v>169931</v>
      </c>
      <c r="E12" s="1729">
        <f t="shared" si="0"/>
        <v>158851</v>
      </c>
      <c r="F12" s="1729">
        <f t="shared" si="0"/>
        <v>81567</v>
      </c>
      <c r="G12" s="1729">
        <f t="shared" si="0"/>
        <v>162590</v>
      </c>
      <c r="H12" s="1729">
        <f t="shared" si="0"/>
        <v>0</v>
      </c>
      <c r="I12" s="1729">
        <f t="shared" si="0"/>
        <v>33986</v>
      </c>
      <c r="J12" s="1729">
        <f t="shared" si="0"/>
        <v>186516</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12</v>
      </c>
      <c r="D14" s="466"/>
      <c r="E14" s="466">
        <v>3</v>
      </c>
      <c r="F14" s="466">
        <v>1</v>
      </c>
      <c r="G14" s="466">
        <v>3</v>
      </c>
      <c r="H14" s="466"/>
      <c r="I14" s="466">
        <v>2</v>
      </c>
      <c r="J14" s="467">
        <v>3</v>
      </c>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123933</v>
      </c>
      <c r="D16" s="466"/>
      <c r="E16" s="466"/>
      <c r="F16" s="466"/>
      <c r="G16" s="466">
        <v>8200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123945</v>
      </c>
      <c r="D18" s="1732">
        <f t="shared" ref="D18:K18" si="1">SUM(D14:D17)</f>
        <v>0</v>
      </c>
      <c r="E18" s="1732">
        <f t="shared" si="1"/>
        <v>3</v>
      </c>
      <c r="F18" s="1732">
        <f t="shared" si="1"/>
        <v>1</v>
      </c>
      <c r="G18" s="1732">
        <f t="shared" si="1"/>
        <v>8203</v>
      </c>
      <c r="H18" s="1732">
        <f t="shared" si="1"/>
        <v>0</v>
      </c>
      <c r="I18" s="1732">
        <f t="shared" si="1"/>
        <v>2</v>
      </c>
      <c r="J18" s="1732">
        <f t="shared" si="1"/>
        <v>3</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1118</v>
      </c>
      <c r="D65" s="466">
        <v>1775</v>
      </c>
      <c r="E65" s="466"/>
      <c r="F65" s="467">
        <v>1145</v>
      </c>
      <c r="G65" s="466">
        <v>840</v>
      </c>
      <c r="H65" s="466"/>
      <c r="I65" s="466">
        <v>3440</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1118</v>
      </c>
      <c r="D67" s="1710">
        <f t="shared" ref="D67:K67" si="2">SUM(D65:D66)</f>
        <v>1775</v>
      </c>
      <c r="E67" s="1710">
        <f t="shared" si="2"/>
        <v>0</v>
      </c>
      <c r="F67" s="1710">
        <f t="shared" si="2"/>
        <v>1145</v>
      </c>
      <c r="G67" s="1710">
        <f t="shared" si="2"/>
        <v>840</v>
      </c>
      <c r="H67" s="1710">
        <f t="shared" si="2"/>
        <v>0</v>
      </c>
      <c r="I67" s="1710">
        <f t="shared" si="2"/>
        <v>3440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73167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2708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75875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10845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563</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11408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14748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14748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2530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v>88115</v>
      </c>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251556</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3167</v>
      </c>
      <c r="D107" s="466"/>
      <c r="E107" s="466"/>
      <c r="F107" s="466"/>
      <c r="G107" s="466"/>
      <c r="H107" s="466"/>
      <c r="I107" s="466"/>
      <c r="J107" s="467"/>
      <c r="K107" s="466"/>
    </row>
    <row r="108" spans="1:12" ht="12.75" customHeight="1" thickBot="1" x14ac:dyDescent="0.25">
      <c r="A108" s="1730" t="s">
        <v>508</v>
      </c>
      <c r="B108" s="1734"/>
      <c r="C108" s="1729">
        <f>SUM(C95:C107)</f>
        <v>5697</v>
      </c>
      <c r="D108" s="1729">
        <f t="shared" ref="D108:K108" si="3">SUM(D95:D107)</f>
        <v>88115</v>
      </c>
      <c r="E108" s="1729">
        <f t="shared" si="3"/>
        <v>0</v>
      </c>
      <c r="F108" s="1729">
        <f t="shared" si="3"/>
        <v>0</v>
      </c>
      <c r="G108" s="1729">
        <f t="shared" si="3"/>
        <v>0</v>
      </c>
      <c r="H108" s="1729">
        <f t="shared" si="3"/>
        <v>251556</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871733</v>
      </c>
      <c r="D109" s="1737">
        <f t="shared" si="4"/>
        <v>259821</v>
      </c>
      <c r="E109" s="1737">
        <f t="shared" si="4"/>
        <v>158854</v>
      </c>
      <c r="F109" s="1737">
        <f t="shared" si="4"/>
        <v>82713</v>
      </c>
      <c r="G109" s="1737">
        <f t="shared" si="4"/>
        <v>171633</v>
      </c>
      <c r="H109" s="1737">
        <f t="shared" si="4"/>
        <v>251556</v>
      </c>
      <c r="I109" s="1737">
        <f t="shared" si="4"/>
        <v>37428</v>
      </c>
      <c r="J109" s="1737">
        <f t="shared" si="4"/>
        <v>186519</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2084858</v>
      </c>
      <c r="D117" s="481"/>
      <c r="E117" s="466"/>
      <c r="F117" s="481">
        <v>83852</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2084858</v>
      </c>
      <c r="D121" s="1729">
        <f t="shared" si="5"/>
        <v>0</v>
      </c>
      <c r="E121" s="1729">
        <f t="shared" si="5"/>
        <v>0</v>
      </c>
      <c r="F121" s="1729">
        <f t="shared" si="5"/>
        <v>83852</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37169</v>
      </c>
      <c r="D125" s="561"/>
      <c r="E125" s="468"/>
      <c r="F125" s="466"/>
      <c r="G125" s="468"/>
      <c r="H125" s="468"/>
      <c r="I125" s="468"/>
      <c r="J125" s="468"/>
      <c r="K125" s="468"/>
    </row>
    <row r="126" spans="1:11" ht="12.75" customHeight="1" x14ac:dyDescent="0.2">
      <c r="A126" s="463" t="s">
        <v>922</v>
      </c>
      <c r="B126" s="562">
        <v>3110</v>
      </c>
      <c r="C126" s="551">
        <v>31895</v>
      </c>
      <c r="D126" s="466"/>
      <c r="E126" s="468"/>
      <c r="F126" s="466"/>
      <c r="G126" s="468"/>
      <c r="H126" s="468"/>
      <c r="I126" s="468"/>
      <c r="J126" s="468"/>
      <c r="K126" s="468"/>
    </row>
    <row r="127" spans="1:11" ht="12.75" customHeight="1" x14ac:dyDescent="0.2">
      <c r="A127" s="463" t="s">
        <v>107</v>
      </c>
      <c r="B127" s="562">
        <v>3120</v>
      </c>
      <c r="C127" s="466">
        <v>35556</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104620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2077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124023</v>
      </c>
      <c r="G151" s="467"/>
      <c r="H151" s="468"/>
      <c r="I151" s="468"/>
      <c r="J151" s="468"/>
      <c r="K151" s="468"/>
    </row>
    <row r="152" spans="1:11" ht="12.75" customHeight="1" x14ac:dyDescent="0.2">
      <c r="A152" s="463" t="s">
        <v>1117</v>
      </c>
      <c r="B152" s="562">
        <v>3510</v>
      </c>
      <c r="C152" s="551"/>
      <c r="D152" s="466"/>
      <c r="E152" s="561"/>
      <c r="F152" s="466">
        <v>183547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307570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106697</v>
      </c>
      <c r="D172" s="1744">
        <f t="shared" si="6"/>
        <v>0</v>
      </c>
      <c r="E172" s="1744">
        <f t="shared" si="6"/>
        <v>0</v>
      </c>
      <c r="F172" s="1744">
        <f t="shared" si="6"/>
        <v>307570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2191555</v>
      </c>
      <c r="D173" s="1737">
        <f>SUM(D121,D172)</f>
        <v>0</v>
      </c>
      <c r="E173" s="1737">
        <f>SUM(E121,E172)</f>
        <v>0</v>
      </c>
      <c r="F173" s="1737">
        <f t="shared" ref="F173:K173" si="7">SUM(F121,F172)</f>
        <v>391422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108062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43807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151869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308552</v>
      </c>
      <c r="D203" s="466"/>
      <c r="E203" s="468"/>
      <c r="F203" s="466"/>
      <c r="G203" s="466">
        <v>12909</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308552</v>
      </c>
      <c r="D211" s="1729">
        <f>SUM(D203:D210)</f>
        <v>0</v>
      </c>
      <c r="E211" s="468"/>
      <c r="F211" s="1729">
        <f>SUM(F203:F210)</f>
        <v>0</v>
      </c>
      <c r="G211" s="1729">
        <f>SUM(G203:G210)</f>
        <v>12909</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34032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13233</v>
      </c>
      <c r="D270" s="576"/>
      <c r="E270" s="468"/>
      <c r="F270" s="576"/>
      <c r="G270" s="576"/>
      <c r="H270" s="468"/>
      <c r="I270" s="468"/>
      <c r="J270" s="468"/>
      <c r="K270" s="468"/>
    </row>
    <row r="271" spans="1:11" ht="12.75" customHeight="1" thickTop="1" thickBot="1" x14ac:dyDescent="0.25">
      <c r="A271" s="463" t="s">
        <v>395</v>
      </c>
      <c r="B271" s="470">
        <v>4992</v>
      </c>
      <c r="C271" s="575">
        <v>28612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536298</v>
      </c>
      <c r="D273" s="1737">
        <f t="shared" si="10"/>
        <v>0</v>
      </c>
      <c r="E273" s="1737">
        <f t="shared" si="10"/>
        <v>0</v>
      </c>
      <c r="F273" s="1737">
        <f t="shared" si="10"/>
        <v>0</v>
      </c>
      <c r="G273" s="1737">
        <f t="shared" si="10"/>
        <v>12909</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536298</v>
      </c>
      <c r="D274" s="1737">
        <f>SUM(D178,D184,D273)</f>
        <v>0</v>
      </c>
      <c r="E274" s="1737">
        <f>SUM(E178,E273)</f>
        <v>0</v>
      </c>
      <c r="F274" s="1737">
        <f t="shared" ref="F274:K274" si="11">SUM(F178,F184,F273)</f>
        <v>0</v>
      </c>
      <c r="G274" s="1737">
        <f t="shared" si="11"/>
        <v>12909</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3599586</v>
      </c>
      <c r="D275" s="1737">
        <f t="shared" si="12"/>
        <v>259821</v>
      </c>
      <c r="E275" s="1737">
        <f t="shared" si="12"/>
        <v>158854</v>
      </c>
      <c r="F275" s="1737">
        <f t="shared" si="12"/>
        <v>474135</v>
      </c>
      <c r="G275" s="1737">
        <f t="shared" si="12"/>
        <v>184542</v>
      </c>
      <c r="H275" s="1737">
        <f t="shared" si="12"/>
        <v>251556</v>
      </c>
      <c r="I275" s="1737">
        <f t="shared" si="12"/>
        <v>37428</v>
      </c>
      <c r="J275" s="1737">
        <f t="shared" si="12"/>
        <v>186519</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&amp;L&amp;8See notes.
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 activePane="bottomLeft" state="frozen"/>
      <selection activeCell="A8" sqref="A8"/>
      <selection pane="bottomLeft" activeCell="A8" sqref="A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1499846</v>
      </c>
      <c r="D5" s="466">
        <v>377272</v>
      </c>
      <c r="E5" s="466">
        <v>19697</v>
      </c>
      <c r="F5" s="466">
        <v>38874</v>
      </c>
      <c r="G5" s="466"/>
      <c r="H5" s="466">
        <v>69</v>
      </c>
      <c r="I5" s="467"/>
      <c r="J5" s="467"/>
      <c r="K5" s="1693">
        <f>SUM(C5:J5)</f>
        <v>1935758</v>
      </c>
      <c r="L5" s="466">
        <v>2025730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212922</v>
      </c>
      <c r="D8" s="466">
        <v>58347</v>
      </c>
      <c r="E8" s="466"/>
      <c r="F8" s="466">
        <v>1519</v>
      </c>
      <c r="G8" s="466"/>
      <c r="H8" s="466"/>
      <c r="I8" s="467"/>
      <c r="J8" s="467"/>
      <c r="K8" s="1693">
        <f t="shared" si="0"/>
        <v>272788</v>
      </c>
      <c r="L8" s="466">
        <v>277981</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52206</v>
      </c>
      <c r="D10" s="466">
        <v>3748</v>
      </c>
      <c r="E10" s="466">
        <v>12799</v>
      </c>
      <c r="F10" s="466">
        <v>47179</v>
      </c>
      <c r="G10" s="466"/>
      <c r="H10" s="466"/>
      <c r="I10" s="467">
        <v>43532</v>
      </c>
      <c r="J10" s="467"/>
      <c r="K10" s="1693">
        <f t="shared" si="0"/>
        <v>159464</v>
      </c>
      <c r="L10" s="466">
        <v>148277</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21903</v>
      </c>
      <c r="D14" s="466">
        <v>1633</v>
      </c>
      <c r="E14" s="466">
        <v>9656</v>
      </c>
      <c r="F14" s="466">
        <v>6232</v>
      </c>
      <c r="G14" s="466"/>
      <c r="H14" s="466">
        <v>1111</v>
      </c>
      <c r="I14" s="467"/>
      <c r="J14" s="467"/>
      <c r="K14" s="1693">
        <f t="shared" si="0"/>
        <v>40535</v>
      </c>
      <c r="L14" s="466">
        <v>41618</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1786877</v>
      </c>
      <c r="D33" s="1692">
        <f t="shared" ref="D33:L33" si="1">SUM(D5:D32)</f>
        <v>441000</v>
      </c>
      <c r="E33" s="1692">
        <f t="shared" si="1"/>
        <v>42152</v>
      </c>
      <c r="F33" s="1692">
        <f t="shared" si="1"/>
        <v>93804</v>
      </c>
      <c r="G33" s="1692">
        <f t="shared" si="1"/>
        <v>0</v>
      </c>
      <c r="H33" s="1692">
        <f t="shared" si="1"/>
        <v>1180</v>
      </c>
      <c r="I33" s="1692">
        <f t="shared" si="1"/>
        <v>43532</v>
      </c>
      <c r="J33" s="1692">
        <f t="shared" si="1"/>
        <v>0</v>
      </c>
      <c r="K33" s="1692">
        <f t="shared" si="1"/>
        <v>2408545</v>
      </c>
      <c r="L33" s="1692">
        <f t="shared" si="1"/>
        <v>2493606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75577</v>
      </c>
      <c r="F36" s="481"/>
      <c r="G36" s="481"/>
      <c r="H36" s="481"/>
      <c r="I36" s="467"/>
      <c r="J36" s="467"/>
      <c r="K36" s="1693">
        <f t="shared" ref="K36:K41" si="2">SUM(C36:J36)</f>
        <v>75577</v>
      </c>
      <c r="L36" s="466">
        <v>63100</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46238</v>
      </c>
      <c r="D38" s="466">
        <v>12453</v>
      </c>
      <c r="E38" s="466">
        <v>220</v>
      </c>
      <c r="F38" s="466">
        <v>910</v>
      </c>
      <c r="G38" s="466"/>
      <c r="H38" s="466"/>
      <c r="I38" s="467"/>
      <c r="J38" s="467"/>
      <c r="K38" s="1693">
        <f t="shared" si="2"/>
        <v>59821</v>
      </c>
      <c r="L38" s="466">
        <v>51195</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58924</v>
      </c>
      <c r="D40" s="466">
        <v>17249</v>
      </c>
      <c r="E40" s="466">
        <v>373</v>
      </c>
      <c r="F40" s="466">
        <v>551</v>
      </c>
      <c r="G40" s="466"/>
      <c r="H40" s="466"/>
      <c r="I40" s="467"/>
      <c r="J40" s="467"/>
      <c r="K40" s="1693">
        <f t="shared" si="2"/>
        <v>77097</v>
      </c>
      <c r="L40" s="466">
        <v>77478</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105162</v>
      </c>
      <c r="D42" s="1692">
        <f t="shared" ref="D42:L42" si="3">SUM(D36:D41)</f>
        <v>29702</v>
      </c>
      <c r="E42" s="1692">
        <f t="shared" si="3"/>
        <v>76170</v>
      </c>
      <c r="F42" s="1692">
        <f t="shared" si="3"/>
        <v>1461</v>
      </c>
      <c r="G42" s="1692">
        <f t="shared" si="3"/>
        <v>0</v>
      </c>
      <c r="H42" s="1692">
        <f t="shared" si="3"/>
        <v>0</v>
      </c>
      <c r="I42" s="1692">
        <f t="shared" si="3"/>
        <v>0</v>
      </c>
      <c r="J42" s="1692">
        <f t="shared" si="3"/>
        <v>0</v>
      </c>
      <c r="K42" s="1692">
        <f t="shared" si="3"/>
        <v>212495</v>
      </c>
      <c r="L42" s="1692">
        <f t="shared" si="3"/>
        <v>191773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v>4800</v>
      </c>
      <c r="E44" s="481">
        <v>3124</v>
      </c>
      <c r="F44" s="481"/>
      <c r="G44" s="481"/>
      <c r="H44" s="481"/>
      <c r="I44" s="467"/>
      <c r="J44" s="467"/>
      <c r="K44" s="1694">
        <f>SUM(C44:J44)</f>
        <v>7924</v>
      </c>
      <c r="L44" s="481">
        <v>18000</v>
      </c>
    </row>
    <row r="45" spans="1:14" x14ac:dyDescent="0.2">
      <c r="A45" s="1526" t="s">
        <v>869</v>
      </c>
      <c r="B45" s="615">
        <v>2220</v>
      </c>
      <c r="C45" s="466"/>
      <c r="D45" s="466"/>
      <c r="E45" s="466"/>
      <c r="F45" s="466"/>
      <c r="G45" s="466"/>
      <c r="H45" s="466"/>
      <c r="I45" s="467"/>
      <c r="J45" s="467"/>
      <c r="K45" s="1694">
        <f>SUM(C45:J45)</f>
        <v>0</v>
      </c>
      <c r="L45" s="466">
        <v>9000</v>
      </c>
    </row>
    <row r="46" spans="1:14" x14ac:dyDescent="0.2">
      <c r="A46" s="1526" t="s">
        <v>870</v>
      </c>
      <c r="B46" s="615">
        <v>2230</v>
      </c>
      <c r="C46" s="466"/>
      <c r="D46" s="466"/>
      <c r="E46" s="466">
        <v>9200</v>
      </c>
      <c r="F46" s="466"/>
      <c r="G46" s="466"/>
      <c r="H46" s="466"/>
      <c r="I46" s="467"/>
      <c r="J46" s="467"/>
      <c r="K46" s="1694">
        <f>SUM(C46:J46)</f>
        <v>9200</v>
      </c>
      <c r="L46" s="466">
        <v>9200</v>
      </c>
    </row>
    <row r="47" spans="1:14" ht="12.75" customHeight="1" thickBot="1" x14ac:dyDescent="0.25">
      <c r="A47" s="1690" t="s">
        <v>582</v>
      </c>
      <c r="B47" s="1691" t="s">
        <v>32</v>
      </c>
      <c r="C47" s="1692">
        <f>SUM(C44:C46)</f>
        <v>0</v>
      </c>
      <c r="D47" s="1692">
        <f t="shared" ref="D47:K47" si="4">SUM(D44:D46)</f>
        <v>4800</v>
      </c>
      <c r="E47" s="1692">
        <f t="shared" si="4"/>
        <v>12324</v>
      </c>
      <c r="F47" s="1692">
        <f t="shared" si="4"/>
        <v>0</v>
      </c>
      <c r="G47" s="1692">
        <f t="shared" si="4"/>
        <v>0</v>
      </c>
      <c r="H47" s="1692">
        <f t="shared" si="4"/>
        <v>0</v>
      </c>
      <c r="I47" s="1692">
        <f t="shared" si="4"/>
        <v>0</v>
      </c>
      <c r="J47" s="1692">
        <f t="shared" si="4"/>
        <v>0</v>
      </c>
      <c r="K47" s="1692">
        <f t="shared" si="4"/>
        <v>17124</v>
      </c>
      <c r="L47" s="1692">
        <f>SUM(L44:L46)</f>
        <v>36200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360</v>
      </c>
      <c r="D49" s="481">
        <v>46</v>
      </c>
      <c r="E49" s="481">
        <v>10567</v>
      </c>
      <c r="F49" s="481">
        <v>2807</v>
      </c>
      <c r="G49" s="481"/>
      <c r="H49" s="481">
        <v>2727</v>
      </c>
      <c r="I49" s="467"/>
      <c r="J49" s="467"/>
      <c r="K49" s="1694">
        <f>SUM(C49:J49)</f>
        <v>16507</v>
      </c>
      <c r="L49" s="481">
        <v>50670</v>
      </c>
    </row>
    <row r="50" spans="1:14" x14ac:dyDescent="0.2">
      <c r="A50" s="1526" t="s">
        <v>872</v>
      </c>
      <c r="B50" s="615">
        <v>2320</v>
      </c>
      <c r="C50" s="466">
        <v>187635</v>
      </c>
      <c r="D50" s="466">
        <v>49666</v>
      </c>
      <c r="E50" s="466">
        <v>98</v>
      </c>
      <c r="F50" s="466">
        <v>814</v>
      </c>
      <c r="G50" s="466"/>
      <c r="H50" s="466">
        <v>2226</v>
      </c>
      <c r="I50" s="467">
        <v>1684</v>
      </c>
      <c r="J50" s="467"/>
      <c r="K50" s="1694">
        <f>SUM(C50:J50)</f>
        <v>242123</v>
      </c>
      <c r="L50" s="466">
        <v>231569</v>
      </c>
    </row>
    <row r="51" spans="1:14" x14ac:dyDescent="0.2">
      <c r="A51" s="1526" t="s">
        <v>44</v>
      </c>
      <c r="B51" s="615">
        <v>2330</v>
      </c>
      <c r="C51" s="466"/>
      <c r="D51" s="466"/>
      <c r="E51" s="466">
        <v>3836</v>
      </c>
      <c r="F51" s="466"/>
      <c r="G51" s="466"/>
      <c r="H51" s="466"/>
      <c r="I51" s="467"/>
      <c r="J51" s="467"/>
      <c r="K51" s="1694">
        <f>SUM(C51:J51)</f>
        <v>3836</v>
      </c>
      <c r="L51" s="466">
        <v>2000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187995</v>
      </c>
      <c r="D53" s="1692">
        <f t="shared" ref="D53:L53" si="5">SUM(D49:D52)</f>
        <v>49712</v>
      </c>
      <c r="E53" s="1692">
        <f t="shared" si="5"/>
        <v>14501</v>
      </c>
      <c r="F53" s="1692">
        <f t="shared" si="5"/>
        <v>3621</v>
      </c>
      <c r="G53" s="1692">
        <f t="shared" si="5"/>
        <v>0</v>
      </c>
      <c r="H53" s="1692">
        <f t="shared" si="5"/>
        <v>4953</v>
      </c>
      <c r="I53" s="1692">
        <f t="shared" si="5"/>
        <v>1684</v>
      </c>
      <c r="J53" s="1692">
        <f t="shared" si="5"/>
        <v>0</v>
      </c>
      <c r="K53" s="1692">
        <f t="shared" si="5"/>
        <v>262466</v>
      </c>
      <c r="L53" s="1692">
        <f t="shared" si="5"/>
        <v>284239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225861</v>
      </c>
      <c r="D55" s="481">
        <v>83557</v>
      </c>
      <c r="E55" s="481">
        <v>406</v>
      </c>
      <c r="F55" s="481">
        <v>842</v>
      </c>
      <c r="G55" s="481"/>
      <c r="H55" s="481">
        <v>825</v>
      </c>
      <c r="I55" s="467"/>
      <c r="J55" s="467"/>
      <c r="K55" s="1694">
        <f>SUM(C55:J55)</f>
        <v>311491</v>
      </c>
      <c r="L55" s="481">
        <v>317365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225861</v>
      </c>
      <c r="D57" s="1696">
        <f t="shared" ref="D57:K57" si="6">SUM(D55:D56)</f>
        <v>83557</v>
      </c>
      <c r="E57" s="1696">
        <f t="shared" si="6"/>
        <v>406</v>
      </c>
      <c r="F57" s="1696">
        <f t="shared" si="6"/>
        <v>842</v>
      </c>
      <c r="G57" s="1696">
        <f t="shared" si="6"/>
        <v>0</v>
      </c>
      <c r="H57" s="1696">
        <f t="shared" si="6"/>
        <v>825</v>
      </c>
      <c r="I57" s="1696">
        <f t="shared" si="6"/>
        <v>0</v>
      </c>
      <c r="J57" s="1696">
        <f t="shared" si="6"/>
        <v>0</v>
      </c>
      <c r="K57" s="1696">
        <f t="shared" si="6"/>
        <v>311491</v>
      </c>
      <c r="L57" s="1692">
        <f>SUM(L55:L56)</f>
        <v>317365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11324</v>
      </c>
      <c r="D60" s="466"/>
      <c r="E60" s="466"/>
      <c r="F60" s="466"/>
      <c r="G60" s="466"/>
      <c r="H60" s="466"/>
      <c r="I60" s="467"/>
      <c r="J60" s="467"/>
      <c r="K60" s="1694">
        <f t="shared" si="7"/>
        <v>11324</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73570</v>
      </c>
      <c r="D63" s="466">
        <v>12695</v>
      </c>
      <c r="E63" s="466">
        <v>2090</v>
      </c>
      <c r="F63" s="466">
        <v>84093</v>
      </c>
      <c r="G63" s="466"/>
      <c r="H63" s="466">
        <v>1411</v>
      </c>
      <c r="I63" s="467">
        <v>3946</v>
      </c>
      <c r="J63" s="467"/>
      <c r="K63" s="1694">
        <f t="shared" si="7"/>
        <v>177805</v>
      </c>
      <c r="L63" s="466">
        <v>166234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84894</v>
      </c>
      <c r="D65" s="1692">
        <f t="shared" ref="D65:L65" si="8">SUM(D59:D64)</f>
        <v>12695</v>
      </c>
      <c r="E65" s="1692">
        <f t="shared" si="8"/>
        <v>2090</v>
      </c>
      <c r="F65" s="1692">
        <f t="shared" si="8"/>
        <v>84093</v>
      </c>
      <c r="G65" s="1692">
        <f t="shared" si="8"/>
        <v>0</v>
      </c>
      <c r="H65" s="1692">
        <f t="shared" si="8"/>
        <v>1411</v>
      </c>
      <c r="I65" s="1692">
        <f t="shared" si="8"/>
        <v>3946</v>
      </c>
      <c r="J65" s="1692">
        <f t="shared" si="8"/>
        <v>0</v>
      </c>
      <c r="K65" s="1692">
        <f t="shared" si="8"/>
        <v>189129</v>
      </c>
      <c r="L65" s="1692">
        <f t="shared" si="8"/>
        <v>166234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v>12000</v>
      </c>
      <c r="F73" s="573"/>
      <c r="G73" s="573"/>
      <c r="H73" s="573"/>
      <c r="I73" s="531"/>
      <c r="J73" s="531"/>
      <c r="K73" s="1692">
        <f>SUM(C73:J73)</f>
        <v>12000</v>
      </c>
      <c r="L73" s="576"/>
      <c r="M73" s="610"/>
      <c r="N73" s="610"/>
    </row>
    <row r="74" spans="1:14" ht="12.75" customHeight="1" thickTop="1" thickBot="1" x14ac:dyDescent="0.25">
      <c r="A74" s="1690" t="s">
        <v>865</v>
      </c>
      <c r="B74" s="1698">
        <v>2000</v>
      </c>
      <c r="C74" s="1699">
        <f>SUM(C42,C47,C53,C57,C65,C72,C73)</f>
        <v>603912</v>
      </c>
      <c r="D74" s="1699">
        <f t="shared" ref="D74:K74" si="10">SUM(D42,D47,D53,D57,D65,D72,D73)</f>
        <v>180466</v>
      </c>
      <c r="E74" s="1699">
        <f t="shared" si="10"/>
        <v>117491</v>
      </c>
      <c r="F74" s="1699">
        <f t="shared" si="10"/>
        <v>90017</v>
      </c>
      <c r="G74" s="1699">
        <f t="shared" si="10"/>
        <v>0</v>
      </c>
      <c r="H74" s="1699">
        <f t="shared" si="10"/>
        <v>7189</v>
      </c>
      <c r="I74" s="1699">
        <f t="shared" si="10"/>
        <v>5630</v>
      </c>
      <c r="J74" s="1699">
        <f t="shared" si="10"/>
        <v>0</v>
      </c>
      <c r="K74" s="1699">
        <f t="shared" si="10"/>
        <v>1004705</v>
      </c>
      <c r="L74" s="1699">
        <f>SUM(L42,L47,L53,L57,L65,L72,L73)</f>
        <v>995811</v>
      </c>
    </row>
    <row r="75" spans="1:14" s="259" customFormat="1" ht="15.75" customHeight="1" thickTop="1" thickBot="1" x14ac:dyDescent="0.25">
      <c r="A75" s="1632" t="s">
        <v>49</v>
      </c>
      <c r="B75" s="1633" t="s">
        <v>596</v>
      </c>
      <c r="C75" s="573"/>
      <c r="D75" s="573"/>
      <c r="E75" s="573">
        <v>3338</v>
      </c>
      <c r="F75" s="573"/>
      <c r="G75" s="573"/>
      <c r="H75" s="573"/>
      <c r="I75" s="531"/>
      <c r="J75" s="531"/>
      <c r="K75" s="1692">
        <f>SUM(C75:J75)</f>
        <v>3338</v>
      </c>
      <c r="L75" s="576">
        <v>3958</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67412</v>
      </c>
      <c r="I79" s="477"/>
      <c r="J79" s="477"/>
      <c r="K79" s="1693">
        <f t="shared" si="11"/>
        <v>67412</v>
      </c>
      <c r="L79" s="466">
        <v>153051</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67412</v>
      </c>
      <c r="I84" s="477"/>
      <c r="J84" s="477"/>
      <c r="K84" s="1692">
        <f>SUM(K78:K83)</f>
        <v>67412</v>
      </c>
      <c r="L84" s="1692">
        <f>SUM(L78:L83)</f>
        <v>153051</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67412</v>
      </c>
      <c r="I102" s="477"/>
      <c r="J102" s="477"/>
      <c r="K102" s="1699">
        <f>SUM(K84,K92,K100,K101)</f>
        <v>67412</v>
      </c>
      <c r="L102" s="1699">
        <f>SUM(L84,L92,L100,L101)</f>
        <v>153051</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2390789</v>
      </c>
      <c r="D114" s="1692">
        <f t="shared" ref="D114:K114" si="13">SUM(D33,D74,D75,D102,D112,D113)</f>
        <v>621466</v>
      </c>
      <c r="E114" s="1692">
        <f t="shared" si="13"/>
        <v>162981</v>
      </c>
      <c r="F114" s="1692">
        <f t="shared" si="13"/>
        <v>183821</v>
      </c>
      <c r="G114" s="1692">
        <f t="shared" si="13"/>
        <v>0</v>
      </c>
      <c r="H114" s="1692">
        <f>SUM(H33,H74,H75,H102,H112,H113)</f>
        <v>75781</v>
      </c>
      <c r="I114" s="1692">
        <f t="shared" si="13"/>
        <v>49162</v>
      </c>
      <c r="J114" s="1692">
        <f t="shared" si="13"/>
        <v>0</v>
      </c>
      <c r="K114" s="1692">
        <f t="shared" si="13"/>
        <v>3484000</v>
      </c>
      <c r="L114" s="1692">
        <f>SUM(L33,L74,L75,L102,L112,L113)</f>
        <v>3646426</v>
      </c>
    </row>
    <row r="115" spans="1:14" ht="13.5" thickTop="1" x14ac:dyDescent="0.2">
      <c r="A115" s="2199" t="s">
        <v>1053</v>
      </c>
      <c r="B115" s="2200"/>
      <c r="C115" s="619"/>
      <c r="D115" s="619"/>
      <c r="E115" s="619"/>
      <c r="F115" s="619"/>
      <c r="G115" s="619"/>
      <c r="H115" s="619"/>
      <c r="I115" s="619"/>
      <c r="J115" s="619"/>
      <c r="K115" s="1706">
        <f>'Revenues 9-14'!C275-'Expenditures 15-22'!K114</f>
        <v>115586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178966</v>
      </c>
      <c r="D124" s="466">
        <v>45364</v>
      </c>
      <c r="E124" s="466">
        <v>37782</v>
      </c>
      <c r="F124" s="466">
        <v>139184</v>
      </c>
      <c r="G124" s="466"/>
      <c r="H124" s="466"/>
      <c r="I124" s="467"/>
      <c r="J124" s="467"/>
      <c r="K124" s="1692">
        <f>SUM(C124:J124)</f>
        <v>401296</v>
      </c>
      <c r="L124" s="466">
        <v>478433</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178966</v>
      </c>
      <c r="D127" s="1692">
        <f t="shared" ref="D127:L127" si="14">SUM(D122:D126)</f>
        <v>45364</v>
      </c>
      <c r="E127" s="1692">
        <f t="shared" si="14"/>
        <v>37782</v>
      </c>
      <c r="F127" s="1692">
        <f t="shared" si="14"/>
        <v>139184</v>
      </c>
      <c r="G127" s="1692">
        <f t="shared" si="14"/>
        <v>0</v>
      </c>
      <c r="H127" s="1692">
        <f t="shared" si="14"/>
        <v>0</v>
      </c>
      <c r="I127" s="1692">
        <f t="shared" si="14"/>
        <v>0</v>
      </c>
      <c r="J127" s="1692">
        <f t="shared" si="14"/>
        <v>0</v>
      </c>
      <c r="K127" s="1692">
        <f t="shared" si="14"/>
        <v>401296</v>
      </c>
      <c r="L127" s="1692">
        <f t="shared" si="14"/>
        <v>478433</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178966</v>
      </c>
      <c r="D129" s="1699">
        <f t="shared" ref="D129:L129" si="15">SUM(D120,D127,D128)</f>
        <v>45364</v>
      </c>
      <c r="E129" s="1699">
        <f t="shared" si="15"/>
        <v>37782</v>
      </c>
      <c r="F129" s="1699">
        <f t="shared" si="15"/>
        <v>139184</v>
      </c>
      <c r="G129" s="1699">
        <f t="shared" si="15"/>
        <v>0</v>
      </c>
      <c r="H129" s="1699">
        <f t="shared" si="15"/>
        <v>0</v>
      </c>
      <c r="I129" s="1699">
        <f t="shared" si="15"/>
        <v>0</v>
      </c>
      <c r="J129" s="1699">
        <f t="shared" si="15"/>
        <v>0</v>
      </c>
      <c r="K129" s="1699">
        <f t="shared" si="15"/>
        <v>401296</v>
      </c>
      <c r="L129" s="1699">
        <f t="shared" si="15"/>
        <v>478433</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178966</v>
      </c>
      <c r="D151" s="1692">
        <f t="shared" ref="D151:K151" si="16">SUM(D129,D130,D139,D149,D150)</f>
        <v>45364</v>
      </c>
      <c r="E151" s="1692">
        <f t="shared" si="16"/>
        <v>37782</v>
      </c>
      <c r="F151" s="1692">
        <f t="shared" si="16"/>
        <v>139184</v>
      </c>
      <c r="G151" s="1692">
        <f t="shared" si="16"/>
        <v>0</v>
      </c>
      <c r="H151" s="1692">
        <f t="shared" si="16"/>
        <v>0</v>
      </c>
      <c r="I151" s="1692">
        <f t="shared" si="16"/>
        <v>0</v>
      </c>
      <c r="J151" s="1692">
        <f t="shared" si="16"/>
        <v>0</v>
      </c>
      <c r="K151" s="1692">
        <f t="shared" si="16"/>
        <v>401296</v>
      </c>
      <c r="L151" s="1692">
        <f>SUM(L129,L130,L139,L149,L150)</f>
        <v>478433</v>
      </c>
    </row>
    <row r="152" spans="1:14" ht="12.75" customHeight="1" thickTop="1" x14ac:dyDescent="0.2">
      <c r="A152" s="2192" t="s">
        <v>1240</v>
      </c>
      <c r="B152" s="2193"/>
      <c r="C152" s="619"/>
      <c r="D152" s="619"/>
      <c r="E152" s="619"/>
      <c r="F152" s="619"/>
      <c r="G152" s="619"/>
      <c r="H152" s="619"/>
      <c r="I152" s="619"/>
      <c r="J152" s="617"/>
      <c r="K152" s="1706">
        <f>'Revenues 9-14'!D275-'Expenditures 15-22'!K151</f>
        <v>-141475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30739</v>
      </c>
      <c r="I169" s="617"/>
      <c r="J169" s="617"/>
      <c r="K169" s="1693">
        <f>SUM(C169:H169)</f>
        <v>30739</v>
      </c>
      <c r="L169" s="657">
        <v>30739</v>
      </c>
    </row>
    <row r="170" spans="1:14" ht="33.75" customHeight="1" x14ac:dyDescent="0.2">
      <c r="A170" s="670" t="s">
        <v>1769</v>
      </c>
      <c r="B170" s="672" t="s">
        <v>31</v>
      </c>
      <c r="C170" s="617"/>
      <c r="D170" s="617"/>
      <c r="E170" s="617"/>
      <c r="F170" s="617"/>
      <c r="G170" s="617"/>
      <c r="H170" s="569">
        <v>128600</v>
      </c>
      <c r="I170" s="617"/>
      <c r="J170" s="617"/>
      <c r="K170" s="1693">
        <f>SUM(C170:J170)</f>
        <v>128600</v>
      </c>
      <c r="L170" s="569">
        <v>128600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159339</v>
      </c>
      <c r="I172" s="639"/>
      <c r="J172" s="617"/>
      <c r="K172" s="1699">
        <f>SUM(K168,K169,K170,K171)</f>
        <v>159339</v>
      </c>
      <c r="L172" s="1699">
        <f>SUM(L168,L169,L170,L171)</f>
        <v>159339</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159339</v>
      </c>
      <c r="I174" s="639"/>
      <c r="J174" s="617"/>
      <c r="K174" s="1699">
        <f>SUM(K160,K172,K173)</f>
        <v>159339</v>
      </c>
      <c r="L174" s="1699">
        <f>SUM(L160,L172,L173)</f>
        <v>159339</v>
      </c>
    </row>
    <row r="175" spans="1:14" ht="13.5" thickTop="1" x14ac:dyDescent="0.2">
      <c r="A175" s="2199" t="s">
        <v>1053</v>
      </c>
      <c r="B175" s="2200"/>
      <c r="C175" s="617"/>
      <c r="D175" s="617"/>
      <c r="E175" s="617"/>
      <c r="F175" s="617"/>
      <c r="G175" s="617"/>
      <c r="H175" s="619"/>
      <c r="I175" s="617"/>
      <c r="J175" s="617"/>
      <c r="K175" s="1706">
        <f>'Revenues 9-14'!E275-'Expenditures 15-22'!K174</f>
        <v>-485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12877</v>
      </c>
      <c r="D182" s="466">
        <v>1647</v>
      </c>
      <c r="E182" s="466">
        <v>372126</v>
      </c>
      <c r="F182" s="466"/>
      <c r="G182" s="466"/>
      <c r="H182" s="466"/>
      <c r="I182" s="467"/>
      <c r="J182" s="467"/>
      <c r="K182" s="1693">
        <f>SUM(C182:J182)</f>
        <v>386650</v>
      </c>
      <c r="L182" s="466">
        <v>396666</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12877</v>
      </c>
      <c r="D184" s="1699">
        <f t="shared" ref="D184:J184" si="17">SUM(D180,D182,D183)</f>
        <v>1647</v>
      </c>
      <c r="E184" s="1699">
        <f t="shared" si="17"/>
        <v>372126</v>
      </c>
      <c r="F184" s="1699">
        <f t="shared" si="17"/>
        <v>0</v>
      </c>
      <c r="G184" s="1699">
        <f t="shared" si="17"/>
        <v>0</v>
      </c>
      <c r="H184" s="1699">
        <f t="shared" si="17"/>
        <v>0</v>
      </c>
      <c r="I184" s="1699">
        <f t="shared" si="17"/>
        <v>0</v>
      </c>
      <c r="J184" s="1699">
        <f t="shared" si="17"/>
        <v>0</v>
      </c>
      <c r="K184" s="1699">
        <f>SUM(K180,K182,K183)</f>
        <v>386650</v>
      </c>
      <c r="L184" s="1699">
        <f>SUM(L180, L182:L183)</f>
        <v>396666</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12877</v>
      </c>
      <c r="D210" s="1692">
        <f>SUM(D184,D185)</f>
        <v>1647</v>
      </c>
      <c r="E210" s="1692">
        <f>SUM(E184,E185,E196)</f>
        <v>372126</v>
      </c>
      <c r="F210" s="1692">
        <f>SUM(F184,F185)</f>
        <v>0</v>
      </c>
      <c r="G210" s="1692">
        <f>SUM(G184,G185)</f>
        <v>0</v>
      </c>
      <c r="H210" s="1692">
        <f>SUM(H184,H185,H196,H208,H209)</f>
        <v>0</v>
      </c>
      <c r="I210" s="1692">
        <f>SUM(I184,I185)</f>
        <v>0</v>
      </c>
      <c r="J210" s="1692">
        <f>SUM(J184,J185)</f>
        <v>0</v>
      </c>
      <c r="K210" s="1693">
        <f>SUM(K184,K185,K196,K208,K209)</f>
        <v>386650</v>
      </c>
      <c r="L210" s="1692">
        <f>SUM(L184,L185,L196,L208,L209)</f>
        <v>396666</v>
      </c>
    </row>
    <row r="211" spans="1:14" ht="13.5" thickTop="1" x14ac:dyDescent="0.2">
      <c r="A211" s="2199" t="s">
        <v>1053</v>
      </c>
      <c r="B211" s="2200"/>
      <c r="C211" s="619"/>
      <c r="D211" s="619"/>
      <c r="E211" s="619"/>
      <c r="F211" s="619"/>
      <c r="G211" s="619"/>
      <c r="H211" s="619"/>
      <c r="I211" s="617"/>
      <c r="J211" s="617"/>
      <c r="K211" s="1706">
        <f>'Revenues 9-14'!F275-'Expenditures 15-22'!K210</f>
        <v>87485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20350</v>
      </c>
      <c r="E215" s="617"/>
      <c r="F215" s="617"/>
      <c r="G215" s="617"/>
      <c r="H215" s="617"/>
      <c r="I215" s="617"/>
      <c r="J215" s="617"/>
      <c r="K215" s="1693">
        <f>D215</f>
        <v>20350</v>
      </c>
      <c r="L215" s="466">
        <v>22077</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8022</v>
      </c>
      <c r="E217" s="617"/>
      <c r="F217" s="617"/>
      <c r="G217" s="617"/>
      <c r="H217" s="617"/>
      <c r="I217" s="617"/>
      <c r="J217" s="617"/>
      <c r="K217" s="1693">
        <f t="shared" si="19"/>
        <v>8022</v>
      </c>
      <c r="L217" s="466">
        <v>8370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12909</v>
      </c>
      <c r="E219" s="617"/>
      <c r="F219" s="617"/>
      <c r="G219" s="617"/>
      <c r="H219" s="617"/>
      <c r="I219" s="617"/>
      <c r="J219" s="617"/>
      <c r="K219" s="1693">
        <f t="shared" si="19"/>
        <v>12909</v>
      </c>
      <c r="L219" s="466">
        <v>13876</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1146</v>
      </c>
      <c r="E223" s="617"/>
      <c r="F223" s="617"/>
      <c r="G223" s="617"/>
      <c r="H223" s="617"/>
      <c r="I223" s="617"/>
      <c r="J223" s="617"/>
      <c r="K223" s="1693">
        <f t="shared" si="19"/>
        <v>1146</v>
      </c>
      <c r="L223" s="466">
        <v>1197</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42427</v>
      </c>
      <c r="E229" s="617"/>
      <c r="F229" s="617"/>
      <c r="G229" s="617"/>
      <c r="H229" s="617"/>
      <c r="I229" s="617"/>
      <c r="J229" s="617"/>
      <c r="K229" s="1692">
        <f>SUM(K215:K228)</f>
        <v>42427</v>
      </c>
      <c r="L229" s="1692">
        <f>SUM(L215:L228)</f>
        <v>45520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v>11001</v>
      </c>
      <c r="E234" s="617"/>
      <c r="F234" s="617"/>
      <c r="G234" s="617"/>
      <c r="H234" s="617"/>
      <c r="I234" s="617"/>
      <c r="J234" s="617"/>
      <c r="K234" s="1693">
        <f t="shared" si="20"/>
        <v>11001</v>
      </c>
      <c r="L234" s="466">
        <v>9874</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845</v>
      </c>
      <c r="E236" s="617"/>
      <c r="F236" s="617"/>
      <c r="G236" s="617"/>
      <c r="H236" s="617"/>
      <c r="I236" s="617"/>
      <c r="J236" s="617"/>
      <c r="K236" s="1693">
        <f t="shared" si="20"/>
        <v>845</v>
      </c>
      <c r="L236" s="466">
        <v>856</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11846</v>
      </c>
      <c r="E238" s="617"/>
      <c r="F238" s="617"/>
      <c r="G238" s="617"/>
      <c r="H238" s="617"/>
      <c r="I238" s="617"/>
      <c r="J238" s="617"/>
      <c r="K238" s="1692">
        <f>SUM(K232:K237)</f>
        <v>11846</v>
      </c>
      <c r="L238" s="1692">
        <f>SUM(L232:L237)</f>
        <v>10730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v>
      </c>
      <c r="E245" s="617"/>
      <c r="F245" s="617"/>
      <c r="G245" s="617"/>
      <c r="H245" s="617"/>
      <c r="I245" s="617"/>
      <c r="J245" s="617"/>
      <c r="K245" s="1694">
        <f>D245</f>
        <v>5</v>
      </c>
      <c r="L245" s="481">
        <v>5</v>
      </c>
    </row>
    <row r="246" spans="1:12" x14ac:dyDescent="0.2">
      <c r="A246" s="1526" t="s">
        <v>872</v>
      </c>
      <c r="B246" s="615">
        <v>2320</v>
      </c>
      <c r="C246" s="617"/>
      <c r="D246" s="466">
        <v>13357</v>
      </c>
      <c r="E246" s="617"/>
      <c r="F246" s="617"/>
      <c r="G246" s="617"/>
      <c r="H246" s="617"/>
      <c r="I246" s="617"/>
      <c r="J246" s="617"/>
      <c r="K246" s="1694">
        <f t="shared" ref="K246:K256" si="21">D246</f>
        <v>13357</v>
      </c>
      <c r="L246" s="466">
        <v>12214</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13362</v>
      </c>
      <c r="E257" s="617"/>
      <c r="F257" s="617"/>
      <c r="G257" s="617"/>
      <c r="H257" s="617"/>
      <c r="I257" s="617"/>
      <c r="J257" s="617"/>
      <c r="K257" s="1692">
        <f>SUM(K245:K256)</f>
        <v>13362</v>
      </c>
      <c r="L257" s="1692">
        <f>SUM(L245:L256)</f>
        <v>12219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16401</v>
      </c>
      <c r="E259" s="617"/>
      <c r="F259" s="617"/>
      <c r="G259" s="617"/>
      <c r="H259" s="617"/>
      <c r="I259" s="617"/>
      <c r="J259" s="617"/>
      <c r="K259" s="1694">
        <f>D259</f>
        <v>16401</v>
      </c>
      <c r="L259" s="481">
        <v>16642</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16401</v>
      </c>
      <c r="E261" s="617"/>
      <c r="F261" s="617"/>
      <c r="G261" s="617"/>
      <c r="H261" s="617"/>
      <c r="I261" s="617"/>
      <c r="J261" s="617"/>
      <c r="K261" s="1692">
        <f>SUM(K259:K260)</f>
        <v>16401</v>
      </c>
      <c r="L261" s="1692">
        <f>SUM(L259:L260)</f>
        <v>16642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41692</v>
      </c>
      <c r="E266" s="617"/>
      <c r="F266" s="617"/>
      <c r="G266" s="617"/>
      <c r="H266" s="617"/>
      <c r="I266" s="617"/>
      <c r="J266" s="617"/>
      <c r="K266" s="1694">
        <f t="shared" si="22"/>
        <v>41692</v>
      </c>
      <c r="L266" s="466">
        <v>43902</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18067</v>
      </c>
      <c r="E268" s="617"/>
      <c r="F268" s="617"/>
      <c r="G268" s="617"/>
      <c r="H268" s="617"/>
      <c r="I268" s="617"/>
      <c r="J268" s="617"/>
      <c r="K268" s="1694">
        <f t="shared" si="22"/>
        <v>18067</v>
      </c>
      <c r="L268" s="466">
        <v>15387</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59759</v>
      </c>
      <c r="E270" s="617"/>
      <c r="F270" s="617"/>
      <c r="G270" s="617"/>
      <c r="H270" s="617"/>
      <c r="I270" s="617"/>
      <c r="J270" s="617"/>
      <c r="K270" s="1692">
        <f>SUM(K263:K269)</f>
        <v>59759</v>
      </c>
      <c r="L270" s="1692">
        <f>SUM(L263:L269)</f>
        <v>59289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101368</v>
      </c>
      <c r="E279" s="617"/>
      <c r="F279" s="617"/>
      <c r="G279" s="617"/>
      <c r="H279" s="617"/>
      <c r="I279" s="617"/>
      <c r="J279" s="617"/>
      <c r="K279" s="1699">
        <f>SUM(K238,K243,K257,K261,K270,K277,K278)</f>
        <v>101368</v>
      </c>
      <c r="L279" s="1699">
        <f>SUM(L238,L243,L257,L261,L270,L277,L278)</f>
        <v>98880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143795</v>
      </c>
      <c r="E295" s="617"/>
      <c r="F295" s="617"/>
      <c r="G295" s="617"/>
      <c r="H295" s="1692">
        <f>H293</f>
        <v>0</v>
      </c>
      <c r="I295" s="617"/>
      <c r="J295" s="617"/>
      <c r="K295" s="1692">
        <f>SUM(K229,K279,K280,K285,K293,K294)</f>
        <v>143795</v>
      </c>
      <c r="L295" s="1692">
        <f>SUM(L229,L279,L280,L285,L293,L294)</f>
        <v>144400</v>
      </c>
    </row>
    <row r="296" spans="1:14" ht="13.5" thickTop="1" x14ac:dyDescent="0.2">
      <c r="A296" s="2199" t="s">
        <v>1053</v>
      </c>
      <c r="B296" s="2200"/>
      <c r="C296" s="617"/>
      <c r="D296" s="619"/>
      <c r="E296" s="617"/>
      <c r="F296" s="617"/>
      <c r="G296" s="617"/>
      <c r="H296" s="688"/>
      <c r="I296" s="617"/>
      <c r="J296" s="617"/>
      <c r="K296" s="1706">
        <f>'Revenues 9-14'!G275-'Expenditures 15-22'!K295</f>
        <v>40747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600</v>
      </c>
      <c r="F301" s="466"/>
      <c r="G301" s="466"/>
      <c r="H301" s="466"/>
      <c r="I301" s="467"/>
      <c r="J301" s="467"/>
      <c r="K301" s="1693">
        <f>SUM(C301:J301)</f>
        <v>600</v>
      </c>
      <c r="L301" s="467">
        <v>750</v>
      </c>
    </row>
    <row r="302" spans="1:14" ht="13.5" customHeight="1" x14ac:dyDescent="0.2">
      <c r="A302" s="1539" t="s">
        <v>1037</v>
      </c>
      <c r="B302" s="615" t="s">
        <v>595</v>
      </c>
      <c r="C302" s="466"/>
      <c r="D302" s="466"/>
      <c r="E302" s="466">
        <v>900</v>
      </c>
      <c r="F302" s="466">
        <v>975</v>
      </c>
      <c r="G302" s="466"/>
      <c r="H302" s="466"/>
      <c r="I302" s="467"/>
      <c r="J302" s="467"/>
      <c r="K302" s="1693">
        <f>SUM(C302:J302)</f>
        <v>1875</v>
      </c>
      <c r="L302" s="466"/>
    </row>
    <row r="303" spans="1:14" ht="12.75" customHeight="1" thickBot="1" x14ac:dyDescent="0.25">
      <c r="A303" s="1690" t="s">
        <v>865</v>
      </c>
      <c r="B303" s="1691" t="s">
        <v>590</v>
      </c>
      <c r="C303" s="1699">
        <f>SUM(C301:C302)</f>
        <v>0</v>
      </c>
      <c r="D303" s="1699">
        <f t="shared" ref="D303:L303" si="23">SUM(D301:D302)</f>
        <v>0</v>
      </c>
      <c r="E303" s="1699">
        <f t="shared" si="23"/>
        <v>1500</v>
      </c>
      <c r="F303" s="1699">
        <f t="shared" si="23"/>
        <v>975</v>
      </c>
      <c r="G303" s="1699">
        <f t="shared" si="23"/>
        <v>0</v>
      </c>
      <c r="H303" s="1699">
        <f t="shared" si="23"/>
        <v>0</v>
      </c>
      <c r="I303" s="1699">
        <f t="shared" si="23"/>
        <v>0</v>
      </c>
      <c r="J303" s="1699">
        <f t="shared" si="23"/>
        <v>0</v>
      </c>
      <c r="K303" s="1699">
        <f t="shared" si="23"/>
        <v>2475</v>
      </c>
      <c r="L303" s="1699">
        <f t="shared" si="23"/>
        <v>750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1500</v>
      </c>
      <c r="F312" s="1692">
        <f>SUM(F303)</f>
        <v>975</v>
      </c>
      <c r="G312" s="1692">
        <f>SUM(G303)</f>
        <v>0</v>
      </c>
      <c r="H312" s="1692">
        <f>SUM(H303,H310)</f>
        <v>0</v>
      </c>
      <c r="I312" s="1692">
        <f>SUM(I303)</f>
        <v>0</v>
      </c>
      <c r="J312" s="1692">
        <f>SUM(J303)</f>
        <v>0</v>
      </c>
      <c r="K312" s="1692">
        <f>SUM(K303,K310,K311)</f>
        <v>2475</v>
      </c>
      <c r="L312" s="1692">
        <f>SUM(L303,L310,L311)</f>
        <v>750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249081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12110</v>
      </c>
      <c r="F320" s="467"/>
      <c r="G320" s="467"/>
      <c r="H320" s="467"/>
      <c r="I320" s="467"/>
      <c r="J320" s="467"/>
      <c r="K320" s="1693">
        <f t="shared" ref="K320:K327" si="24">SUM(C320:J320)</f>
        <v>12110</v>
      </c>
      <c r="L320" s="467">
        <v>16447</v>
      </c>
      <c r="M320" s="666"/>
      <c r="N320" s="666"/>
    </row>
    <row r="321" spans="1:14" s="675" customFormat="1" x14ac:dyDescent="0.2">
      <c r="A321" s="1541" t="s">
        <v>318</v>
      </c>
      <c r="B321" s="698" t="s">
        <v>301</v>
      </c>
      <c r="C321" s="467"/>
      <c r="D321" s="467"/>
      <c r="E321" s="467">
        <v>5258</v>
      </c>
      <c r="F321" s="467"/>
      <c r="G321" s="467"/>
      <c r="H321" s="467"/>
      <c r="I321" s="467"/>
      <c r="J321" s="467"/>
      <c r="K321" s="1693">
        <f t="shared" si="24"/>
        <v>5258</v>
      </c>
      <c r="L321" s="467">
        <v>8300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16300</v>
      </c>
      <c r="D325" s="467">
        <v>2085</v>
      </c>
      <c r="E325" s="467">
        <v>11596</v>
      </c>
      <c r="F325" s="467">
        <v>1474</v>
      </c>
      <c r="G325" s="467"/>
      <c r="H325" s="467"/>
      <c r="I325" s="467"/>
      <c r="J325" s="467"/>
      <c r="K325" s="1693">
        <f t="shared" si="24"/>
        <v>31455</v>
      </c>
      <c r="L325" s="467">
        <v>51204</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5062</v>
      </c>
      <c r="F327" s="467"/>
      <c r="G327" s="467"/>
      <c r="H327" s="467"/>
      <c r="I327" s="467"/>
      <c r="J327" s="467"/>
      <c r="K327" s="1693">
        <f t="shared" si="24"/>
        <v>5062</v>
      </c>
      <c r="L327" s="467">
        <v>4500</v>
      </c>
      <c r="M327" s="666"/>
      <c r="N327" s="666"/>
    </row>
    <row r="328" spans="1:14" s="675" customFormat="1" x14ac:dyDescent="0.2">
      <c r="A328" s="1542" t="s">
        <v>492</v>
      </c>
      <c r="B328" s="691" t="s">
        <v>1194</v>
      </c>
      <c r="C328" s="474"/>
      <c r="D328" s="474"/>
      <c r="E328" s="474">
        <v>31030</v>
      </c>
      <c r="F328" s="474"/>
      <c r="G328" s="474"/>
      <c r="H328" s="474"/>
      <c r="I328" s="474"/>
      <c r="J328" s="474"/>
      <c r="K328" s="1721">
        <f>SUM(C328:J328)</f>
        <v>31030</v>
      </c>
      <c r="L328" s="474">
        <v>36999</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16300</v>
      </c>
      <c r="D330" s="1692">
        <f t="shared" ref="D330:J330" si="25">SUM(D319:D329)</f>
        <v>2085</v>
      </c>
      <c r="E330" s="1692">
        <f t="shared" si="25"/>
        <v>65056</v>
      </c>
      <c r="F330" s="1692">
        <f t="shared" si="25"/>
        <v>1474</v>
      </c>
      <c r="G330" s="1692">
        <f t="shared" si="25"/>
        <v>0</v>
      </c>
      <c r="H330" s="1692">
        <f t="shared" si="25"/>
        <v>0</v>
      </c>
      <c r="I330" s="1692">
        <f t="shared" si="25"/>
        <v>0</v>
      </c>
      <c r="J330" s="1692">
        <f t="shared" si="25"/>
        <v>0</v>
      </c>
      <c r="K330" s="1692">
        <f>SUM(K319:K329)</f>
        <v>84915</v>
      </c>
      <c r="L330" s="1692">
        <f>SUM(L319:L329)</f>
        <v>117450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16300</v>
      </c>
      <c r="D342" s="1692">
        <f>SUM(D330)</f>
        <v>2085</v>
      </c>
      <c r="E342" s="1692">
        <f>SUM(E330)</f>
        <v>65056</v>
      </c>
      <c r="F342" s="1692">
        <f>SUM(F330)</f>
        <v>1474</v>
      </c>
      <c r="G342" s="1692">
        <f>SUM(G330)</f>
        <v>0</v>
      </c>
      <c r="H342" s="1692">
        <f>SUM(H330,H334,H340)</f>
        <v>0</v>
      </c>
      <c r="I342" s="1692">
        <f>SUM(I330)</f>
        <v>0</v>
      </c>
      <c r="J342" s="1692">
        <f>SUM(J330)</f>
        <v>0</v>
      </c>
      <c r="K342" s="1692">
        <f>SUM(K330,K334,K340)</f>
        <v>84915</v>
      </c>
      <c r="L342" s="1699">
        <f>SUM(L330,L340,L341)</f>
        <v>117450</v>
      </c>
    </row>
    <row r="343" spans="1:14" ht="12.75" customHeight="1" thickTop="1" x14ac:dyDescent="0.2">
      <c r="A343" s="2185" t="s">
        <v>1053</v>
      </c>
      <c r="B343" s="2186"/>
      <c r="C343" s="617"/>
      <c r="D343" s="617"/>
      <c r="E343" s="617"/>
      <c r="F343" s="617"/>
      <c r="G343" s="617"/>
      <c r="H343" s="617"/>
      <c r="I343" s="617"/>
      <c r="J343" s="617"/>
      <c r="K343" s="1706">
        <f>'Revenues 9-14'!J275-'Expenditures 15-22'!K342</f>
        <v>101604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
See notes.
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sharepoint/v3"/>
    <ds:schemaRef ds:uri="http://schemas.openxmlformats.org/package/2006/metadata/core-properties"/>
    <ds:schemaRef ds:uri="http://purl.org/dc/dcmitype/"/>
    <ds:schemaRef ds:uri="http://schemas.microsoft.com/office/2006/documentManagement/types"/>
    <ds:schemaRef ds:uri="6ce3111e-7420-4802-b50a-75d4e9a0b980"/>
    <ds:schemaRef ds:uri="http://schemas.microsoft.com/office/2006/metadata/properties"/>
    <ds:schemaRef ds:uri="d21dc803-237d-4c68-8692-8d731fd29118"/>
    <ds:schemaRef ds:uri="http://schemas.microsoft.com/office/infopath/2007/PartnerControls"/>
    <ds:schemaRef ds:uri="4d435f69-8686-490b-bd6d-b153bf22ab50"/>
    <ds:schemaRef ds:uri="http://www.w3.org/XML/1998/namespace"/>
    <ds:schemaRef ds:uri="http://purl.org/dc/te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2018-10-04T15:01:12Z</cp:lastPrinted>
  <dcterms:created xsi:type="dcterms:W3CDTF">2003-10-29T19:06:34Z</dcterms:created>
  <dcterms:modified xsi:type="dcterms:W3CDTF">2018-10-10T19:51:06Z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