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181" l="1"/>
  <c r="C80" i="4"/>
  <c r="C4" i="3" l="1"/>
  <c r="D215" i="29"/>
  <c r="G4" i="3" l="1"/>
  <c r="M19" i="3" l="1"/>
  <c r="H103" i="5"/>
  <c r="E301" i="29"/>
  <c r="E182" i="29"/>
  <c r="G182" i="29"/>
  <c r="F5" i="29"/>
  <c r="H170" i="29"/>
  <c r="H169" i="29"/>
  <c r="C63" i="29"/>
  <c r="E10" i="108"/>
  <c r="C124" i="29"/>
  <c r="D266" i="29"/>
  <c r="E9" i="108"/>
  <c r="D264" i="29"/>
  <c r="E8" i="108"/>
  <c r="C182" i="29"/>
  <c r="E322" i="29"/>
  <c r="C31" i="3"/>
  <c r="K4" i="3"/>
  <c r="J4" i="3"/>
  <c r="I4" i="3"/>
  <c r="F4" i="3"/>
  <c r="D4" i="3"/>
  <c r="K38" i="3"/>
  <c r="I12" i="5"/>
  <c r="I18" i="5"/>
  <c r="I67" i="5"/>
  <c r="I108" i="5"/>
  <c r="I109" i="5"/>
  <c r="I4" i="4" s="1"/>
  <c r="I8" i="4" s="1"/>
  <c r="I20" i="4" s="1"/>
  <c r="I172" i="5"/>
  <c r="I173" i="5"/>
  <c r="I6" i="4" s="1"/>
  <c r="I178" i="5"/>
  <c r="I274" i="5"/>
  <c r="I7" i="4" s="1"/>
  <c r="I44" i="4"/>
  <c r="I47" i="4"/>
  <c r="I76" i="4" s="1"/>
  <c r="I48" i="4"/>
  <c r="G12" i="5"/>
  <c r="G109" i="5" s="1"/>
  <c r="G4" i="4" s="1"/>
  <c r="G18" i="5"/>
  <c r="G67" i="5"/>
  <c r="G108" i="5"/>
  <c r="G114" i="5"/>
  <c r="G5" i="4" s="1"/>
  <c r="G121" i="5"/>
  <c r="G140" i="5"/>
  <c r="G172" i="5" s="1"/>
  <c r="G144" i="5"/>
  <c r="G154" i="5"/>
  <c r="G178" i="5"/>
  <c r="G184" i="5"/>
  <c r="G191" i="5"/>
  <c r="G273" i="5" s="1"/>
  <c r="G274" i="5" s="1"/>
  <c r="G7" i="4" s="1"/>
  <c r="G201" i="5"/>
  <c r="G211" i="5"/>
  <c r="G216" i="5"/>
  <c r="G224" i="5"/>
  <c r="G228" i="5"/>
  <c r="G259" i="5"/>
  <c r="K215" i="29"/>
  <c r="K216" i="29"/>
  <c r="D217" i="29"/>
  <c r="K217" i="29" s="1"/>
  <c r="K218" i="29"/>
  <c r="D219" i="29"/>
  <c r="K219" i="29" s="1"/>
  <c r="K220" i="29"/>
  <c r="K221" i="29"/>
  <c r="K222" i="29"/>
  <c r="D223" i="29"/>
  <c r="K223" i="29" s="1"/>
  <c r="K224" i="29"/>
  <c r="K225" i="29"/>
  <c r="K226" i="29"/>
  <c r="K227" i="29"/>
  <c r="K228" i="29"/>
  <c r="K232" i="29"/>
  <c r="K238" i="29" s="1"/>
  <c r="K233" i="29"/>
  <c r="K234" i="29"/>
  <c r="K235" i="29"/>
  <c r="K236" i="29"/>
  <c r="K237" i="29"/>
  <c r="K240" i="29"/>
  <c r="D241" i="29"/>
  <c r="K241" i="29"/>
  <c r="K242" i="29"/>
  <c r="K243" i="29"/>
  <c r="K245" i="29"/>
  <c r="K257" i="29" s="1"/>
  <c r="D246" i="29"/>
  <c r="K246" i="29" s="1"/>
  <c r="K247" i="29"/>
  <c r="K248" i="29"/>
  <c r="K249" i="29"/>
  <c r="K250" i="29"/>
  <c r="K251" i="29"/>
  <c r="K252" i="29"/>
  <c r="K253" i="29"/>
  <c r="K254" i="29"/>
  <c r="K255" i="29"/>
  <c r="K256" i="29"/>
  <c r="D259" i="29"/>
  <c r="K259" i="29"/>
  <c r="K261" i="29" s="1"/>
  <c r="K260" i="29"/>
  <c r="K263" i="29"/>
  <c r="K264" i="29"/>
  <c r="K265" i="29"/>
  <c r="K266" i="29"/>
  <c r="D267" i="29"/>
  <c r="K267" i="29"/>
  <c r="D268" i="29"/>
  <c r="K268" i="29" s="1"/>
  <c r="K269" i="29"/>
  <c r="K272" i="29"/>
  <c r="K277" i="29" s="1"/>
  <c r="K273" i="29"/>
  <c r="K274" i="29"/>
  <c r="K275" i="29"/>
  <c r="K276" i="29"/>
  <c r="K278" i="29"/>
  <c r="K280" i="29"/>
  <c r="G14" i="4" s="1"/>
  <c r="K282" i="29"/>
  <c r="K285" i="29" s="1"/>
  <c r="G15" i="4" s="1"/>
  <c r="K283" i="29"/>
  <c r="K284" i="29"/>
  <c r="K288" i="29"/>
  <c r="K293" i="29" s="1"/>
  <c r="G16" i="4" s="1"/>
  <c r="K289" i="29"/>
  <c r="K290" i="29"/>
  <c r="K291" i="29"/>
  <c r="K292" i="29"/>
  <c r="G44" i="4"/>
  <c r="G77" i="4" s="1"/>
  <c r="G76" i="4"/>
  <c r="D12" i="5"/>
  <c r="D18" i="5"/>
  <c r="D109" i="5" s="1"/>
  <c r="D4" i="4" s="1"/>
  <c r="D67" i="5"/>
  <c r="D82" i="5"/>
  <c r="D108" i="5"/>
  <c r="D114" i="5"/>
  <c r="D5" i="4" s="1"/>
  <c r="D121" i="5"/>
  <c r="D131" i="5"/>
  <c r="D172" i="5" s="1"/>
  <c r="D140" i="5"/>
  <c r="D154" i="5"/>
  <c r="D178" i="5"/>
  <c r="D184" i="5"/>
  <c r="D191" i="5"/>
  <c r="D273" i="5" s="1"/>
  <c r="D274" i="5" s="1"/>
  <c r="D7" i="4" s="1"/>
  <c r="D211" i="5"/>
  <c r="D216" i="5"/>
  <c r="D224" i="5"/>
  <c r="D228" i="5"/>
  <c r="D259" i="5"/>
  <c r="K120" i="29"/>
  <c r="K122" i="29"/>
  <c r="K123" i="29"/>
  <c r="D124" i="29"/>
  <c r="E124" i="29"/>
  <c r="F124" i="29"/>
  <c r="K124" i="29"/>
  <c r="K127" i="29" s="1"/>
  <c r="K129" i="29" s="1"/>
  <c r="D13" i="4" s="1"/>
  <c r="K125" i="29"/>
  <c r="K126" i="29"/>
  <c r="K128" i="29"/>
  <c r="K130" i="29"/>
  <c r="D14" i="4"/>
  <c r="K133" i="29"/>
  <c r="K134" i="29"/>
  <c r="K135" i="29"/>
  <c r="K137" i="29" s="1"/>
  <c r="K139" i="29" s="1"/>
  <c r="D15" i="4" s="1"/>
  <c r="K136" i="29"/>
  <c r="K138" i="29"/>
  <c r="K142" i="29"/>
  <c r="K143" i="29"/>
  <c r="K144" i="29"/>
  <c r="K147" i="29" s="1"/>
  <c r="K149" i="29" s="1"/>
  <c r="D16" i="4" s="1"/>
  <c r="K145" i="29"/>
  <c r="K146" i="29"/>
  <c r="K148" i="29"/>
  <c r="D44" i="4"/>
  <c r="D77" i="4" s="1"/>
  <c r="D76" i="4"/>
  <c r="C5" i="5"/>
  <c r="C12" i="5"/>
  <c r="C18" i="5"/>
  <c r="C40" i="5"/>
  <c r="C67" i="5"/>
  <c r="C69" i="5"/>
  <c r="C75" i="5" s="1"/>
  <c r="C70" i="5"/>
  <c r="C73" i="5"/>
  <c r="C77" i="5"/>
  <c r="C82" i="5" s="1"/>
  <c r="C81" i="5"/>
  <c r="C84" i="5"/>
  <c r="C93" i="5"/>
  <c r="C107" i="5"/>
  <c r="C108" i="5" s="1"/>
  <c r="C114" i="5"/>
  <c r="C5" i="4"/>
  <c r="C121" i="5"/>
  <c r="C131" i="5"/>
  <c r="C172" i="5" s="1"/>
  <c r="C140" i="5"/>
  <c r="C144" i="5"/>
  <c r="C154" i="5"/>
  <c r="C178" i="5"/>
  <c r="C184" i="5"/>
  <c r="C191" i="5"/>
  <c r="C273" i="5" s="1"/>
  <c r="C274" i="5" s="1"/>
  <c r="C7" i="4" s="1"/>
  <c r="C201" i="5"/>
  <c r="C211" i="5"/>
  <c r="C216" i="5"/>
  <c r="C224" i="5"/>
  <c r="C228" i="5"/>
  <c r="C259" i="5"/>
  <c r="C5" i="29"/>
  <c r="D5" i="29"/>
  <c r="E5" i="29"/>
  <c r="H5" i="29"/>
  <c r="K5" i="29"/>
  <c r="K6" i="29"/>
  <c r="K7" i="29"/>
  <c r="C8" i="29"/>
  <c r="D8" i="29"/>
  <c r="K8" i="29" s="1"/>
  <c r="K9" i="29"/>
  <c r="C10" i="29"/>
  <c r="K10" i="29" s="1"/>
  <c r="D10" i="29"/>
  <c r="E10" i="29"/>
  <c r="K11" i="29"/>
  <c r="K12" i="29"/>
  <c r="K13" i="29"/>
  <c r="C14" i="29"/>
  <c r="K14" i="29" s="1"/>
  <c r="D14" i="29"/>
  <c r="E14" i="29"/>
  <c r="F14" i="29"/>
  <c r="H14" i="29"/>
  <c r="K15" i="29"/>
  <c r="K16" i="29"/>
  <c r="C17" i="29"/>
  <c r="D17" i="29"/>
  <c r="E17" i="29"/>
  <c r="K17" i="29"/>
  <c r="K18" i="29"/>
  <c r="K19" i="29"/>
  <c r="K20" i="29"/>
  <c r="K21" i="29"/>
  <c r="K22" i="29"/>
  <c r="K23" i="29"/>
  <c r="K24" i="29"/>
  <c r="K25" i="29"/>
  <c r="K26" i="29"/>
  <c r="K27" i="29"/>
  <c r="K28" i="29"/>
  <c r="K29" i="29"/>
  <c r="K30" i="29"/>
  <c r="K31" i="29"/>
  <c r="K32" i="29"/>
  <c r="D36" i="29"/>
  <c r="K36" i="29"/>
  <c r="D37" i="29"/>
  <c r="K37" i="29" s="1"/>
  <c r="K38" i="29"/>
  <c r="K39" i="29"/>
  <c r="D40" i="29"/>
  <c r="K40" i="29" s="1"/>
  <c r="K41" i="29"/>
  <c r="E44" i="29"/>
  <c r="K44" i="29" s="1"/>
  <c r="K47" i="29" s="1"/>
  <c r="C45" i="29"/>
  <c r="D45" i="29"/>
  <c r="K45" i="29"/>
  <c r="E46" i="29"/>
  <c r="K46" i="29"/>
  <c r="E49" i="29"/>
  <c r="F49" i="29"/>
  <c r="H49" i="29"/>
  <c r="K49" i="29"/>
  <c r="C50" i="29"/>
  <c r="K50" i="29" s="1"/>
  <c r="D50" i="29"/>
  <c r="K51" i="29"/>
  <c r="K52" i="29"/>
  <c r="C55" i="29"/>
  <c r="D55" i="29"/>
  <c r="K55" i="29" s="1"/>
  <c r="K57" i="29" s="1"/>
  <c r="E55" i="29"/>
  <c r="F55" i="29"/>
  <c r="H55" i="29"/>
  <c r="K56" i="29"/>
  <c r="K59" i="29"/>
  <c r="D60" i="29"/>
  <c r="K60" i="29" s="1"/>
  <c r="K65" i="29" s="1"/>
  <c r="F60" i="29"/>
  <c r="K61" i="29"/>
  <c r="K62" i="29"/>
  <c r="D63" i="29"/>
  <c r="K63" i="29" s="1"/>
  <c r="E63" i="29"/>
  <c r="F63" i="29"/>
  <c r="G63" i="29"/>
  <c r="H63" i="29"/>
  <c r="K64" i="29"/>
  <c r="K67" i="29"/>
  <c r="K72" i="29" s="1"/>
  <c r="K68" i="29"/>
  <c r="K69" i="29"/>
  <c r="K70" i="29"/>
  <c r="K71" i="29"/>
  <c r="K73" i="29"/>
  <c r="K75" i="29"/>
  <c r="C14" i="4"/>
  <c r="K78" i="29"/>
  <c r="K84" i="29" s="1"/>
  <c r="K79" i="29"/>
  <c r="K80" i="29"/>
  <c r="K81" i="29"/>
  <c r="K82" i="29"/>
  <c r="K83" i="29"/>
  <c r="H92" i="29"/>
  <c r="K92" i="29"/>
  <c r="K93" i="29"/>
  <c r="K100" i="29" s="1"/>
  <c r="K94" i="29"/>
  <c r="K95" i="29"/>
  <c r="K96" i="29"/>
  <c r="K97" i="29"/>
  <c r="K98" i="29"/>
  <c r="K99" i="29"/>
  <c r="K101" i="29"/>
  <c r="K105" i="29"/>
  <c r="K106" i="29"/>
  <c r="K107" i="29"/>
  <c r="K108" i="29"/>
  <c r="K109" i="29"/>
  <c r="K110" i="29"/>
  <c r="K112" i="29" s="1"/>
  <c r="C16" i="4" s="1"/>
  <c r="K111" i="29"/>
  <c r="C44" i="4"/>
  <c r="C76" i="4"/>
  <c r="C77" i="4"/>
  <c r="E8" i="7"/>
  <c r="E6" i="7"/>
  <c r="F152" i="5"/>
  <c r="F182" i="29"/>
  <c r="D182" i="29"/>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J34" i="182" s="1"/>
  <c r="I18" i="182"/>
  <c r="H18" i="182"/>
  <c r="J17" i="182"/>
  <c r="I17" i="182"/>
  <c r="H17" i="182"/>
  <c r="J16" i="182"/>
  <c r="I16" i="182"/>
  <c r="H16" i="182"/>
  <c r="J15" i="182"/>
  <c r="I15" i="182"/>
  <c r="H15" i="182"/>
  <c r="J14" i="182"/>
  <c r="I14" i="182"/>
  <c r="H14" i="182"/>
  <c r="J13" i="182"/>
  <c r="I13" i="182"/>
  <c r="H13" i="182"/>
  <c r="J12" i="182"/>
  <c r="I12" i="182"/>
  <c r="H12" i="182"/>
  <c r="H34" i="182" s="1"/>
  <c r="J11" i="182"/>
  <c r="I11" i="182"/>
  <c r="H11" i="182"/>
  <c r="I34" i="182"/>
  <c r="K356" i="29"/>
  <c r="K355" i="29"/>
  <c r="B7794" i="106"/>
  <c r="K354" i="29"/>
  <c r="K357" i="29" s="1"/>
  <c r="K15" i="4" s="1"/>
  <c r="H357" i="29"/>
  <c r="L334" i="29"/>
  <c r="K333" i="29"/>
  <c r="B7788" i="106"/>
  <c r="K332" i="29"/>
  <c r="H334" i="29"/>
  <c r="B7789" i="106"/>
  <c r="B7784" i="106"/>
  <c r="H160" i="29"/>
  <c r="K159" i="29"/>
  <c r="B7782" i="106"/>
  <c r="K158" i="29"/>
  <c r="K160" i="29" s="1"/>
  <c r="K157" i="29"/>
  <c r="B7778" i="106"/>
  <c r="B7795" i="106"/>
  <c r="B7776" i="106"/>
  <c r="B7793" i="106"/>
  <c r="B7791" i="106"/>
  <c r="B7787" i="106"/>
  <c r="B7786" i="106"/>
  <c r="B7785" i="106"/>
  <c r="B7783" i="106"/>
  <c r="B7781" i="106"/>
  <c r="B7779" i="106"/>
  <c r="B7777" i="106"/>
  <c r="B7775" i="106"/>
  <c r="B7774" i="106"/>
  <c r="K334" i="29"/>
  <c r="F74" i="34"/>
  <c r="B7792" i="106"/>
  <c r="B7790" i="106"/>
  <c r="J15" i="4"/>
  <c r="B7796" i="106"/>
  <c r="L357" i="29"/>
  <c r="L285" i="29"/>
  <c r="D285" i="29"/>
  <c r="L160" i="29"/>
  <c r="L137" i="29"/>
  <c r="H137" i="29"/>
  <c r="E137" i="29"/>
  <c r="E139" i="29"/>
  <c r="F139" i="181"/>
  <c r="G139" i="181" s="1"/>
  <c r="E139" i="181"/>
  <c r="F138" i="181"/>
  <c r="G138" i="181" s="1"/>
  <c r="E138" i="181"/>
  <c r="F137" i="181"/>
  <c r="G137" i="181" s="1"/>
  <c r="E137" i="181"/>
  <c r="F136" i="181"/>
  <c r="G136" i="181" s="1"/>
  <c r="E136" i="181"/>
  <c r="F135" i="181"/>
  <c r="G135" i="181" s="1"/>
  <c r="E135" i="181"/>
  <c r="F134" i="181"/>
  <c r="G134" i="181"/>
  <c r="E134" i="181"/>
  <c r="F133" i="181"/>
  <c r="G133" i="181"/>
  <c r="E133" i="181"/>
  <c r="E132" i="181"/>
  <c r="F132" i="181"/>
  <c r="G132" i="181" s="1"/>
  <c r="F131" i="181"/>
  <c r="G131" i="181" s="1"/>
  <c r="E131" i="181"/>
  <c r="F130" i="181"/>
  <c r="G130" i="181" s="1"/>
  <c r="E130" i="181"/>
  <c r="F129" i="181"/>
  <c r="G129" i="181" s="1"/>
  <c r="E129" i="181"/>
  <c r="F128" i="181"/>
  <c r="G128" i="181" s="1"/>
  <c r="E128" i="181"/>
  <c r="E127" i="181"/>
  <c r="F127" i="181"/>
  <c r="G127" i="181"/>
  <c r="F126" i="181"/>
  <c r="G126" i="181"/>
  <c r="E126" i="181"/>
  <c r="F125" i="181"/>
  <c r="G125" i="181"/>
  <c r="E125" i="181"/>
  <c r="F124" i="181"/>
  <c r="G124" i="181"/>
  <c r="E124" i="181"/>
  <c r="E123" i="181"/>
  <c r="F123" i="181"/>
  <c r="G123" i="181" s="1"/>
  <c r="F122" i="181"/>
  <c r="G122" i="181" s="1"/>
  <c r="E122" i="181"/>
  <c r="F121" i="181"/>
  <c r="G121" i="181" s="1"/>
  <c r="E121" i="181"/>
  <c r="F120" i="181"/>
  <c r="G120" i="181" s="1"/>
  <c r="E120" i="181"/>
  <c r="F119" i="181"/>
  <c r="G119" i="181" s="1"/>
  <c r="E119" i="181"/>
  <c r="F118" i="181"/>
  <c r="G118" i="181"/>
  <c r="E118" i="181"/>
  <c r="F117" i="181"/>
  <c r="G117" i="181"/>
  <c r="E117" i="181"/>
  <c r="F116" i="181"/>
  <c r="G116" i="181"/>
  <c r="E116" i="181"/>
  <c r="F115" i="181"/>
  <c r="G115" i="181" s="1"/>
  <c r="E115" i="181"/>
  <c r="E114" i="181"/>
  <c r="F114" i="181"/>
  <c r="G114" i="181" s="1"/>
  <c r="F113" i="181"/>
  <c r="G113" i="181" s="1"/>
  <c r="E113" i="181"/>
  <c r="F112" i="181"/>
  <c r="G112" i="181" s="1"/>
  <c r="E112" i="181"/>
  <c r="F111" i="181"/>
  <c r="G111" i="181" s="1"/>
  <c r="E111" i="181"/>
  <c r="E110" i="181"/>
  <c r="F110" i="181"/>
  <c r="G110" i="181" s="1"/>
  <c r="F109" i="181"/>
  <c r="G109" i="181" s="1"/>
  <c r="E109" i="181"/>
  <c r="F108" i="181"/>
  <c r="G108" i="181"/>
  <c r="E108" i="181"/>
  <c r="F107" i="181"/>
  <c r="G107" i="181" s="1"/>
  <c r="E107" i="181"/>
  <c r="F106" i="181"/>
  <c r="G106" i="181"/>
  <c r="E106" i="181"/>
  <c r="F105" i="181"/>
  <c r="G105" i="181" s="1"/>
  <c r="E105" i="181"/>
  <c r="F104" i="181"/>
  <c r="G104" i="181" s="1"/>
  <c r="E104" i="181"/>
  <c r="F99" i="181"/>
  <c r="G99" i="181" s="1"/>
  <c r="E99" i="181"/>
  <c r="F103" i="181"/>
  <c r="G103" i="181"/>
  <c r="E103" i="181"/>
  <c r="E102" i="181"/>
  <c r="F102" i="181"/>
  <c r="G102" i="181"/>
  <c r="F101" i="181"/>
  <c r="G101" i="181"/>
  <c r="E101" i="181"/>
  <c r="E100" i="181"/>
  <c r="F100" i="181"/>
  <c r="G100" i="181" s="1"/>
  <c r="F98" i="181"/>
  <c r="G98" i="181" s="1"/>
  <c r="E98" i="181"/>
  <c r="E97" i="181"/>
  <c r="F97" i="181"/>
  <c r="G97" i="181"/>
  <c r="F96" i="181"/>
  <c r="G96" i="181" s="1"/>
  <c r="E96" i="181"/>
  <c r="E95" i="181"/>
  <c r="F95" i="181"/>
  <c r="G95" i="181"/>
  <c r="F93" i="181"/>
  <c r="G93" i="181"/>
  <c r="E93" i="181"/>
  <c r="F92" i="181"/>
  <c r="G92" i="181"/>
  <c r="E92" i="181"/>
  <c r="E91" i="181"/>
  <c r="F91" i="181"/>
  <c r="G91" i="181" s="1"/>
  <c r="F90" i="181"/>
  <c r="G90" i="181" s="1"/>
  <c r="E90" i="181"/>
  <c r="F89" i="181"/>
  <c r="G89" i="181" s="1"/>
  <c r="E89" i="181"/>
  <c r="E88" i="181"/>
  <c r="F88" i="181"/>
  <c r="G88" i="181"/>
  <c r="F87" i="181"/>
  <c r="G87" i="181" s="1"/>
  <c r="E87" i="181"/>
  <c r="E86" i="181"/>
  <c r="F86" i="181"/>
  <c r="G86" i="181"/>
  <c r="F84" i="181"/>
  <c r="G84" i="181"/>
  <c r="E84" i="181"/>
  <c r="F83" i="181"/>
  <c r="G83" i="181"/>
  <c r="E83" i="181"/>
  <c r="F82" i="181"/>
  <c r="G82" i="181"/>
  <c r="E82" i="181"/>
  <c r="F81" i="181"/>
  <c r="G81" i="181" s="1"/>
  <c r="E81" i="181"/>
  <c r="F80" i="181"/>
  <c r="G80" i="181" s="1"/>
  <c r="E80" i="181"/>
  <c r="F79" i="181"/>
  <c r="G79" i="181" s="1"/>
  <c r="E79" i="181"/>
  <c r="F78" i="181"/>
  <c r="G78" i="181" s="1"/>
  <c r="E78" i="181"/>
  <c r="F77" i="181"/>
  <c r="G77" i="181"/>
  <c r="E77" i="181"/>
  <c r="F76" i="181"/>
  <c r="G76" i="181"/>
  <c r="E76" i="181"/>
  <c r="E75" i="181"/>
  <c r="F75" i="181"/>
  <c r="G75" i="181" s="1"/>
  <c r="F74" i="181"/>
  <c r="G74" i="181"/>
  <c r="E74" i="181"/>
  <c r="F73" i="181"/>
  <c r="G73" i="181" s="1"/>
  <c r="E73" i="181"/>
  <c r="F140" i="181"/>
  <c r="G140" i="181" s="1"/>
  <c r="E140" i="181"/>
  <c r="F94" i="181"/>
  <c r="G94" i="181" s="1"/>
  <c r="E94" i="181"/>
  <c r="F85" i="181"/>
  <c r="G85" i="181" s="1"/>
  <c r="E85" i="181"/>
  <c r="E72" i="181"/>
  <c r="F72" i="181"/>
  <c r="G72" i="181"/>
  <c r="F71" i="181"/>
  <c r="G71" i="181"/>
  <c r="E71" i="181"/>
  <c r="F70" i="181"/>
  <c r="G70" i="181"/>
  <c r="E70" i="181"/>
  <c r="F69" i="181"/>
  <c r="G69" i="181"/>
  <c r="E69" i="181"/>
  <c r="F68" i="181"/>
  <c r="G68" i="181" s="1"/>
  <c r="E68" i="181"/>
  <c r="F67" i="181"/>
  <c r="G67" i="181" s="1"/>
  <c r="E67" i="181"/>
  <c r="F66" i="181"/>
  <c r="G66" i="181" s="1"/>
  <c r="E66" i="181"/>
  <c r="E65" i="181"/>
  <c r="F65" i="181"/>
  <c r="G65" i="181"/>
  <c r="E64" i="181"/>
  <c r="F64" i="181"/>
  <c r="G64" i="181"/>
  <c r="F63" i="181"/>
  <c r="G63" i="181"/>
  <c r="E63" i="181"/>
  <c r="F62" i="181"/>
  <c r="G62" i="181"/>
  <c r="E62" i="181"/>
  <c r="F61" i="181"/>
  <c r="G61" i="181" s="1"/>
  <c r="E61" i="181"/>
  <c r="E60" i="181"/>
  <c r="F60" i="181"/>
  <c r="G60" i="181" s="1"/>
  <c r="F59" i="181"/>
  <c r="G59" i="181" s="1"/>
  <c r="E59" i="181"/>
  <c r="E58" i="181"/>
  <c r="F58" i="181"/>
  <c r="G58" i="181"/>
  <c r="F57" i="181"/>
  <c r="G57" i="181" s="1"/>
  <c r="E57" i="181"/>
  <c r="E56" i="181"/>
  <c r="F56" i="181"/>
  <c r="G56" i="181" s="1"/>
  <c r="F55" i="181"/>
  <c r="G55" i="18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c r="E47" i="181"/>
  <c r="F46" i="181"/>
  <c r="G46" i="181"/>
  <c r="E46" i="181"/>
  <c r="F45" i="181"/>
  <c r="G45" i="181" s="1"/>
  <c r="E45" i="181"/>
  <c r="F44" i="181"/>
  <c r="G44" i="181" s="1"/>
  <c r="E44" i="181"/>
  <c r="E43" i="181"/>
  <c r="F43" i="181"/>
  <c r="G43" i="181"/>
  <c r="E42" i="181"/>
  <c r="F42" i="181"/>
  <c r="G42" i="181"/>
  <c r="F41" i="181"/>
  <c r="G41" i="181" s="1"/>
  <c r="E41" i="181"/>
  <c r="F40" i="181"/>
  <c r="G40" i="181"/>
  <c r="E40" i="181"/>
  <c r="F39" i="181"/>
  <c r="G39" i="181"/>
  <c r="E39" i="181"/>
  <c r="F38" i="181"/>
  <c r="G38" i="181"/>
  <c r="E38" i="181"/>
  <c r="F37" i="181"/>
  <c r="G37" i="181" s="1"/>
  <c r="E37" i="181"/>
  <c r="F36" i="181"/>
  <c r="G36" i="181" s="1"/>
  <c r="E36" i="181"/>
  <c r="F35" i="181"/>
  <c r="G35" i="181" s="1"/>
  <c r="E35" i="181"/>
  <c r="F34" i="181"/>
  <c r="G34" i="181" s="1"/>
  <c r="E34" i="181"/>
  <c r="E33" i="181"/>
  <c r="F33" i="181"/>
  <c r="G33" i="181"/>
  <c r="F32" i="181"/>
  <c r="G32" i="181"/>
  <c r="E32" i="181"/>
  <c r="F31" i="181"/>
  <c r="G31" i="181"/>
  <c r="E31" i="181"/>
  <c r="F30" i="181"/>
  <c r="G30" i="181"/>
  <c r="E30" i="181"/>
  <c r="E29" i="181"/>
  <c r="F29" i="181"/>
  <c r="G29" i="181" s="1"/>
  <c r="F28" i="181"/>
  <c r="G28" i="181" s="1"/>
  <c r="E28" i="181"/>
  <c r="E27" i="181"/>
  <c r="F27" i="181"/>
  <c r="G27" i="181"/>
  <c r="F26" i="181"/>
  <c r="G26" i="181" s="1"/>
  <c r="E26" i="181"/>
  <c r="E25" i="181"/>
  <c r="F25" i="181"/>
  <c r="G25" i="181" s="1"/>
  <c r="F24" i="181"/>
  <c r="G24" i="181"/>
  <c r="E24" i="181"/>
  <c r="F23" i="181"/>
  <c r="G23" i="181"/>
  <c r="E23" i="181"/>
  <c r="F22" i="181"/>
  <c r="G22" i="181" s="1"/>
  <c r="E22" i="181"/>
  <c r="F21" i="181"/>
  <c r="G21" i="181" s="1"/>
  <c r="E21" i="181"/>
  <c r="F20" i="181"/>
  <c r="G20" i="181" s="1"/>
  <c r="E20" i="181"/>
  <c r="E19" i="181"/>
  <c r="F19" i="181"/>
  <c r="G19" i="181" s="1"/>
  <c r="F18" i="181"/>
  <c r="G18" i="181" s="1"/>
  <c r="E18" i="181"/>
  <c r="D141" i="181"/>
  <c r="D80" i="36" s="1"/>
  <c r="E17" i="181"/>
  <c r="E16" i="181"/>
  <c r="F16" i="181"/>
  <c r="G16" i="181" s="1"/>
  <c r="F17" i="18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s="1"/>
  <c r="A7" i="169"/>
  <c r="B1" i="175" s="1"/>
  <c r="B4" i="177"/>
  <c r="B4" i="176"/>
  <c r="B4" i="175"/>
  <c r="G43" i="174"/>
  <c r="D47" i="174"/>
  <c r="B4" i="174"/>
  <c r="E34" i="173"/>
  <c r="A4" i="173"/>
  <c r="D47" i="171"/>
  <c r="A5" i="171"/>
  <c r="C110" i="170"/>
  <c r="C112" i="170"/>
  <c r="C115" i="170"/>
  <c r="C117" i="170" s="1"/>
  <c r="C119" i="170" s="1"/>
  <c r="C123" i="170" s="1"/>
  <c r="C44" i="170"/>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1"/>
  <c r="B7773" i="106"/>
  <c r="B61" i="106"/>
  <c r="B52" i="106"/>
  <c r="B51" i="106"/>
  <c r="B49" i="106"/>
  <c r="B48" i="106"/>
  <c r="B47" i="106"/>
  <c r="B46" i="106"/>
  <c r="B45" i="106"/>
  <c r="B44" i="106"/>
  <c r="B43" i="106"/>
  <c r="B42" i="106"/>
  <c r="B41" i="106"/>
  <c r="B50" i="106"/>
  <c r="F163" i="34"/>
  <c r="B7769" i="106"/>
  <c r="D7769" i="106"/>
  <c r="B7768" i="106"/>
  <c r="B7766" i="106"/>
  <c r="B7765" i="106"/>
  <c r="B7764" i="106"/>
  <c r="D7764" i="106"/>
  <c r="J85" i="28"/>
  <c r="B7758" i="106"/>
  <c r="D7758" i="106"/>
  <c r="J88" i="28"/>
  <c r="B7763" i="106"/>
  <c r="B7762" i="106"/>
  <c r="D7762" i="106" s="1"/>
  <c r="K12" i="12"/>
  <c r="K23" i="12"/>
  <c r="J12" i="12"/>
  <c r="J21" i="12"/>
  <c r="B7727" i="106" s="1"/>
  <c r="D7727" i="106" s="1"/>
  <c r="B7729" i="106"/>
  <c r="B7734" i="106"/>
  <c r="B7726" i="106"/>
  <c r="F162" i="34"/>
  <c r="B30" i="36"/>
  <c r="B33" i="36"/>
  <c r="B43" i="36" s="1"/>
  <c r="B56" i="36" s="1"/>
  <c r="B66" i="36" s="1"/>
  <c r="B70" i="36" s="1"/>
  <c r="B74" i="36" s="1"/>
  <c r="D73" i="36"/>
  <c r="B4395" i="106"/>
  <c r="D4395" i="106"/>
  <c r="B5260" i="106"/>
  <c r="D5260" i="106" s="1"/>
  <c r="B4411" i="106"/>
  <c r="D4411" i="106" s="1"/>
  <c r="B5286" i="106"/>
  <c r="D5286" i="106" s="1"/>
  <c r="B7761" i="106"/>
  <c r="D7761" i="106"/>
  <c r="L127" i="29"/>
  <c r="L129" i="29" s="1"/>
  <c r="L139" i="29"/>
  <c r="L149" i="29"/>
  <c r="I7" i="145"/>
  <c r="I6" i="145"/>
  <c r="J12" i="145"/>
  <c r="J13" i="145"/>
  <c r="J14" i="145"/>
  <c r="J15" i="145"/>
  <c r="J16" i="145"/>
  <c r="J17" i="145"/>
  <c r="J18" i="145"/>
  <c r="D78" i="36"/>
  <c r="F52" i="34"/>
  <c r="F56" i="34"/>
  <c r="K185" i="29"/>
  <c r="B2836" i="106" s="1"/>
  <c r="D2836" i="106" s="1"/>
  <c r="F15" i="145"/>
  <c r="F19" i="145"/>
  <c r="G33" i="108"/>
  <c r="D31" i="108"/>
  <c r="E15" i="145"/>
  <c r="E14" i="145"/>
  <c r="G14" i="145" s="1"/>
  <c r="E13" i="145"/>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s="1"/>
  <c r="D77" i="106" s="1"/>
  <c r="D78" i="106"/>
  <c r="D79" i="106"/>
  <c r="D80" i="106"/>
  <c r="D81" i="106"/>
  <c r="D82" i="106"/>
  <c r="D83" i="106"/>
  <c r="D84" i="106"/>
  <c r="D85" i="106"/>
  <c r="B86" i="106"/>
  <c r="D86" i="106" s="1"/>
  <c r="D87" i="106"/>
  <c r="B88" i="106"/>
  <c r="D88" i="106" s="1"/>
  <c r="D89" i="106"/>
  <c r="D90" i="106"/>
  <c r="C34" i="3"/>
  <c r="B91" i="106"/>
  <c r="D91" i="106" s="1"/>
  <c r="D94" i="106"/>
  <c r="D95" i="106"/>
  <c r="D96" i="106"/>
  <c r="B97" i="106"/>
  <c r="D97" i="106"/>
  <c r="D98" i="106"/>
  <c r="D99" i="106"/>
  <c r="D100" i="106"/>
  <c r="D101" i="106"/>
  <c r="D102" i="106"/>
  <c r="D103" i="106"/>
  <c r="B104" i="106"/>
  <c r="D104" i="106"/>
  <c r="B105" i="106"/>
  <c r="D105" i="106"/>
  <c r="D106" i="106"/>
  <c r="D107" i="106"/>
  <c r="B108" i="106"/>
  <c r="D108" i="106" s="1"/>
  <c r="D13" i="3"/>
  <c r="B109" i="106"/>
  <c r="D109" i="106" s="1"/>
  <c r="D110" i="106"/>
  <c r="D111" i="106"/>
  <c r="D112" i="106"/>
  <c r="D113" i="106"/>
  <c r="D114" i="106"/>
  <c r="D115" i="106"/>
  <c r="D116" i="106"/>
  <c r="B117" i="106"/>
  <c r="D117" i="106"/>
  <c r="D118" i="106"/>
  <c r="B119" i="106"/>
  <c r="D119" i="106"/>
  <c r="D120" i="106"/>
  <c r="D121" i="106"/>
  <c r="D34" i="3"/>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c r="D154" i="106"/>
  <c r="D155" i="106"/>
  <c r="B156" i="106"/>
  <c r="D156" i="106"/>
  <c r="F13" i="3"/>
  <c r="B157" i="106" s="1"/>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s="1"/>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s="1"/>
  <c r="H13" i="3"/>
  <c r="B203" i="106"/>
  <c r="D203" i="106" s="1"/>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s="1"/>
  <c r="B276" i="106"/>
  <c r="D276" i="106"/>
  <c r="D277" i="106"/>
  <c r="D278" i="106"/>
  <c r="M23" i="3"/>
  <c r="B279" i="106"/>
  <c r="D279" i="106"/>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s="1"/>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c r="B723" i="106"/>
  <c r="D723" i="106" s="1"/>
  <c r="B724" i="106"/>
  <c r="D724" i="106" s="1"/>
  <c r="B725" i="106"/>
  <c r="D725" i="106" s="1"/>
  <c r="B726" i="106"/>
  <c r="D726" i="106"/>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c r="B740" i="106"/>
  <c r="D740" i="106" s="1"/>
  <c r="B741" i="106"/>
  <c r="D741" i="106" s="1"/>
  <c r="B742" i="106"/>
  <c r="D742" i="106" s="1"/>
  <c r="B743" i="106"/>
  <c r="D743" i="106" s="1"/>
  <c r="D744" i="106"/>
  <c r="C65" i="29"/>
  <c r="B745" i="106"/>
  <c r="D745" i="106" s="1"/>
  <c r="B746" i="106"/>
  <c r="D746" i="106" s="1"/>
  <c r="B747" i="106"/>
  <c r="D747" i="106"/>
  <c r="B748" i="106"/>
  <c r="D748" i="106" s="1"/>
  <c r="B749" i="106"/>
  <c r="D749" i="106" s="1"/>
  <c r="D750" i="106"/>
  <c r="B751" i="106"/>
  <c r="D751" i="106"/>
  <c r="D752" i="106"/>
  <c r="C72" i="29"/>
  <c r="B753" i="106" s="1"/>
  <c r="D753" i="106"/>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c r="B812" i="106"/>
  <c r="D812" i="106" s="1"/>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c r="D836" i="106" s="1"/>
  <c r="B837" i="106"/>
  <c r="D837" i="106"/>
  <c r="B838" i="106"/>
  <c r="D838" i="106"/>
  <c r="B839" i="106"/>
  <c r="D839" i="106"/>
  <c r="B840" i="106"/>
  <c r="D840" i="106" s="1"/>
  <c r="B841" i="106"/>
  <c r="D841" i="106"/>
  <c r="B842" i="106"/>
  <c r="D842" i="106"/>
  <c r="E42" i="29"/>
  <c r="B843" i="106"/>
  <c r="D843" i="106"/>
  <c r="B844" i="106"/>
  <c r="D844" i="106" s="1"/>
  <c r="B845" i="106"/>
  <c r="D845" i="106" s="1"/>
  <c r="B846" i="106"/>
  <c r="D846" i="106" s="1"/>
  <c r="E47" i="29"/>
  <c r="B848" i="106"/>
  <c r="D848" i="106" s="1"/>
  <c r="B849" i="106"/>
  <c r="D849" i="106"/>
  <c r="E53" i="29"/>
  <c r="B850" i="106"/>
  <c r="D850" i="106" s="1"/>
  <c r="B851" i="106"/>
  <c r="D851" i="106"/>
  <c r="B852" i="106"/>
  <c r="D852" i="106" s="1"/>
  <c r="E57" i="29"/>
  <c r="B853" i="106" s="1"/>
  <c r="D853" i="106" s="1"/>
  <c r="B854" i="106"/>
  <c r="D854" i="106"/>
  <c r="B855" i="106"/>
  <c r="D855" i="106" s="1"/>
  <c r="B856" i="106"/>
  <c r="D856" i="106"/>
  <c r="B857" i="106"/>
  <c r="D857" i="106"/>
  <c r="B858" i="106"/>
  <c r="D858" i="106"/>
  <c r="B859" i="106"/>
  <c r="D859" i="106" s="1"/>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s="1"/>
  <c r="B891" i="106"/>
  <c r="D891" i="106"/>
  <c r="B892" i="106"/>
  <c r="D892" i="106"/>
  <c r="B893" i="106"/>
  <c r="D893" i="106"/>
  <c r="B895" i="106"/>
  <c r="D895" i="106" s="1"/>
  <c r="B896" i="106"/>
  <c r="D896" i="106"/>
  <c r="B897" i="106"/>
  <c r="D897" i="106"/>
  <c r="B898" i="106"/>
  <c r="D898" i="106"/>
  <c r="B899" i="106"/>
  <c r="D899" i="106" s="1"/>
  <c r="B900" i="106"/>
  <c r="D900" i="106"/>
  <c r="F42" i="29"/>
  <c r="B901" i="106"/>
  <c r="D901" i="106" s="1"/>
  <c r="B902" i="106"/>
  <c r="D902" i="106"/>
  <c r="B903" i="106"/>
  <c r="D903" i="106" s="1"/>
  <c r="B904" i="106"/>
  <c r="D904" i="106" s="1"/>
  <c r="F47" i="29"/>
  <c r="B906" i="106"/>
  <c r="D906" i="106"/>
  <c r="B907" i="106"/>
  <c r="D907" i="106"/>
  <c r="F53" i="29"/>
  <c r="B908" i="106" s="1"/>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s="1"/>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s="1"/>
  <c r="B953" i="106"/>
  <c r="D953" i="106"/>
  <c r="B954" i="106"/>
  <c r="D954" i="106"/>
  <c r="B955" i="106"/>
  <c r="D955" i="106"/>
  <c r="B956" i="106"/>
  <c r="D956" i="106" s="1"/>
  <c r="B957" i="106"/>
  <c r="D957" i="106"/>
  <c r="B958" i="106"/>
  <c r="D958" i="106"/>
  <c r="G42" i="29"/>
  <c r="B959" i="106"/>
  <c r="D959" i="106"/>
  <c r="B960" i="106"/>
  <c r="D960" i="106" s="1"/>
  <c r="B961" i="106"/>
  <c r="D961" i="106" s="1"/>
  <c r="B962" i="106"/>
  <c r="D962" i="106" s="1"/>
  <c r="G47" i="29"/>
  <c r="B963" i="106" s="1"/>
  <c r="D963" i="106" s="1"/>
  <c r="B964" i="106"/>
  <c r="D964" i="106" s="1"/>
  <c r="B965" i="106"/>
  <c r="D965" i="106"/>
  <c r="G53" i="29"/>
  <c r="B966" i="106"/>
  <c r="D966" i="106" s="1"/>
  <c r="B967" i="106"/>
  <c r="D967" i="106"/>
  <c r="B968" i="106"/>
  <c r="D968" i="106" s="1"/>
  <c r="G57" i="29"/>
  <c r="B969" i="106" s="1"/>
  <c r="D969" i="106"/>
  <c r="B970" i="106"/>
  <c r="D970" i="106"/>
  <c r="B971" i="106"/>
  <c r="D971" i="106"/>
  <c r="B972" i="106"/>
  <c r="D972" i="106"/>
  <c r="B973" i="106"/>
  <c r="D973" i="106"/>
  <c r="B974" i="106"/>
  <c r="D974" i="106"/>
  <c r="B975" i="106"/>
  <c r="D975" i="106"/>
  <c r="D976" i="106"/>
  <c r="G65" i="29"/>
  <c r="B977" i="106" s="1"/>
  <c r="D977" i="106" s="1"/>
  <c r="B978" i="106"/>
  <c r="D978" i="106" s="1"/>
  <c r="B979" i="106"/>
  <c r="D979" i="106" s="1"/>
  <c r="B980" i="106"/>
  <c r="D980" i="106"/>
  <c r="B981" i="106"/>
  <c r="D981" i="106"/>
  <c r="D982" i="106"/>
  <c r="B983" i="106"/>
  <c r="D983" i="106"/>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c r="B1020" i="106"/>
  <c r="D1020" i="106" s="1"/>
  <c r="H47" i="29"/>
  <c r="B1022" i="106"/>
  <c r="D1022" i="106"/>
  <c r="B1023" i="106"/>
  <c r="D1023" i="106"/>
  <c r="H53" i="29"/>
  <c r="B1024" i="106" s="1"/>
  <c r="D1024" i="106" s="1"/>
  <c r="B1025" i="106"/>
  <c r="D1025" i="106" s="1"/>
  <c r="B1026" i="106"/>
  <c r="D1026" i="106" s="1"/>
  <c r="H57" i="29"/>
  <c r="B1027" i="106" s="1"/>
  <c r="D1027" i="106" s="1"/>
  <c r="B1028" i="106"/>
  <c r="D1028" i="106" s="1"/>
  <c r="B1029" i="106"/>
  <c r="D1029" i="106"/>
  <c r="B1030" i="106"/>
  <c r="D1030" i="106"/>
  <c r="B1031" i="106"/>
  <c r="D1031" i="106"/>
  <c r="B1032" i="106"/>
  <c r="D1032" i="106" s="1"/>
  <c r="B1033" i="106"/>
  <c r="D1033" i="106"/>
  <c r="D1034" i="106"/>
  <c r="H65" i="29"/>
  <c r="B1035" i="106" s="1"/>
  <c r="D1035" i="106" s="1"/>
  <c r="B1036" i="106"/>
  <c r="D1036" i="106" s="1"/>
  <c r="B1037" i="106"/>
  <c r="D1037" i="106"/>
  <c r="B1038" i="106"/>
  <c r="D1038" i="106"/>
  <c r="B1039" i="106"/>
  <c r="D1039" i="106"/>
  <c r="D1040" i="106"/>
  <c r="B1041" i="106"/>
  <c r="D1041" i="106" s="1"/>
  <c r="D1042" i="106"/>
  <c r="H72" i="29"/>
  <c r="B1043" i="106"/>
  <c r="D1043" i="106"/>
  <c r="B1044" i="106"/>
  <c r="D1044" i="106"/>
  <c r="B1046" i="106"/>
  <c r="D1046" i="106" s="1"/>
  <c r="H84" i="29"/>
  <c r="B2089" i="106"/>
  <c r="D2089" i="106"/>
  <c r="H100" i="29"/>
  <c r="B7012" i="106"/>
  <c r="D7012" i="106" s="1"/>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c r="D1101" i="106"/>
  <c r="D1102" i="106"/>
  <c r="D1103" i="106"/>
  <c r="B1104" i="106"/>
  <c r="D1104" i="106"/>
  <c r="B1106" i="106"/>
  <c r="D1106" i="106" s="1"/>
  <c r="B1107" i="106"/>
  <c r="D1107" i="106" s="1"/>
  <c r="B1110" i="106"/>
  <c r="D1110" i="106" s="1"/>
  <c r="B1111" i="106"/>
  <c r="D1111" i="106"/>
  <c r="B1112" i="106"/>
  <c r="D1112" i="106" s="1"/>
  <c r="B1113" i="106"/>
  <c r="D1113" i="106" s="1"/>
  <c r="B1114" i="106"/>
  <c r="D1114" i="106" s="1"/>
  <c r="B1118" i="106"/>
  <c r="D1118" i="106"/>
  <c r="B1120" i="106"/>
  <c r="D1120" i="106" s="1"/>
  <c r="B1124" i="106"/>
  <c r="D1124" i="106" s="1"/>
  <c r="D27" i="108"/>
  <c r="B1128" i="106"/>
  <c r="D1128" i="106"/>
  <c r="B1129" i="106"/>
  <c r="D1129" i="106" s="1"/>
  <c r="B1130" i="106"/>
  <c r="D1130" i="106"/>
  <c r="D1132" i="106"/>
  <c r="E34" i="108"/>
  <c r="B1136" i="106"/>
  <c r="D1136" i="106"/>
  <c r="B1137" i="106"/>
  <c r="D1137" i="106" s="1"/>
  <c r="D1138" i="106"/>
  <c r="B1139" i="106"/>
  <c r="D1139" i="106" s="1"/>
  <c r="D1140" i="106"/>
  <c r="B1142" i="106"/>
  <c r="D1142" i="106"/>
  <c r="B2973" i="106"/>
  <c r="D2973" i="106" s="1"/>
  <c r="B2976" i="106"/>
  <c r="D2976" i="106"/>
  <c r="B2977" i="106"/>
  <c r="D2977" i="106"/>
  <c r="B2978" i="106"/>
  <c r="D2978" i="106"/>
  <c r="B6997" i="106"/>
  <c r="D6997" i="106" s="1"/>
  <c r="B7001" i="106"/>
  <c r="D7001" i="106"/>
  <c r="B7003" i="106"/>
  <c r="D7003" i="106"/>
  <c r="B7005" i="106"/>
  <c r="D7005" i="106"/>
  <c r="B7010" i="106"/>
  <c r="D7010" i="106" s="1"/>
  <c r="B7015" i="106"/>
  <c r="D7015" i="106"/>
  <c r="B1147" i="106"/>
  <c r="D1147" i="106"/>
  <c r="D1148" i="106"/>
  <c r="B1149" i="106"/>
  <c r="D1149" i="106"/>
  <c r="D1150" i="106"/>
  <c r="B2795" i="106"/>
  <c r="D2795" i="106"/>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s="1"/>
  <c r="B1221" i="106"/>
  <c r="D1221" i="106" s="1"/>
  <c r="D1222" i="106"/>
  <c r="C127" i="29"/>
  <c r="B1223" i="106"/>
  <c r="D1223" i="106"/>
  <c r="B1224" i="106"/>
  <c r="D1224" i="106" s="1"/>
  <c r="B1227" i="106"/>
  <c r="D1227" i="106" s="1"/>
  <c r="B1228" i="106"/>
  <c r="D1228" i="106" s="1"/>
  <c r="B1229" i="106"/>
  <c r="D1229" i="106"/>
  <c r="D1230" i="106"/>
  <c r="D127" i="29"/>
  <c r="B1232" i="106"/>
  <c r="D1232" i="106" s="1"/>
  <c r="B1235" i="106"/>
  <c r="D1235" i="106" s="1"/>
  <c r="B1236" i="106"/>
  <c r="D1236" i="106"/>
  <c r="B1237" i="106"/>
  <c r="D1237" i="106" s="1"/>
  <c r="D1238" i="106"/>
  <c r="E127" i="29"/>
  <c r="B1240" i="106"/>
  <c r="D1240" i="106" s="1"/>
  <c r="B1243" i="106"/>
  <c r="D1243" i="106"/>
  <c r="B1244" i="106"/>
  <c r="D1244" i="106" s="1"/>
  <c r="B1245" i="106"/>
  <c r="D1245" i="106" s="1"/>
  <c r="D1246" i="106"/>
  <c r="F127" i="29"/>
  <c r="B1248" i="106"/>
  <c r="D1248" i="106"/>
  <c r="B1251" i="106"/>
  <c r="D1251" i="106" s="1"/>
  <c r="B1252" i="106"/>
  <c r="D1252" i="106" s="1"/>
  <c r="B1253" i="106"/>
  <c r="D1253" i="106" s="1"/>
  <c r="B1254" i="106"/>
  <c r="D1254" i="106"/>
  <c r="D1255" i="106"/>
  <c r="G127" i="29"/>
  <c r="B1257" i="106"/>
  <c r="D1257" i="106" s="1"/>
  <c r="B1260" i="106"/>
  <c r="D1260" i="106" s="1"/>
  <c r="B1261" i="106"/>
  <c r="D1261" i="106"/>
  <c r="B1262" i="106"/>
  <c r="D1262" i="106" s="1"/>
  <c r="D1263" i="106"/>
  <c r="H127" i="29"/>
  <c r="B1265" i="106"/>
  <c r="D1265" i="106" s="1"/>
  <c r="H139" i="29"/>
  <c r="B1267" i="106"/>
  <c r="D1267" i="106" s="1"/>
  <c r="B1268" i="106"/>
  <c r="D1268" i="106"/>
  <c r="B1269" i="106"/>
  <c r="D1269" i="106"/>
  <c r="B1270" i="106"/>
  <c r="D1270" i="106"/>
  <c r="D1271" i="106"/>
  <c r="H147" i="29"/>
  <c r="H149" i="29" s="1"/>
  <c r="B1272" i="106" s="1"/>
  <c r="D1272" i="106" s="1"/>
  <c r="B1274" i="106"/>
  <c r="D1274" i="106" s="1"/>
  <c r="B1276" i="106"/>
  <c r="D1276" i="106"/>
  <c r="B1277" i="106"/>
  <c r="D1277" i="106" s="1"/>
  <c r="D1278" i="106"/>
  <c r="B3488" i="106"/>
  <c r="D3488" i="106"/>
  <c r="B1280" i="106"/>
  <c r="D1280" i="106"/>
  <c r="B4080" i="106"/>
  <c r="D4080" i="106" s="1"/>
  <c r="B2987" i="106"/>
  <c r="D2987" i="106"/>
  <c r="B2988" i="106"/>
  <c r="D2988" i="106"/>
  <c r="B2094" i="106"/>
  <c r="D2094" i="106"/>
  <c r="B1284" i="106"/>
  <c r="D1284" i="106" s="1"/>
  <c r="B1285" i="106"/>
  <c r="D1285" i="106"/>
  <c r="D1286" i="106"/>
  <c r="B2811" i="106"/>
  <c r="D2811" i="106" s="1"/>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s="1"/>
  <c r="B1310" i="106"/>
  <c r="D1310" i="106"/>
  <c r="B1311" i="106"/>
  <c r="D1311" i="106" s="1"/>
  <c r="B1312" i="106"/>
  <c r="D1312" i="106" s="1"/>
  <c r="B1313" i="106"/>
  <c r="D1313" i="106" s="1"/>
  <c r="H168" i="29"/>
  <c r="B1314" i="106"/>
  <c r="D1314" i="106" s="1"/>
  <c r="B1315" i="106"/>
  <c r="D1315" i="106"/>
  <c r="B1316" i="106"/>
  <c r="D1316" i="106"/>
  <c r="D1319" i="106"/>
  <c r="D1320" i="106"/>
  <c r="D1321" i="106"/>
  <c r="D1322" i="106"/>
  <c r="B1323" i="106"/>
  <c r="D1323" i="106"/>
  <c r="K163" i="29"/>
  <c r="B1324" i="106"/>
  <c r="D1324" i="106" s="1"/>
  <c r="K164" i="29"/>
  <c r="B1325" i="106"/>
  <c r="D1325" i="106" s="1"/>
  <c r="K169" i="29"/>
  <c r="B1326" i="106"/>
  <c r="D1326" i="106" s="1"/>
  <c r="K167" i="29"/>
  <c r="B1327" i="106" s="1"/>
  <c r="D1327" i="106" s="1"/>
  <c r="K165" i="29"/>
  <c r="B2818" i="106" s="1"/>
  <c r="K166" i="29"/>
  <c r="B2819" i="106"/>
  <c r="D2819" i="106" s="1"/>
  <c r="K170" i="29"/>
  <c r="K171" i="29"/>
  <c r="B1330" i="106"/>
  <c r="D1330" i="106"/>
  <c r="D1334" i="106"/>
  <c r="B1335" i="106"/>
  <c r="D1335" i="106"/>
  <c r="D1336" i="106"/>
  <c r="D1337" i="106"/>
  <c r="B1338" i="106"/>
  <c r="D1338" i="106"/>
  <c r="C184" i="29"/>
  <c r="B1341" i="106"/>
  <c r="D1341" i="106" s="1"/>
  <c r="D1342" i="106"/>
  <c r="D1343" i="106"/>
  <c r="B1344" i="106"/>
  <c r="D1344" i="106" s="1"/>
  <c r="D184" i="29"/>
  <c r="B1347" i="106"/>
  <c r="D1347" i="106" s="1"/>
  <c r="D1348" i="106"/>
  <c r="D1349" i="106"/>
  <c r="B1350" i="106"/>
  <c r="D1350" i="106"/>
  <c r="E184" i="29"/>
  <c r="B1351" i="106"/>
  <c r="D1351" i="106"/>
  <c r="E194" i="29"/>
  <c r="E196" i="29" s="1"/>
  <c r="B1354" i="106"/>
  <c r="D1354" i="106" s="1"/>
  <c r="D1355" i="106"/>
  <c r="D1356" i="106"/>
  <c r="B1357" i="106"/>
  <c r="D1357" i="106"/>
  <c r="F184" i="29"/>
  <c r="B1360" i="106"/>
  <c r="D1360" i="106"/>
  <c r="D1361" i="106"/>
  <c r="D1362" i="106"/>
  <c r="B1363" i="106"/>
  <c r="D1363" i="106"/>
  <c r="G184" i="29"/>
  <c r="B1364" i="106" s="1"/>
  <c r="D1364" i="106" s="1"/>
  <c r="B1366" i="106"/>
  <c r="D1366" i="106" s="1"/>
  <c r="D1367" i="106"/>
  <c r="D1368" i="106"/>
  <c r="B1369" i="106"/>
  <c r="D1369" i="106"/>
  <c r="H184" i="29"/>
  <c r="B1370" i="106" s="1"/>
  <c r="D1370" i="106" s="1"/>
  <c r="B1371" i="106"/>
  <c r="D1371" i="106"/>
  <c r="B1372" i="106"/>
  <c r="D1372" i="106"/>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c r="D3008" i="106" s="1"/>
  <c r="K190" i="29"/>
  <c r="K191" i="29"/>
  <c r="B3010" i="106" s="1"/>
  <c r="D3010" i="106" s="1"/>
  <c r="K192" i="29"/>
  <c r="B3011" i="106" s="1"/>
  <c r="D3011" i="106" s="1"/>
  <c r="K193" i="29"/>
  <c r="K195" i="29"/>
  <c r="B2839" i="106"/>
  <c r="K199" i="29"/>
  <c r="B1383" i="106" s="1"/>
  <c r="D1383" i="106" s="1"/>
  <c r="K200" i="29"/>
  <c r="B1384" i="106"/>
  <c r="D1384" i="106" s="1"/>
  <c r="K203" i="29"/>
  <c r="B1385" i="106"/>
  <c r="D1385" i="106" s="1"/>
  <c r="D1386" i="106"/>
  <c r="K201" i="29"/>
  <c r="B2841" i="106" s="1"/>
  <c r="D2841" i="106" s="1"/>
  <c r="K202" i="29"/>
  <c r="K205" i="29"/>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s="1"/>
  <c r="B1408" i="106"/>
  <c r="D1408" i="106"/>
  <c r="B1409" i="106"/>
  <c r="D1409" i="106"/>
  <c r="D229" i="29"/>
  <c r="B1411" i="106"/>
  <c r="D1411" i="106"/>
  <c r="B1412" i="106"/>
  <c r="D1412" i="106" s="1"/>
  <c r="B1413" i="106"/>
  <c r="D1413" i="106" s="1"/>
  <c r="B1414" i="106"/>
  <c r="D1414" i="106" s="1"/>
  <c r="B1415" i="106"/>
  <c r="D1415" i="106"/>
  <c r="B1416" i="106"/>
  <c r="D1416" i="106" s="1"/>
  <c r="D238" i="29"/>
  <c r="B1418" i="106"/>
  <c r="D1418" i="106"/>
  <c r="B1419" i="106"/>
  <c r="D1419" i="106"/>
  <c r="B1420" i="106"/>
  <c r="D1420" i="106" s="1"/>
  <c r="D243" i="29"/>
  <c r="B1421" i="106"/>
  <c r="D1421" i="106" s="1"/>
  <c r="B1422" i="106"/>
  <c r="D1422" i="106" s="1"/>
  <c r="B1423" i="106"/>
  <c r="D1423" i="106"/>
  <c r="D257" i="29"/>
  <c r="B1424" i="106" s="1"/>
  <c r="D1424" i="106" s="1"/>
  <c r="B1425" i="106"/>
  <c r="D1425" i="106"/>
  <c r="B1426" i="106"/>
  <c r="D1426" i="106"/>
  <c r="D261" i="29"/>
  <c r="B1427" i="106" s="1"/>
  <c r="D1427" i="106" s="1"/>
  <c r="B1428" i="106"/>
  <c r="D1428" i="106" s="1"/>
  <c r="B1429" i="106"/>
  <c r="D1429" i="106" s="1"/>
  <c r="B1430" i="106"/>
  <c r="D1430" i="106"/>
  <c r="B1431" i="106"/>
  <c r="D1431" i="106" s="1"/>
  <c r="B1432" i="106"/>
  <c r="D1432" i="106" s="1"/>
  <c r="B1433" i="106"/>
  <c r="D1433" i="106" s="1"/>
  <c r="B1434" i="106"/>
  <c r="D1434" i="106"/>
  <c r="D1435" i="106"/>
  <c r="D270" i="29"/>
  <c r="B1436" i="106"/>
  <c r="D1436" i="106" s="1"/>
  <c r="B1437" i="106"/>
  <c r="D1437" i="106" s="1"/>
  <c r="B1438" i="106"/>
  <c r="D1438" i="106"/>
  <c r="B1439" i="106"/>
  <c r="D1439" i="106" s="1"/>
  <c r="B1440" i="106"/>
  <c r="D1440" i="106" s="1"/>
  <c r="D1441" i="106"/>
  <c r="B1442" i="106"/>
  <c r="D1442" i="106"/>
  <c r="D1443" i="106"/>
  <c r="D277" i="29"/>
  <c r="B1444" i="106" s="1"/>
  <c r="D1444" i="106" s="1"/>
  <c r="B1445" i="106"/>
  <c r="D1445" i="106"/>
  <c r="B1447" i="106"/>
  <c r="D1447" i="106"/>
  <c r="B1449" i="106"/>
  <c r="D1449" i="106" s="1"/>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s="1"/>
  <c r="B1471" i="106"/>
  <c r="D1471" i="106" s="1"/>
  <c r="B1472" i="106"/>
  <c r="D1472" i="106"/>
  <c r="B1473" i="106"/>
  <c r="D1473" i="106" s="1"/>
  <c r="B3391" i="106"/>
  <c r="D3391" i="106" s="1"/>
  <c r="F68" i="34"/>
  <c r="B3065" i="106"/>
  <c r="D3065" i="106"/>
  <c r="B7080" i="106"/>
  <c r="D7080" i="106" s="1"/>
  <c r="B3392" i="106"/>
  <c r="D3392" i="106"/>
  <c r="B1476" i="106"/>
  <c r="D1476" i="106"/>
  <c r="B1477" i="106"/>
  <c r="D1477" i="106"/>
  <c r="B1478" i="106"/>
  <c r="D1478" i="106" s="1"/>
  <c r="B1479" i="106"/>
  <c r="D1479" i="106"/>
  <c r="B1480" i="106"/>
  <c r="D1480" i="106"/>
  <c r="B1482" i="106"/>
  <c r="D1482" i="106"/>
  <c r="B1483" i="106"/>
  <c r="D1483" i="106" s="1"/>
  <c r="B1484" i="106"/>
  <c r="D1484" i="106"/>
  <c r="B1486" i="106"/>
  <c r="D1486" i="106"/>
  <c r="B1487" i="106"/>
  <c r="D1487" i="106"/>
  <c r="B2726" i="106"/>
  <c r="D2726" i="106" s="1"/>
  <c r="B7084" i="106"/>
  <c r="D7084" i="106"/>
  <c r="B7086" i="106"/>
  <c r="D7086" i="106"/>
  <c r="B7088" i="106"/>
  <c r="D7088" i="106"/>
  <c r="B7094" i="106"/>
  <c r="D7094" i="106" s="1"/>
  <c r="B7096" i="106"/>
  <c r="D7096" i="106"/>
  <c r="B1489" i="106"/>
  <c r="D1489" i="106"/>
  <c r="B1490" i="106"/>
  <c r="D1490" i="106"/>
  <c r="B1493" i="106"/>
  <c r="D1493" i="106" s="1"/>
  <c r="B1494" i="106"/>
  <c r="D1494" i="106"/>
  <c r="B1495" i="106"/>
  <c r="D1495" i="106"/>
  <c r="B1496" i="106"/>
  <c r="D1496" i="106"/>
  <c r="B1497" i="106"/>
  <c r="D1497" i="106" s="1"/>
  <c r="B1498" i="106"/>
  <c r="D1498" i="106"/>
  <c r="D1499" i="106"/>
  <c r="B1501" i="106"/>
  <c r="D1501" i="106" s="1"/>
  <c r="B1502" i="106"/>
  <c r="D1502" i="106"/>
  <c r="B1503" i="106"/>
  <c r="D1503" i="106" s="1"/>
  <c r="B1504" i="106"/>
  <c r="D1504" i="106" s="1"/>
  <c r="D1505" i="106"/>
  <c r="B1506" i="106"/>
  <c r="D1506" i="106"/>
  <c r="D1507" i="106"/>
  <c r="B1509" i="106"/>
  <c r="D1509" i="106" s="1"/>
  <c r="B1511" i="106"/>
  <c r="D1511" i="106" s="1"/>
  <c r="B1513" i="106"/>
  <c r="D1513" i="106" s="1"/>
  <c r="B1514" i="106"/>
  <c r="D1514" i="106"/>
  <c r="B2845" i="106"/>
  <c r="D2845" i="106" s="1"/>
  <c r="B2846" i="106"/>
  <c r="D2846" i="106" s="1"/>
  <c r="D1516" i="106"/>
  <c r="B4166" i="106"/>
  <c r="D4166" i="106"/>
  <c r="B1519" i="106"/>
  <c r="D1519" i="106" s="1"/>
  <c r="D1520" i="106"/>
  <c r="D1521" i="106"/>
  <c r="B1522" i="106"/>
  <c r="D1522" i="106"/>
  <c r="C303" i="29"/>
  <c r="B1525" i="106"/>
  <c r="D1525" i="106"/>
  <c r="D1526" i="106"/>
  <c r="D1527" i="106"/>
  <c r="B1528" i="106"/>
  <c r="D1528" i="106" s="1"/>
  <c r="D303" i="29"/>
  <c r="B1529" i="106" s="1"/>
  <c r="D1529" i="106" s="1"/>
  <c r="B1531" i="106"/>
  <c r="D1531" i="106" s="1"/>
  <c r="D1532" i="106"/>
  <c r="D1533" i="106"/>
  <c r="B1534" i="106"/>
  <c r="D1534" i="106"/>
  <c r="E303" i="29"/>
  <c r="B1535" i="106"/>
  <c r="D1535" i="106"/>
  <c r="E310" i="29"/>
  <c r="B7114" i="106" s="1"/>
  <c r="D7114" i="106"/>
  <c r="B1537" i="106"/>
  <c r="D1537" i="106"/>
  <c r="D1538" i="106"/>
  <c r="D1539" i="106"/>
  <c r="B1540" i="106"/>
  <c r="D1540" i="106" s="1"/>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B4100" i="106" s="1"/>
  <c r="D4100" i="106" s="1"/>
  <c r="K309" i="29"/>
  <c r="B3717" i="106" s="1"/>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s="1"/>
  <c r="B1779" i="106"/>
  <c r="D1779" i="106"/>
  <c r="B1780" i="106"/>
  <c r="D1780" i="106"/>
  <c r="B1781" i="106"/>
  <c r="D1781" i="106"/>
  <c r="D1782" i="106"/>
  <c r="B1783" i="106"/>
  <c r="D1783" i="106" s="1"/>
  <c r="B1784" i="106"/>
  <c r="D1784" i="106" s="1"/>
  <c r="B1785" i="106"/>
  <c r="D1785" i="106" s="1"/>
  <c r="B1786" i="106"/>
  <c r="D1786" i="106"/>
  <c r="D1787" i="106"/>
  <c r="B1788" i="106"/>
  <c r="D1788" i="106"/>
  <c r="D1789" i="106"/>
  <c r="D1790" i="106"/>
  <c r="C19" i="7"/>
  <c r="B1791" i="106"/>
  <c r="D1791" i="106"/>
  <c r="F4" i="7"/>
  <c r="B1792" i="106" s="1"/>
  <c r="D1792" i="106"/>
  <c r="F5" i="7"/>
  <c r="B1793" i="106"/>
  <c r="D1793" i="106" s="1"/>
  <c r="F6" i="7"/>
  <c r="B1794" i="106"/>
  <c r="D1794" i="106" s="1"/>
  <c r="F7" i="7"/>
  <c r="B1795" i="106"/>
  <c r="D1795" i="106" s="1"/>
  <c r="F8" i="7"/>
  <c r="B1796" i="106" s="1"/>
  <c r="D1796" i="106" s="1"/>
  <c r="F10" i="7"/>
  <c r="B1797" i="106" s="1"/>
  <c r="D1797" i="106" s="1"/>
  <c r="D1798" i="106"/>
  <c r="F9" i="7"/>
  <c r="B1799" i="106"/>
  <c r="D1799" i="106" s="1"/>
  <c r="F11" i="7"/>
  <c r="B1800" i="106"/>
  <c r="D1800" i="106" s="1"/>
  <c r="F12" i="7"/>
  <c r="B1801" i="106"/>
  <c r="D1801" i="106" s="1"/>
  <c r="F14" i="7"/>
  <c r="B1802" i="106" s="1"/>
  <c r="D1802" i="106" s="1"/>
  <c r="D1803" i="106"/>
  <c r="F15" i="7"/>
  <c r="B1804" i="106" s="1"/>
  <c r="D1804" i="106" s="1"/>
  <c r="D1805" i="106"/>
  <c r="D1806" i="106"/>
  <c r="B1808" i="106"/>
  <c r="D1808" i="106"/>
  <c r="B1809" i="106"/>
  <c r="D1809" i="106" s="1"/>
  <c r="B1810" i="106"/>
  <c r="D1810" i="106"/>
  <c r="B1811" i="106"/>
  <c r="D1811" i="106"/>
  <c r="B1812" i="106"/>
  <c r="D1812" i="106"/>
  <c r="B1813" i="106"/>
  <c r="D1813" i="106" s="1"/>
  <c r="D1814" i="106"/>
  <c r="B1815" i="106"/>
  <c r="D1815" i="106" s="1"/>
  <c r="B1816" i="106"/>
  <c r="D1816" i="106" s="1"/>
  <c r="B1817" i="106"/>
  <c r="D1817" i="106"/>
  <c r="B1818" i="106"/>
  <c r="D1818" i="106" s="1"/>
  <c r="D1819" i="106"/>
  <c r="B1820" i="106"/>
  <c r="D1820" i="106"/>
  <c r="D1821" i="106"/>
  <c r="D1822" i="106"/>
  <c r="E19" i="7"/>
  <c r="B1823" i="106" s="1"/>
  <c r="D1823" i="106" s="1"/>
  <c r="D1824" i="106"/>
  <c r="B1825" i="106"/>
  <c r="D1825" i="106"/>
  <c r="B1826" i="106"/>
  <c r="D1826" i="106"/>
  <c r="B1827" i="106"/>
  <c r="D1827" i="106" s="1"/>
  <c r="B1828" i="106"/>
  <c r="D1828" i="106"/>
  <c r="B1829" i="106"/>
  <c r="D1829" i="106"/>
  <c r="B1830" i="106"/>
  <c r="D1830" i="106"/>
  <c r="B1831" i="106"/>
  <c r="D1831" i="106" s="1"/>
  <c r="B1832" i="106"/>
  <c r="D1832" i="106"/>
  <c r="C15" i="8"/>
  <c r="B1833" i="106"/>
  <c r="D1833" i="106" s="1"/>
  <c r="B1834" i="106"/>
  <c r="D1834" i="106"/>
  <c r="B1835" i="106"/>
  <c r="D1835" i="106" s="1"/>
  <c r="B1836" i="106"/>
  <c r="D1836" i="106" s="1"/>
  <c r="C21" i="8"/>
  <c r="B1837" i="106" s="1"/>
  <c r="D1837" i="106" s="1"/>
  <c r="B1838" i="106"/>
  <c r="D1838" i="106" s="1"/>
  <c r="B1839" i="106"/>
  <c r="D1839" i="106"/>
  <c r="B1840" i="106"/>
  <c r="D1840" i="106"/>
  <c r="B1841" i="106"/>
  <c r="D1841" i="106"/>
  <c r="B1842" i="106"/>
  <c r="D1842" i="106" s="1"/>
  <c r="B1843" i="106"/>
  <c r="D1843" i="106"/>
  <c r="B1844" i="106"/>
  <c r="D1844" i="106"/>
  <c r="B1845" i="106"/>
  <c r="D1845" i="106"/>
  <c r="B1846" i="106"/>
  <c r="D1846" i="106" s="1"/>
  <c r="D15" i="8"/>
  <c r="B1847" i="106"/>
  <c r="D1847" i="106" s="1"/>
  <c r="B1848" i="106"/>
  <c r="D1848" i="106" s="1"/>
  <c r="B1849" i="106"/>
  <c r="D1849" i="106" s="1"/>
  <c r="B1850" i="106"/>
  <c r="D1850" i="106" s="1"/>
  <c r="D21" i="8"/>
  <c r="B1851" i="106" s="1"/>
  <c r="D1851" i="106"/>
  <c r="B1852" i="106"/>
  <c r="D1852" i="106"/>
  <c r="B1853" i="106"/>
  <c r="D1853" i="106" s="1"/>
  <c r="B1854" i="106"/>
  <c r="D1854" i="106"/>
  <c r="B1855" i="106"/>
  <c r="D1855" i="106"/>
  <c r="B1856" i="106"/>
  <c r="D1856" i="106"/>
  <c r="B1857" i="106"/>
  <c r="D1857" i="106" s="1"/>
  <c r="B1858" i="106"/>
  <c r="D1858" i="106"/>
  <c r="B1859" i="106"/>
  <c r="D1859" i="106"/>
  <c r="B1860" i="106"/>
  <c r="D1860" i="106"/>
  <c r="E15" i="8"/>
  <c r="B1861" i="106" s="1"/>
  <c r="D1861" i="106" s="1"/>
  <c r="B1862" i="106"/>
  <c r="D1862" i="106" s="1"/>
  <c r="B1863" i="106"/>
  <c r="D1863" i="106" s="1"/>
  <c r="B1864" i="106"/>
  <c r="D1864" i="106" s="1"/>
  <c r="E21" i="8"/>
  <c r="B1865" i="106" s="1"/>
  <c r="D1865" i="106"/>
  <c r="B1866" i="106"/>
  <c r="D1866" i="106"/>
  <c r="F6" i="8"/>
  <c r="F7" i="8"/>
  <c r="B1868" i="106"/>
  <c r="D1868" i="106" s="1"/>
  <c r="F12" i="8"/>
  <c r="B1869" i="106"/>
  <c r="D1869" i="106" s="1"/>
  <c r="F11" i="8"/>
  <c r="B1870" i="106" s="1"/>
  <c r="D1870" i="106"/>
  <c r="F8" i="8"/>
  <c r="B1871" i="106" s="1"/>
  <c r="D1871" i="106" s="1"/>
  <c r="F9" i="8"/>
  <c r="B1872" i="106" s="1"/>
  <c r="D1872" i="106" s="1"/>
  <c r="F10" i="8"/>
  <c r="B1873" i="106"/>
  <c r="D1873" i="106"/>
  <c r="F14" i="8"/>
  <c r="B1874" i="106" s="1"/>
  <c r="D1874" i="106"/>
  <c r="F13" i="8"/>
  <c r="B3688" i="106"/>
  <c r="D3688" i="106" s="1"/>
  <c r="F17" i="8"/>
  <c r="B1876" i="106"/>
  <c r="D1876" i="106" s="1"/>
  <c r="F18" i="8"/>
  <c r="B1877" i="106"/>
  <c r="D1877" i="106" s="1"/>
  <c r="F20" i="8"/>
  <c r="B1878" i="106" s="1"/>
  <c r="D1878" i="106"/>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s="1"/>
  <c r="D1940" i="106"/>
  <c r="D1941" i="106"/>
  <c r="D1942" i="106"/>
  <c r="D1943" i="106"/>
  <c r="D1944" i="106"/>
  <c r="D1945" i="106"/>
  <c r="D1946" i="106"/>
  <c r="D1947" i="106"/>
  <c r="B1948" i="106"/>
  <c r="D1948" i="106" s="1"/>
  <c r="D1949" i="106"/>
  <c r="B1950" i="106"/>
  <c r="D1950" i="106" s="1"/>
  <c r="B1951" i="106"/>
  <c r="D1951" i="106"/>
  <c r="D1952" i="106"/>
  <c r="G12" i="12"/>
  <c r="B1953" i="106"/>
  <c r="D1953" i="106" s="1"/>
  <c r="D1954" i="106"/>
  <c r="B1955" i="106"/>
  <c r="D1955" i="106"/>
  <c r="D1956" i="106"/>
  <c r="G23" i="12"/>
  <c r="B1957" i="106" s="1"/>
  <c r="D1957" i="106"/>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c r="B1986" i="106"/>
  <c r="D1986" i="106"/>
  <c r="B1987" i="106"/>
  <c r="D1987" i="106" s="1"/>
  <c r="B1988" i="106"/>
  <c r="D1988" i="106"/>
  <c r="D1989" i="106"/>
  <c r="I12" i="12"/>
  <c r="B1990" i="106" s="1"/>
  <c r="D1990" i="106"/>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c r="B2009" i="106"/>
  <c r="D2009" i="106"/>
  <c r="B2010" i="106"/>
  <c r="D2010" i="106"/>
  <c r="B2011" i="106"/>
  <c r="D2011" i="106" s="1"/>
  <c r="B2012" i="106"/>
  <c r="D2012" i="106"/>
  <c r="B2014" i="106"/>
  <c r="D2014" i="106"/>
  <c r="B2015" i="106"/>
  <c r="D2015" i="106"/>
  <c r="B2016" i="106"/>
  <c r="D2016" i="106" s="1"/>
  <c r="B2017" i="106"/>
  <c r="D2017" i="106"/>
  <c r="B2018" i="106"/>
  <c r="D2018" i="106"/>
  <c r="D16" i="11"/>
  <c r="B2019" i="106"/>
  <c r="D2019" i="106"/>
  <c r="B2020" i="106"/>
  <c r="D2020" i="106" s="1"/>
  <c r="B2021" i="106"/>
  <c r="D2021" i="106" s="1"/>
  <c r="B2022" i="106"/>
  <c r="D2022" i="106" s="1"/>
  <c r="B2023" i="106"/>
  <c r="D2023" i="106"/>
  <c r="B2024" i="106"/>
  <c r="D2024" i="106" s="1"/>
  <c r="E16" i="11"/>
  <c r="B2025" i="106" s="1"/>
  <c r="D2025" i="106"/>
  <c r="F8" i="11"/>
  <c r="B2027" i="106"/>
  <c r="D2027" i="106"/>
  <c r="F10" i="11"/>
  <c r="B2028" i="106" s="1"/>
  <c r="D2028" i="106"/>
  <c r="F12" i="11"/>
  <c r="B2029" i="106"/>
  <c r="D2029" i="106" s="1"/>
  <c r="F13" i="11"/>
  <c r="B2030" i="106"/>
  <c r="D2030" i="106" s="1"/>
  <c r="D2032" i="106"/>
  <c r="B2033" i="106"/>
  <c r="D2033" i="106" s="1"/>
  <c r="B2034" i="106"/>
  <c r="D2034" i="106" s="1"/>
  <c r="B2035" i="106"/>
  <c r="D2035" i="106" s="1"/>
  <c r="B2036" i="106"/>
  <c r="D2036" i="106" s="1"/>
  <c r="H16" i="11"/>
  <c r="B2037" i="106" s="1"/>
  <c r="D2037" i="106"/>
  <c r="D2038" i="106"/>
  <c r="B2039" i="106"/>
  <c r="D2039" i="106" s="1"/>
  <c r="B2040" i="106"/>
  <c r="D2040" i="106" s="1"/>
  <c r="B2041" i="106"/>
  <c r="D2041" i="106" s="1"/>
  <c r="B2042" i="106"/>
  <c r="D2042" i="106" s="1"/>
  <c r="I16" i="11"/>
  <c r="B2043" i="106"/>
  <c r="D2043" i="106" s="1"/>
  <c r="D2044" i="106"/>
  <c r="B2045" i="106"/>
  <c r="D2045" i="106" s="1"/>
  <c r="B2046" i="106"/>
  <c r="D2046" i="106" s="1"/>
  <c r="B2047" i="106"/>
  <c r="D2047" i="106" s="1"/>
  <c r="B2048" i="106"/>
  <c r="D2048" i="106" s="1"/>
  <c r="J16" i="11"/>
  <c r="B2049" i="106" s="1"/>
  <c r="D2049" i="106"/>
  <c r="D2050" i="106"/>
  <c r="K8" i="11"/>
  <c r="B2051" i="106" s="1"/>
  <c r="D2051" i="106" s="1"/>
  <c r="K10" i="11"/>
  <c r="B2052" i="106"/>
  <c r="D2052" i="106" s="1"/>
  <c r="K12" i="11"/>
  <c r="B2053" i="106" s="1"/>
  <c r="D2053" i="106"/>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c r="B2092" i="106"/>
  <c r="D2092" i="106" s="1"/>
  <c r="D2095" i="106"/>
  <c r="D2096" i="106"/>
  <c r="D2097" i="106"/>
  <c r="D2098" i="106"/>
  <c r="D2099" i="106"/>
  <c r="D2100" i="106"/>
  <c r="D2101" i="106"/>
  <c r="D2103" i="106"/>
  <c r="D2104" i="106"/>
  <c r="B2105" i="106"/>
  <c r="D2105" i="106"/>
  <c r="B2106" i="106"/>
  <c r="D2106"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7" i="106"/>
  <c r="D2727" i="106"/>
  <c r="B2728" i="106"/>
  <c r="D2728" i="106"/>
  <c r="B2729" i="106"/>
  <c r="D2729" i="106"/>
  <c r="B2730" i="106"/>
  <c r="D2730" i="106"/>
  <c r="B2731" i="106"/>
  <c r="D2731" i="106"/>
  <c r="B2732" i="106"/>
  <c r="D2732" i="106"/>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s="1"/>
  <c r="D2793" i="106"/>
  <c r="B2794" i="106"/>
  <c r="D2794" i="106" s="1"/>
  <c r="B2797" i="106"/>
  <c r="D2797" i="106"/>
  <c r="B2798" i="106"/>
  <c r="D2798" i="106"/>
  <c r="B2799" i="106"/>
  <c r="D2799" i="106"/>
  <c r="B2800" i="106"/>
  <c r="D2800" i="106" s="1"/>
  <c r="B2801" i="106"/>
  <c r="D2801" i="106"/>
  <c r="B2802" i="106"/>
  <c r="D2802" i="106"/>
  <c r="D2803" i="106"/>
  <c r="D2804" i="106"/>
  <c r="B2805" i="106"/>
  <c r="D2805" i="106" s="1"/>
  <c r="B2806" i="106"/>
  <c r="D2806" i="106"/>
  <c r="B2807" i="106"/>
  <c r="D2807" i="106"/>
  <c r="B2808" i="106"/>
  <c r="D2808" i="106" s="1"/>
  <c r="D2809" i="106"/>
  <c r="B2810" i="106"/>
  <c r="D2810" i="106" s="1"/>
  <c r="B2812" i="106"/>
  <c r="D2812" i="106" s="1"/>
  <c r="B2813" i="106"/>
  <c r="D2813" i="106"/>
  <c r="D2814" i="106"/>
  <c r="D2815" i="106"/>
  <c r="D2816" i="106"/>
  <c r="B2817" i="106"/>
  <c r="D2817" i="106"/>
  <c r="D2818" i="106"/>
  <c r="B2820" i="106"/>
  <c r="D2820" i="106"/>
  <c r="B2821" i="106"/>
  <c r="D2821" i="106" s="1"/>
  <c r="B2822" i="106"/>
  <c r="D2822" i="106" s="1"/>
  <c r="B2824" i="106"/>
  <c r="D2824" i="106"/>
  <c r="B2825" i="106"/>
  <c r="D2825" i="106"/>
  <c r="B2826" i="106"/>
  <c r="D2826" i="106"/>
  <c r="B2827" i="106"/>
  <c r="D2827" i="106" s="1"/>
  <c r="B2829" i="106"/>
  <c r="D2829" i="106" s="1"/>
  <c r="B2831" i="106"/>
  <c r="D2831" i="106" s="1"/>
  <c r="B2832" i="106"/>
  <c r="D2832" i="106"/>
  <c r="D2833" i="106"/>
  <c r="D2834" i="106"/>
  <c r="D2835" i="106"/>
  <c r="D2838" i="106"/>
  <c r="D2839"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c r="D2888" i="106"/>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4" i="106"/>
  <c r="D2974"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1" i="106"/>
  <c r="D3231" i="106"/>
  <c r="B3234" i="106"/>
  <c r="D3234" i="106"/>
  <c r="B3236" i="106"/>
  <c r="D3236" i="106"/>
  <c r="B3237" i="106"/>
  <c r="D3237" i="106"/>
  <c r="D3240" i="106"/>
  <c r="D3241" i="106"/>
  <c r="D3242" i="106"/>
  <c r="D3243" i="106"/>
  <c r="D3244" i="106"/>
  <c r="D3245" i="106"/>
  <c r="D3246" i="106"/>
  <c r="D3247" i="106"/>
  <c r="D3248" i="106"/>
  <c r="D3249" i="106"/>
  <c r="D3250" i="106"/>
  <c r="B3251" i="106"/>
  <c r="D3251" i="106" s="1"/>
  <c r="F44" i="4"/>
  <c r="B3252" i="106" s="1"/>
  <c r="D3252" i="106" s="1"/>
  <c r="B3253" i="106"/>
  <c r="D3253" i="106"/>
  <c r="F76" i="4"/>
  <c r="B3254" i="106"/>
  <c r="D3254" i="106" s="1"/>
  <c r="B3257" i="106"/>
  <c r="D3257" i="106" s="1"/>
  <c r="B3258" i="106"/>
  <c r="D3258" i="106"/>
  <c r="B3259" i="106"/>
  <c r="D3259" i="106" s="1"/>
  <c r="B3260" i="106"/>
  <c r="D3260" i="106" s="1"/>
  <c r="D3263" i="106"/>
  <c r="D3264" i="106"/>
  <c r="D3265" i="106"/>
  <c r="D3266" i="106"/>
  <c r="D3267" i="106"/>
  <c r="D3268" i="106"/>
  <c r="D3269" i="106"/>
  <c r="D3270" i="106"/>
  <c r="D3271" i="106"/>
  <c r="D3272" i="106"/>
  <c r="B3273" i="106"/>
  <c r="D3273" i="106"/>
  <c r="E37" i="4"/>
  <c r="B6285" i="106" s="1"/>
  <c r="D6285" i="106" s="1"/>
  <c r="E38" i="4"/>
  <c r="B6286" i="106"/>
  <c r="D6286" i="106" s="1"/>
  <c r="E39" i="4"/>
  <c r="B6287" i="106"/>
  <c r="D6287" i="106"/>
  <c r="E40" i="4"/>
  <c r="B6288" i="106"/>
  <c r="D6288" i="106" s="1"/>
  <c r="B3275" i="106"/>
  <c r="D3275" i="106" s="1"/>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s="1"/>
  <c r="B3388" i="106"/>
  <c r="D3388" i="106"/>
  <c r="B3389" i="106"/>
  <c r="D3389" i="106"/>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c r="D3415" i="106"/>
  <c r="D3416" i="106"/>
  <c r="B3417" i="106"/>
  <c r="D3417" i="106"/>
  <c r="D3418" i="106"/>
  <c r="B3419" i="106"/>
  <c r="D3419" i="106" s="1"/>
  <c r="D3420" i="106"/>
  <c r="D3421" i="106"/>
  <c r="B3422" i="106"/>
  <c r="D3422" i="106" s="1"/>
  <c r="D3423" i="106"/>
  <c r="D3424" i="106"/>
  <c r="B3425" i="106"/>
  <c r="D3425" i="106"/>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c r="F16" i="7"/>
  <c r="B3449" i="106" s="1"/>
  <c r="D3449" i="106" s="1"/>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c r="B3486" i="106"/>
  <c r="D3486" i="106" s="1"/>
  <c r="B3487" i="106"/>
  <c r="D3487"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c r="K13" i="3"/>
  <c r="B3552" i="106" s="1"/>
  <c r="D3552" i="106" s="1"/>
  <c r="D3553" i="106"/>
  <c r="D3554" i="106"/>
  <c r="D3555" i="106"/>
  <c r="D3556" i="106"/>
  <c r="D3557" i="106"/>
  <c r="D3558" i="106"/>
  <c r="D3559" i="106"/>
  <c r="D3560" i="106"/>
  <c r="B3561" i="106"/>
  <c r="D3561" i="106"/>
  <c r="B3562" i="106"/>
  <c r="D3562" i="106"/>
  <c r="D3563" i="106"/>
  <c r="D3564" i="106"/>
  <c r="K34" i="3"/>
  <c r="B3566" i="106"/>
  <c r="D3566" i="106" s="1"/>
  <c r="B3567" i="106"/>
  <c r="D3567" i="106" s="1"/>
  <c r="B3577" i="106"/>
  <c r="D3577" i="106"/>
  <c r="B3578" i="106"/>
  <c r="D3578" i="106" s="1"/>
  <c r="B3579" i="106"/>
  <c r="D3579" i="106" s="1"/>
  <c r="B3580" i="106"/>
  <c r="D3580" i="106" s="1"/>
  <c r="B3581" i="106"/>
  <c r="D3581" i="106"/>
  <c r="B3582" i="106"/>
  <c r="D3582" i="106" s="1"/>
  <c r="B3583" i="106"/>
  <c r="D3583" i="106" s="1"/>
  <c r="K44" i="4"/>
  <c r="B3584" i="106" s="1"/>
  <c r="D3584" i="106" s="1"/>
  <c r="B3585" i="106"/>
  <c r="D3585" i="106"/>
  <c r="K52" i="4"/>
  <c r="B3702" i="106"/>
  <c r="D3702" i="106" s="1"/>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c r="D3623" i="106"/>
  <c r="B3624" i="106"/>
  <c r="D3624" i="106" s="1"/>
  <c r="B3625" i="106"/>
  <c r="D3625" i="106" s="1"/>
  <c r="D350" i="29"/>
  <c r="B3626" i="106"/>
  <c r="D3626" i="106"/>
  <c r="B3627" i="106"/>
  <c r="D3627" i="106"/>
  <c r="D3630" i="106"/>
  <c r="B3631" i="106"/>
  <c r="D3631" i="106" s="1"/>
  <c r="B3632" i="106"/>
  <c r="D3632" i="106"/>
  <c r="E350" i="29"/>
  <c r="B3634" i="106"/>
  <c r="D3634" i="106"/>
  <c r="D3637" i="106"/>
  <c r="B3638" i="106"/>
  <c r="D3638" i="106" s="1"/>
  <c r="B3639" i="106"/>
  <c r="D3639" i="106"/>
  <c r="F350" i="29"/>
  <c r="B3641" i="106"/>
  <c r="D3641" i="106"/>
  <c r="D3644" i="106"/>
  <c r="B3645" i="106"/>
  <c r="D3645" i="106" s="1"/>
  <c r="B3646" i="106"/>
  <c r="D3646" i="106"/>
  <c r="G350" i="29"/>
  <c r="B3647" i="106" s="1"/>
  <c r="D3647" i="106" s="1"/>
  <c r="B3648" i="106"/>
  <c r="D3648" i="106"/>
  <c r="D3651" i="106"/>
  <c r="B3652" i="106"/>
  <c r="D3652" i="106"/>
  <c r="B3653" i="106"/>
  <c r="D3653" i="106" s="1"/>
  <c r="H350" i="29"/>
  <c r="B3654" i="106" s="1"/>
  <c r="D3654" i="106"/>
  <c r="B3655" i="106"/>
  <c r="D3655" i="106"/>
  <c r="B3657" i="106"/>
  <c r="D3657" i="106"/>
  <c r="H362" i="29"/>
  <c r="D3659" i="106"/>
  <c r="D3661" i="106"/>
  <c r="D3662" i="106"/>
  <c r="D3663" i="106"/>
  <c r="D3664" i="106"/>
  <c r="D3665" i="106"/>
  <c r="D3666" i="106"/>
  <c r="D3667" i="106"/>
  <c r="K348" i="29"/>
  <c r="B3668" i="106" s="1"/>
  <c r="D3668" i="106" s="1"/>
  <c r="K349" i="29"/>
  <c r="B3669" i="106"/>
  <c r="D3669" i="106"/>
  <c r="K351" i="29"/>
  <c r="B3671" i="106" s="1"/>
  <c r="D3671" i="106" s="1"/>
  <c r="B3673" i="106"/>
  <c r="D3673" i="106"/>
  <c r="K360" i="29"/>
  <c r="B3675" i="106"/>
  <c r="D3675" i="106"/>
  <c r="K361" i="29"/>
  <c r="D3677" i="106"/>
  <c r="K363" i="29"/>
  <c r="B7241" i="106" s="1"/>
  <c r="D7241" i="106" s="1"/>
  <c r="K364" i="29"/>
  <c r="B7746" i="106"/>
  <c r="D7746" i="106"/>
  <c r="D3679" i="106"/>
  <c r="D3680" i="106"/>
  <c r="B3682" i="106"/>
  <c r="D3682" i="106" s="1"/>
  <c r="B3683" i="106"/>
  <c r="D3683" i="106" s="1"/>
  <c r="B3684" i="106"/>
  <c r="D3684" i="106"/>
  <c r="B3685" i="106"/>
  <c r="D3685" i="106" s="1"/>
  <c r="B3686" i="106"/>
  <c r="D3686" i="106" s="1"/>
  <c r="B3687" i="106"/>
  <c r="D3687" i="106" s="1"/>
  <c r="D3690" i="106"/>
  <c r="D3691" i="106"/>
  <c r="D3692" i="106"/>
  <c r="D3693" i="106"/>
  <c r="D3694" i="106"/>
  <c r="D3695" i="106"/>
  <c r="D3696" i="106"/>
  <c r="D3697" i="106"/>
  <c r="B3698" i="106"/>
  <c r="D3698"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s="1"/>
  <c r="B3729" i="106"/>
  <c r="D3729" i="106" s="1"/>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D4101" i="106"/>
  <c r="B4106" i="106"/>
  <c r="D4106" i="106"/>
  <c r="B4107" i="106"/>
  <c r="D4107" i="106"/>
  <c r="F17" i="7"/>
  <c r="B4108" i="106"/>
  <c r="D4108" i="106" s="1"/>
  <c r="F18" i="7"/>
  <c r="B4109" i="106"/>
  <c r="D4109" i="106"/>
  <c r="B4110" i="106"/>
  <c r="D4110" i="106"/>
  <c r="B4111" i="106"/>
  <c r="D4111" i="106"/>
  <c r="D4112" i="106"/>
  <c r="B4113" i="106"/>
  <c r="D4113" i="106"/>
  <c r="B4114" i="106"/>
  <c r="D4114" i="106" s="1"/>
  <c r="B4115" i="106"/>
  <c r="D4115" i="106" s="1"/>
  <c r="B4116" i="106"/>
  <c r="D4116" i="106" s="1"/>
  <c r="B4117" i="106"/>
  <c r="D4117" i="106"/>
  <c r="B4118" i="106"/>
  <c r="D4118" i="106" s="1"/>
  <c r="D4119" i="106"/>
  <c r="D4120" i="106"/>
  <c r="B4121" i="106"/>
  <c r="D4121" i="106" s="1"/>
  <c r="D4129" i="106"/>
  <c r="C18" i="4"/>
  <c r="B4131" i="106"/>
  <c r="D4131" i="106" s="1"/>
  <c r="D18" i="4"/>
  <c r="B4132" i="106" s="1"/>
  <c r="D4132" i="106" s="1"/>
  <c r="F18" i="4"/>
  <c r="B4133" i="106"/>
  <c r="D4133" i="106"/>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c r="D4193" i="106"/>
  <c r="D4194" i="106"/>
  <c r="D4195" i="106"/>
  <c r="D4196" i="106"/>
  <c r="D4197" i="106"/>
  <c r="D4198" i="106"/>
  <c r="B4199" i="106"/>
  <c r="D4199" i="106"/>
  <c r="B4200" i="106"/>
  <c r="D4200" i="106" s="1"/>
  <c r="B4201" i="106"/>
  <c r="D4201" i="106" s="1"/>
  <c r="B4202" i="106"/>
  <c r="D4202" i="106" s="1"/>
  <c r="B4203" i="106"/>
  <c r="D4203" i="106"/>
  <c r="D4204" i="106"/>
  <c r="D4205" i="106"/>
  <c r="D4206" i="106"/>
  <c r="D4207" i="106"/>
  <c r="D4208" i="106"/>
  <c r="D4209" i="106"/>
  <c r="B4210" i="106"/>
  <c r="D4210" i="106"/>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H29" i="118"/>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c r="B4301" i="106"/>
  <c r="D4301" i="106" s="1"/>
  <c r="B4302" i="106"/>
  <c r="D4302" i="106" s="1"/>
  <c r="B4303" i="106"/>
  <c r="D4303" i="106" s="1"/>
  <c r="B4304" i="106"/>
  <c r="D4304" i="106"/>
  <c r="B4305" i="106"/>
  <c r="D4305" i="106" s="1"/>
  <c r="B4306" i="106"/>
  <c r="D4306" i="106" s="1"/>
  <c r="B4307" i="106"/>
  <c r="D4307" i="106" s="1"/>
  <c r="B4308" i="106"/>
  <c r="D4308" i="106"/>
  <c r="B4309" i="106"/>
  <c r="D4309" i="106" s="1"/>
  <c r="B4310" i="106"/>
  <c r="D4310" i="106" s="1"/>
  <c r="B4311" i="106"/>
  <c r="D4311" i="106" s="1"/>
  <c r="B4312" i="106"/>
  <c r="D4312" i="106"/>
  <c r="B4313" i="106"/>
  <c r="D4313" i="106" s="1"/>
  <c r="B4314" i="106"/>
  <c r="D4314" i="106" s="1"/>
  <c r="B4315" i="106"/>
  <c r="D4315" i="106" s="1"/>
  <c r="B4316" i="106"/>
  <c r="D4316" i="106"/>
  <c r="B4317" i="106"/>
  <c r="D4317" i="106" s="1"/>
  <c r="B4318" i="106"/>
  <c r="D4318" i="106" s="1"/>
  <c r="D4319" i="106"/>
  <c r="D4320" i="106"/>
  <c r="B4321" i="106"/>
  <c r="D4321" i="106"/>
  <c r="B4322" i="106"/>
  <c r="D4322" i="106" s="1"/>
  <c r="D4323" i="106"/>
  <c r="D4324" i="106"/>
  <c r="D4325" i="106"/>
  <c r="D4326" i="106"/>
  <c r="B4327" i="106"/>
  <c r="D4327" i="106"/>
  <c r="B4328" i="106"/>
  <c r="D4328" i="106" s="1"/>
  <c r="B4329" i="106"/>
  <c r="D4329" i="106" s="1"/>
  <c r="B4330" i="106"/>
  <c r="D4330" i="106" s="1"/>
  <c r="B4331" i="106"/>
  <c r="D4331" i="106"/>
  <c r="B4332" i="106"/>
  <c r="D4332" i="106" s="1"/>
  <c r="B4333" i="106"/>
  <c r="D4333" i="106" s="1"/>
  <c r="B4334" i="106"/>
  <c r="D4334" i="106" s="1"/>
  <c r="B4335" i="106"/>
  <c r="D4335" i="106"/>
  <c r="B4336" i="106"/>
  <c r="D4336" i="106" s="1"/>
  <c r="B4337" i="106"/>
  <c r="D4337" i="106" s="1"/>
  <c r="B4338" i="106"/>
  <c r="D4338" i="106" s="1"/>
  <c r="B4339" i="106"/>
  <c r="D4339" i="106"/>
  <c r="B4340" i="106"/>
  <c r="D4340" i="106" s="1"/>
  <c r="B4341" i="106"/>
  <c r="D4341" i="106" s="1"/>
  <c r="B4342" i="106"/>
  <c r="D4342" i="106" s="1"/>
  <c r="B4343" i="106"/>
  <c r="D4343" i="106"/>
  <c r="B4344" i="106"/>
  <c r="D4344" i="106" s="1"/>
  <c r="B4345" i="106"/>
  <c r="D4345" i="106" s="1"/>
  <c r="B4346" i="106"/>
  <c r="D4346" i="106" s="1"/>
  <c r="D4347" i="106"/>
  <c r="D4348" i="106"/>
  <c r="D4349" i="106"/>
  <c r="D4350" i="106"/>
  <c r="B4351" i="106"/>
  <c r="D4351" i="106" s="1"/>
  <c r="B4352" i="106"/>
  <c r="D4352" i="106" s="1"/>
  <c r="B4353" i="106"/>
  <c r="D4353" i="106"/>
  <c r="B4354" i="106"/>
  <c r="D4354" i="106" s="1"/>
  <c r="B4355" i="106"/>
  <c r="D4355" i="106" s="1"/>
  <c r="B4356" i="106"/>
  <c r="D4356" i="106" s="1"/>
  <c r="B4358" i="106"/>
  <c r="D4358" i="106"/>
  <c r="B4359" i="106"/>
  <c r="D4359" i="106" s="1"/>
  <c r="B4360" i="106"/>
  <c r="D4360" i="106" s="1"/>
  <c r="B4361" i="106"/>
  <c r="D4361" i="106" s="1"/>
  <c r="B4362" i="106"/>
  <c r="D4362" i="106"/>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s="1"/>
  <c r="B4865" i="106"/>
  <c r="D4865" i="106" s="1"/>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c r="B4884" i="106"/>
  <c r="D4884" i="106" s="1"/>
  <c r="B4885" i="106"/>
  <c r="D4885" i="106" s="1"/>
  <c r="B4886" i="106"/>
  <c r="D4886" i="106" s="1"/>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c r="B4917" i="106"/>
  <c r="D4917" i="106" s="1"/>
  <c r="B4918" i="106"/>
  <c r="D4918" i="106" s="1"/>
  <c r="B4919" i="106"/>
  <c r="D4919" i="106" s="1"/>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c r="B5058" i="106"/>
  <c r="D5058" i="106" s="1"/>
  <c r="B5059" i="106"/>
  <c r="D5059" i="106" s="1"/>
  <c r="B5060" i="106"/>
  <c r="D5060" i="106" s="1"/>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s="1"/>
  <c r="B5512" i="106"/>
  <c r="D5512" i="106"/>
  <c r="B5514" i="106"/>
  <c r="D5514" i="106"/>
  <c r="B5515" i="106"/>
  <c r="D5515" i="106"/>
  <c r="B5516" i="106"/>
  <c r="D5516" i="106" s="1"/>
  <c r="B5517" i="106"/>
  <c r="D5517" i="106"/>
  <c r="B5519" i="106"/>
  <c r="D5519" i="106"/>
  <c r="B5520" i="106"/>
  <c r="D5520" i="106"/>
  <c r="B5522" i="106"/>
  <c r="D5522" i="106" s="1"/>
  <c r="B5523" i="106"/>
  <c r="D5523" i="106"/>
  <c r="B5524" i="106"/>
  <c r="D5524" i="106"/>
  <c r="B5525" i="106"/>
  <c r="D5525" i="106"/>
  <c r="B5528" i="106"/>
  <c r="D5528" i="106" s="1"/>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s="1"/>
  <c r="B5560" i="106"/>
  <c r="D5560" i="106"/>
  <c r="B5561" i="106"/>
  <c r="D5561" i="106"/>
  <c r="B5563" i="106"/>
  <c r="D5563" i="106"/>
  <c r="B5564" i="106"/>
  <c r="D5564" i="106" s="1"/>
  <c r="B5565" i="106"/>
  <c r="D5565" i="106"/>
  <c r="B5566" i="106"/>
  <c r="D5566" i="106"/>
  <c r="B5567" i="106"/>
  <c r="D5567" i="106"/>
  <c r="B5568" i="106"/>
  <c r="D5568" i="106" s="1"/>
  <c r="B5569" i="106"/>
  <c r="D5569" i="106"/>
  <c r="B5570" i="106"/>
  <c r="D5570" i="106"/>
  <c r="B5571" i="106"/>
  <c r="D5571" i="106"/>
  <c r="B5572" i="106"/>
  <c r="D5572" i="106" s="1"/>
  <c r="B5573" i="106"/>
  <c r="D5573" i="106"/>
  <c r="B5574" i="106"/>
  <c r="D5574" i="106"/>
  <c r="B5575" i="106"/>
  <c r="D5575" i="106"/>
  <c r="B5576" i="106"/>
  <c r="D5576" i="106" s="1"/>
  <c r="B5577" i="106"/>
  <c r="D5577" i="106"/>
  <c r="B5578" i="106"/>
  <c r="D5578" i="106"/>
  <c r="B5580" i="106"/>
  <c r="D5580" i="106"/>
  <c r="B5581" i="106"/>
  <c r="D5581" i="106" s="1"/>
  <c r="B5583" i="106"/>
  <c r="D5583" i="106"/>
  <c r="B5584" i="106"/>
  <c r="D5584" i="106"/>
  <c r="B5585" i="106"/>
  <c r="D5585" i="106"/>
  <c r="B5586" i="106"/>
  <c r="D5586" i="106" s="1"/>
  <c r="B5589" i="106"/>
  <c r="D5589" i="106"/>
  <c r="B5590" i="106"/>
  <c r="D5590" i="106"/>
  <c r="B5591" i="106"/>
  <c r="D5591" i="106"/>
  <c r="B5593" i="106"/>
  <c r="D5593" i="106" s="1"/>
  <c r="B5594" i="106"/>
  <c r="D5594" i="106"/>
  <c r="D5595" i="106"/>
  <c r="D5596" i="106"/>
  <c r="D5597" i="106"/>
  <c r="D5598" i="106"/>
  <c r="B5600" i="106"/>
  <c r="D5600" i="106" s="1"/>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s="1"/>
  <c r="D5616" i="106"/>
  <c r="B5617" i="106"/>
  <c r="D5617" i="106"/>
  <c r="B5619" i="106"/>
  <c r="D5619" i="106" s="1"/>
  <c r="D5620" i="106"/>
  <c r="D5621" i="106"/>
  <c r="D5622" i="106"/>
  <c r="D5623" i="106"/>
  <c r="D5624" i="106"/>
  <c r="B5625" i="106"/>
  <c r="D5625" i="106"/>
  <c r="D5626" i="106"/>
  <c r="B5627" i="106"/>
  <c r="D5627" i="106"/>
  <c r="D5628" i="106"/>
  <c r="D5629" i="106"/>
  <c r="B5630" i="106"/>
  <c r="D5630" i="106"/>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s="1"/>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c r="D5693" i="106"/>
  <c r="D5694" i="106"/>
  <c r="B5695" i="106"/>
  <c r="D5695" i="106"/>
  <c r="B5696" i="106"/>
  <c r="D5696" i="106" s="1"/>
  <c r="B5697" i="106"/>
  <c r="D5697" i="106"/>
  <c r="D5698" i="106"/>
  <c r="D5699" i="106"/>
  <c r="D5700" i="106"/>
  <c r="D5701" i="106"/>
  <c r="D5702" i="106"/>
  <c r="D5704" i="106"/>
  <c r="B5705" i="106"/>
  <c r="D5705" i="106"/>
  <c r="B5706" i="106"/>
  <c r="D5706" i="106" s="1"/>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c r="B5727" i="106"/>
  <c r="D5727" i="106" s="1"/>
  <c r="B5728" i="106"/>
  <c r="D5728" i="106" s="1"/>
  <c r="B5729" i="106"/>
  <c r="D5729" i="106" s="1"/>
  <c r="B5731" i="106"/>
  <c r="D5731" i="106" s="1"/>
  <c r="B5732" i="106"/>
  <c r="D5732" i="106" s="1"/>
  <c r="B5734" i="106"/>
  <c r="D5734" i="106"/>
  <c r="B5735" i="106"/>
  <c r="D5735" i="106" s="1"/>
  <c r="B5736" i="106"/>
  <c r="D5736" i="106"/>
  <c r="B5738" i="106"/>
  <c r="D5738" i="106" s="1"/>
  <c r="B5739" i="106"/>
  <c r="D5739" i="106" s="1"/>
  <c r="B5740" i="106"/>
  <c r="D5740" i="106" s="1"/>
  <c r="B5742" i="106"/>
  <c r="D5742" i="106" s="1"/>
  <c r="B5743" i="106"/>
  <c r="D5743" i="106" s="1"/>
  <c r="D5744" i="106"/>
  <c r="D5745" i="106"/>
  <c r="D5746" i="106"/>
  <c r="D5747" i="106"/>
  <c r="B5749" i="106"/>
  <c r="D5749" i="106"/>
  <c r="D5750" i="106"/>
  <c r="D5751" i="106"/>
  <c r="D5753" i="106"/>
  <c r="B5754" i="106"/>
  <c r="D5754" i="106" s="1"/>
  <c r="B5755" i="106"/>
  <c r="D5755" i="106"/>
  <c r="B5757" i="106"/>
  <c r="D5757" i="106" s="1"/>
  <c r="D5758" i="106"/>
  <c r="D5759" i="106"/>
  <c r="D5760" i="106"/>
  <c r="D5761" i="106"/>
  <c r="D5762" i="106"/>
  <c r="B5763" i="106"/>
  <c r="D5763" i="106"/>
  <c r="D5764" i="106"/>
  <c r="B5765" i="106"/>
  <c r="D5765" i="106"/>
  <c r="D5766" i="106"/>
  <c r="B5767" i="106"/>
  <c r="D5767" i="106" s="1"/>
  <c r="B5768"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s="1"/>
  <c r="D5857" i="106"/>
  <c r="B5858" i="106"/>
  <c r="D5858" i="106" s="1"/>
  <c r="D5859" i="106"/>
  <c r="B5860" i="106"/>
  <c r="D5860" i="106"/>
  <c r="D5861" i="106"/>
  <c r="D5862" i="106"/>
  <c r="D5864" i="106"/>
  <c r="D5865" i="106"/>
  <c r="D5866" i="106"/>
  <c r="D5867" i="106"/>
  <c r="D5868" i="106"/>
  <c r="B5871" i="106"/>
  <c r="D5871" i="106" s="1"/>
  <c r="B5872" i="106"/>
  <c r="D5872" i="106" s="1"/>
  <c r="B5874" i="106"/>
  <c r="D5874" i="106"/>
  <c r="B5875" i="106"/>
  <c r="D5875" i="106" s="1"/>
  <c r="B5876" i="106"/>
  <c r="D5876" i="106"/>
  <c r="B5877" i="106"/>
  <c r="D5877" i="106" s="1"/>
  <c r="B5879" i="106"/>
  <c r="D5879" i="106"/>
  <c r="B5880" i="106"/>
  <c r="D5880" i="106" s="1"/>
  <c r="B5882" i="106"/>
  <c r="D5882" i="106" s="1"/>
  <c r="B5883" i="106"/>
  <c r="D5883" i="106"/>
  <c r="B5884" i="106"/>
  <c r="D5884" i="106" s="1"/>
  <c r="B5885" i="106"/>
  <c r="D5885" i="106" s="1"/>
  <c r="B5887" i="106"/>
  <c r="D5887" i="106" s="1"/>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s="1"/>
  <c r="B5919" i="106"/>
  <c r="D5919" i="106"/>
  <c r="B5920" i="106"/>
  <c r="D5920" i="106" s="1"/>
  <c r="B5921" i="106"/>
  <c r="D5921" i="106"/>
  <c r="B5922" i="106"/>
  <c r="D5922" i="106" s="1"/>
  <c r="B5924" i="106"/>
  <c r="D5924" i="106"/>
  <c r="B5925" i="106"/>
  <c r="D5925" i="106" s="1"/>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c r="B5988" i="106"/>
  <c r="D5988" i="106" s="1"/>
  <c r="B5989" i="106"/>
  <c r="D5989" i="106"/>
  <c r="B5990" i="106"/>
  <c r="D5990" i="106" s="1"/>
  <c r="B5991" i="106"/>
  <c r="D5991" i="106"/>
  <c r="B5993" i="106"/>
  <c r="D5993" i="106" s="1"/>
  <c r="B5994" i="106"/>
  <c r="D5994" i="106"/>
  <c r="B5996" i="106"/>
  <c r="D5996" i="106" s="1"/>
  <c r="B5997" i="106"/>
  <c r="D5997" i="106"/>
  <c r="B5998" i="106"/>
  <c r="D5998" i="106" s="1"/>
  <c r="B6000" i="106"/>
  <c r="D6000" i="106"/>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c r="B6078" i="106"/>
  <c r="D6078" i="106" s="1"/>
  <c r="F27" i="8"/>
  <c r="B6079" i="106"/>
  <c r="D6079" i="106" s="1"/>
  <c r="D6080" i="106"/>
  <c r="B6081" i="106"/>
  <c r="D6081" i="106"/>
  <c r="B6082" i="106"/>
  <c r="D6082" i="106" s="1"/>
  <c r="B6083" i="106"/>
  <c r="D6083" i="106"/>
  <c r="B6084" i="106"/>
  <c r="D6084" i="106" s="1"/>
  <c r="B6085" i="106"/>
  <c r="D6085" i="106"/>
  <c r="B6086" i="106"/>
  <c r="D6086" i="106" s="1"/>
  <c r="B6087" i="106"/>
  <c r="D6087" i="106"/>
  <c r="B6088" i="106"/>
  <c r="D6088" i="106" s="1"/>
  <c r="B6089" i="106"/>
  <c r="D6089" i="106"/>
  <c r="B6090" i="106"/>
  <c r="D6090" i="106" s="1"/>
  <c r="B6091" i="106"/>
  <c r="D6091" i="106" s="1"/>
  <c r="B6092" i="106"/>
  <c r="D6092" i="106" s="1"/>
  <c r="B6093" i="106"/>
  <c r="D6093" i="106"/>
  <c r="B6094" i="106"/>
  <c r="D6094" i="106" s="1"/>
  <c r="B6095" i="106"/>
  <c r="D6095" i="106"/>
  <c r="B6096" i="106"/>
  <c r="D6096" i="106" s="1"/>
  <c r="B6097" i="106"/>
  <c r="D6097" i="106"/>
  <c r="B6098" i="106"/>
  <c r="D6098" i="106" s="1"/>
  <c r="B6099" i="106"/>
  <c r="D6099" i="106"/>
  <c r="B6100" i="106"/>
  <c r="D6100" i="106" s="1"/>
  <c r="B6101" i="106"/>
  <c r="D6101" i="106"/>
  <c r="B6102" i="106"/>
  <c r="D6102" i="106" s="1"/>
  <c r="A6103" i="106"/>
  <c r="B6103" i="106"/>
  <c r="B6104" i="106"/>
  <c r="D6104" i="106" s="1"/>
  <c r="B6105" i="106"/>
  <c r="D6105" i="106"/>
  <c r="B6106" i="106"/>
  <c r="D6106" i="106" s="1"/>
  <c r="B6107" i="106"/>
  <c r="D6107" i="106" s="1"/>
  <c r="B6108" i="106"/>
  <c r="D6108" i="106" s="1"/>
  <c r="B6109" i="106"/>
  <c r="D6109" i="106"/>
  <c r="B6110" i="106"/>
  <c r="D6110" i="106" s="1"/>
  <c r="B6111" i="106"/>
  <c r="D6111" i="106"/>
  <c r="B6112" i="106"/>
  <c r="D6112" i="106" s="1"/>
  <c r="B6113" i="106"/>
  <c r="D6113" i="106"/>
  <c r="B6114" i="106"/>
  <c r="D6114" i="106" s="1"/>
  <c r="B6115" i="106"/>
  <c r="D6115" i="106"/>
  <c r="B6116" i="106"/>
  <c r="D6116" i="106" s="1"/>
  <c r="B6117" i="106"/>
  <c r="D6117" i="106"/>
  <c r="B6118" i="106"/>
  <c r="D6118" i="106" s="1"/>
  <c r="B6119" i="106"/>
  <c r="D6119" i="106"/>
  <c r="B6120" i="106"/>
  <c r="D6120" i="106" s="1"/>
  <c r="B6121" i="106"/>
  <c r="D6121" i="106"/>
  <c r="B6122" i="106"/>
  <c r="D6122" i="106" s="1"/>
  <c r="B6123" i="106"/>
  <c r="D6123" i="106" s="1"/>
  <c r="J13" i="3"/>
  <c r="B6124" i="106" s="1"/>
  <c r="D6124" i="106" s="1"/>
  <c r="B6125" i="106"/>
  <c r="D6125" i="106" s="1"/>
  <c r="B6126" i="106"/>
  <c r="D6126" i="106"/>
  <c r="B6127" i="106"/>
  <c r="D6127" i="106" s="1"/>
  <c r="B6128" i="106"/>
  <c r="D6128" i="106"/>
  <c r="B6129" i="106"/>
  <c r="D6129" i="106" s="1"/>
  <c r="B6130" i="106"/>
  <c r="D6130" i="106"/>
  <c r="B6131" i="106"/>
  <c r="D6131" i="106" s="1"/>
  <c r="B6132" i="106"/>
  <c r="D6132" i="106"/>
  <c r="B6133" i="106"/>
  <c r="D6133" i="106" s="1"/>
  <c r="B6134" i="106"/>
  <c r="D6134" i="106"/>
  <c r="B6135" i="106"/>
  <c r="D6135" i="106" s="1"/>
  <c r="B6136" i="106"/>
  <c r="D6136" i="106"/>
  <c r="B6137" i="106"/>
  <c r="D6137" i="106" s="1"/>
  <c r="B6138" i="106"/>
  <c r="D6138" i="106"/>
  <c r="B6139" i="106"/>
  <c r="D6139" i="106" s="1"/>
  <c r="B6140" i="106"/>
  <c r="D6140" i="106"/>
  <c r="B6141" i="106"/>
  <c r="D6141" i="106" s="1"/>
  <c r="B6142" i="106"/>
  <c r="D6142" i="106"/>
  <c r="B6143" i="106"/>
  <c r="D6143" i="106" s="1"/>
  <c r="B6144" i="106"/>
  <c r="D6144" i="106"/>
  <c r="B6145" i="106"/>
  <c r="D6145" i="106" s="1"/>
  <c r="B6146" i="106"/>
  <c r="D6146" i="106"/>
  <c r="B6147" i="106"/>
  <c r="D6147" i="106" s="1"/>
  <c r="B6148" i="106"/>
  <c r="D6148" i="106"/>
  <c r="B6149" i="106"/>
  <c r="D6149" i="106" s="1"/>
  <c r="B6150" i="106"/>
  <c r="D6150" i="106"/>
  <c r="B6151" i="106"/>
  <c r="D6151" i="106" s="1"/>
  <c r="B6152" i="106"/>
  <c r="D6152" i="106"/>
  <c r="B6153" i="106"/>
  <c r="D6153" i="106" s="1"/>
  <c r="B6154" i="106"/>
  <c r="D6154" i="106"/>
  <c r="B6155" i="106"/>
  <c r="D6155" i="106" s="1"/>
  <c r="B6156" i="106"/>
  <c r="D6156" i="106"/>
  <c r="B6157" i="106"/>
  <c r="D6157" i="106" s="1"/>
  <c r="B6158" i="106"/>
  <c r="D6158" i="106"/>
  <c r="B6159" i="106"/>
  <c r="D6159" i="106" s="1"/>
  <c r="B6160" i="106"/>
  <c r="D6160" i="106"/>
  <c r="B6161" i="106"/>
  <c r="D6161" i="106" s="1"/>
  <c r="B6162" i="106"/>
  <c r="D6162" i="106"/>
  <c r="B6163" i="106"/>
  <c r="D6163" i="106" s="1"/>
  <c r="B6164" i="106"/>
  <c r="D6164" i="106"/>
  <c r="B6165" i="106"/>
  <c r="D6165" i="106" s="1"/>
  <c r="B6166" i="106"/>
  <c r="D6166" i="106"/>
  <c r="B6167" i="106"/>
  <c r="D6167" i="106" s="1"/>
  <c r="B6168" i="106"/>
  <c r="D6168" i="106"/>
  <c r="B6169" i="106"/>
  <c r="D6169" i="106" s="1"/>
  <c r="B6170" i="106"/>
  <c r="D6170" i="106"/>
  <c r="B6171" i="106"/>
  <c r="D6171" i="106" s="1"/>
  <c r="B6172" i="106"/>
  <c r="D6172" i="106"/>
  <c r="B6173" i="106"/>
  <c r="D6173" i="106" s="1"/>
  <c r="B6174" i="106"/>
  <c r="D6174" i="106"/>
  <c r="B6175" i="106"/>
  <c r="D6175" i="106" s="1"/>
  <c r="B6176" i="106"/>
  <c r="D6176" i="106"/>
  <c r="B6177" i="106"/>
  <c r="D6177" i="106" s="1"/>
  <c r="B6178" i="106"/>
  <c r="D6178" i="106"/>
  <c r="B6179" i="106"/>
  <c r="D6179" i="106" s="1"/>
  <c r="B6180" i="106"/>
  <c r="D6180" i="106"/>
  <c r="B6181" i="106"/>
  <c r="D6181" i="106" s="1"/>
  <c r="B6182" i="106"/>
  <c r="D6182" i="106"/>
  <c r="B6183" i="106"/>
  <c r="D6183" i="106" s="1"/>
  <c r="B6184" i="106"/>
  <c r="D6184" i="106"/>
  <c r="B6185" i="106"/>
  <c r="D6185" i="106" s="1"/>
  <c r="B6186" i="106"/>
  <c r="D6186" i="106"/>
  <c r="B6187" i="106"/>
  <c r="D6187" i="106" s="1"/>
  <c r="B6188" i="106"/>
  <c r="D6188" i="106"/>
  <c r="B6189" i="106"/>
  <c r="D6189" i="106" s="1"/>
  <c r="B6190" i="106"/>
  <c r="D6190" i="106"/>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c r="B6218" i="106"/>
  <c r="D6218" i="106" s="1"/>
  <c r="B6219" i="106"/>
  <c r="D6219" i="106" s="1"/>
  <c r="B6224" i="106"/>
  <c r="D6224" i="106" s="1"/>
  <c r="J18" i="4"/>
  <c r="B6228" i="106"/>
  <c r="D6228" i="106" s="1"/>
  <c r="B6231" i="106"/>
  <c r="D6231" i="106"/>
  <c r="B6232" i="106"/>
  <c r="D6232" i="106" s="1"/>
  <c r="B6233" i="106"/>
  <c r="D6233" i="106"/>
  <c r="B6234" i="106"/>
  <c r="D6234" i="106" s="1"/>
  <c r="B6235" i="106"/>
  <c r="D6235" i="106"/>
  <c r="B6236" i="106"/>
  <c r="D6236" i="106" s="1"/>
  <c r="B6237" i="106"/>
  <c r="D6237" i="106"/>
  <c r="J44" i="4"/>
  <c r="B6239" i="106"/>
  <c r="D6239" i="106" s="1"/>
  <c r="B6240" i="106"/>
  <c r="D6240" i="106" s="1"/>
  <c r="B6241" i="106"/>
  <c r="D6241" i="106" s="1"/>
  <c r="B6242" i="106"/>
  <c r="D6242" i="106"/>
  <c r="B6243" i="106"/>
  <c r="D6243" i="106" s="1"/>
  <c r="B6244" i="106"/>
  <c r="D6244" i="106" s="1"/>
  <c r="B6245" i="106"/>
  <c r="D6245" i="106" s="1"/>
  <c r="B6246" i="106"/>
  <c r="D6246" i="106"/>
  <c r="B6247" i="106"/>
  <c r="D6247" i="106" s="1"/>
  <c r="B6248" i="106"/>
  <c r="D6248" i="106" s="1"/>
  <c r="B6249" i="106"/>
  <c r="D6249" i="106" s="1"/>
  <c r="B6250" i="106"/>
  <c r="D6250" i="106"/>
  <c r="B6251" i="106"/>
  <c r="D6251" i="106" s="1"/>
  <c r="B6252" i="106"/>
  <c r="D6252" i="106" s="1"/>
  <c r="B6253" i="106"/>
  <c r="D6253" i="106" s="1"/>
  <c r="B6254" i="106"/>
  <c r="D6254" i="106"/>
  <c r="B6255" i="106"/>
  <c r="D6255" i="106" s="1"/>
  <c r="B6256" i="106"/>
  <c r="D6256" i="106" s="1"/>
  <c r="B6257" i="106"/>
  <c r="D6257" i="106" s="1"/>
  <c r="B6258" i="106"/>
  <c r="D6258" i="106"/>
  <c r="B6259" i="106"/>
  <c r="D6259" i="106" s="1"/>
  <c r="B6260" i="106"/>
  <c r="D6260" i="106" s="1"/>
  <c r="J76" i="4"/>
  <c r="B6261" i="106" s="1"/>
  <c r="D6261" i="106" s="1"/>
  <c r="B6264" i="106"/>
  <c r="D6264" i="106" s="1"/>
  <c r="B6265" i="106"/>
  <c r="D6265" i="106"/>
  <c r="B6290" i="106"/>
  <c r="D6290" i="106" s="1"/>
  <c r="B6291" i="106"/>
  <c r="D6291" i="106"/>
  <c r="B6292" i="106"/>
  <c r="D6292" i="106" s="1"/>
  <c r="B6293" i="106"/>
  <c r="D6293" i="106"/>
  <c r="B6294" i="106"/>
  <c r="D6294" i="106" s="1"/>
  <c r="B6295" i="106"/>
  <c r="D6295" i="106"/>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B7017" i="106"/>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J129" i="29" s="1"/>
  <c r="B7038" i="106" s="1"/>
  <c r="D7038" i="106" s="1"/>
  <c r="B7034" i="106"/>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c r="B7058" i="106"/>
  <c r="D7058" i="106"/>
  <c r="B7059" i="106"/>
  <c r="D7059" i="106"/>
  <c r="B7060" i="106"/>
  <c r="D7060" i="106"/>
  <c r="B7061" i="106"/>
  <c r="D7061" i="106"/>
  <c r="B7062" i="106"/>
  <c r="D7062" i="106"/>
  <c r="I184" i="29"/>
  <c r="B7063" i="106"/>
  <c r="D7063" i="106" s="1"/>
  <c r="J184" i="29"/>
  <c r="B7064" i="106" s="1"/>
  <c r="D7064" i="106" s="1"/>
  <c r="B7065" i="106"/>
  <c r="D7065" i="106"/>
  <c r="B7066" i="106"/>
  <c r="D7066" i="106"/>
  <c r="B7067" i="106"/>
  <c r="D7067" i="106"/>
  <c r="B7068" i="106"/>
  <c r="D7068" i="106"/>
  <c r="B7069" i="106"/>
  <c r="D7069" i="106"/>
  <c r="B7073" i="106"/>
  <c r="D7073" i="106"/>
  <c r="B7074" i="106"/>
  <c r="D7074" i="106"/>
  <c r="B7075" i="106"/>
  <c r="D7075" i="106"/>
  <c r="B7077" i="106"/>
  <c r="D7077" i="106"/>
  <c r="B7078" i="106"/>
  <c r="D7078" i="106"/>
  <c r="B7079" i="106"/>
  <c r="D7079" i="106"/>
  <c r="B7081" i="106"/>
  <c r="D7081" i="106"/>
  <c r="B7082" i="106"/>
  <c r="D7082" i="106"/>
  <c r="B7083" i="106"/>
  <c r="D7083" i="106"/>
  <c r="B7085" i="106"/>
  <c r="D7085" i="106"/>
  <c r="B7087" i="106"/>
  <c r="D7087" i="106"/>
  <c r="B7089" i="106"/>
  <c r="D7089" i="106"/>
  <c r="B7090" i="106"/>
  <c r="D7090" i="106"/>
  <c r="B7091" i="106"/>
  <c r="D7091" i="106"/>
  <c r="B7092" i="106"/>
  <c r="D7092" i="106"/>
  <c r="B7093" i="106"/>
  <c r="D7093" i="106"/>
  <c r="B7095" i="106"/>
  <c r="D7095" i="106"/>
  <c r="B7097" i="106"/>
  <c r="D7097" i="106"/>
  <c r="B7098" i="106"/>
  <c r="D7098" i="106"/>
  <c r="B7099" i="106"/>
  <c r="D7099" i="106"/>
  <c r="B7100" i="106"/>
  <c r="D7100" i="106"/>
  <c r="B7101" i="106"/>
  <c r="D7101" i="106"/>
  <c r="B7102" i="106"/>
  <c r="D7102" i="106"/>
  <c r="I303" i="29"/>
  <c r="B7103" i="106"/>
  <c r="D7103" i="106" s="1"/>
  <c r="J303" i="29"/>
  <c r="B7104" i="106" s="1"/>
  <c r="D7104" i="106" s="1"/>
  <c r="B7105" i="106"/>
  <c r="D7105" i="106"/>
  <c r="B7106" i="106"/>
  <c r="D7106" i="106"/>
  <c r="B7107" i="106"/>
  <c r="D7107" i="106"/>
  <c r="B7108" i="106"/>
  <c r="D7108" i="106"/>
  <c r="B7109" i="106"/>
  <c r="D7109" i="106"/>
  <c r="B7110" i="106"/>
  <c r="D7110" i="106"/>
  <c r="B7111" i="106"/>
  <c r="D7111" i="106"/>
  <c r="B7112" i="106"/>
  <c r="D7112" i="106"/>
  <c r="B7113" i="106"/>
  <c r="D7113"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c r="B7137" i="106"/>
  <c r="D7137" i="106"/>
  <c r="B7138" i="106"/>
  <c r="D7138" i="106"/>
  <c r="B7139" i="106"/>
  <c r="D7139" i="106"/>
  <c r="B7140" i="106"/>
  <c r="D7140" i="106"/>
  <c r="B7141" i="106"/>
  <c r="D7141" i="106"/>
  <c r="B7142" i="106"/>
  <c r="D7142" i="106"/>
  <c r="B7143" i="106"/>
  <c r="D7143" i="106"/>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c r="B7154" i="106"/>
  <c r="D7154" i="106"/>
  <c r="B7155" i="106"/>
  <c r="D7155" i="106"/>
  <c r="B7156" i="106"/>
  <c r="D7156" i="106"/>
  <c r="B7157" i="106"/>
  <c r="D7157" i="106"/>
  <c r="B7158" i="106"/>
  <c r="D7158" i="106"/>
  <c r="B7159" i="106"/>
  <c r="D7159" i="106"/>
  <c r="B7160" i="106"/>
  <c r="D7160" i="106"/>
  <c r="B7161" i="106"/>
  <c r="D7161" i="106"/>
  <c r="K323" i="29"/>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c r="B7173" i="106"/>
  <c r="D7173" i="106"/>
  <c r="B7174" i="106"/>
  <c r="D7174" i="106"/>
  <c r="B7175" i="106"/>
  <c r="D7175" i="106"/>
  <c r="B7176" i="106"/>
  <c r="D7176" i="106"/>
  <c r="B7177" i="106"/>
  <c r="D7177" i="106"/>
  <c r="B7178" i="106"/>
  <c r="D7178" i="106"/>
  <c r="B7179" i="106"/>
  <c r="D7179" i="106"/>
  <c r="K325" i="29"/>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c r="B7190" i="106"/>
  <c r="D7190" i="106"/>
  <c r="B7191" i="106"/>
  <c r="D7191" i="106"/>
  <c r="B7192" i="106"/>
  <c r="D7192" i="106"/>
  <c r="B7193" i="106"/>
  <c r="D7193" i="106"/>
  <c r="B7194" i="106"/>
  <c r="D7194" i="106"/>
  <c r="B7195" i="106"/>
  <c r="D7195" i="106"/>
  <c r="B7196" i="106"/>
  <c r="D7196" i="106"/>
  <c r="B7197" i="106"/>
  <c r="D7197" i="106"/>
  <c r="K327" i="29"/>
  <c r="B7198" i="106"/>
  <c r="D7198" i="106" s="1"/>
  <c r="C330" i="29"/>
  <c r="B7199" i="106" s="1"/>
  <c r="D7199" i="106" s="1"/>
  <c r="D330" i="29"/>
  <c r="E330" i="29"/>
  <c r="F330" i="29"/>
  <c r="G330" i="29"/>
  <c r="B7203" i="106" s="1"/>
  <c r="D7203" i="106"/>
  <c r="H330" i="29"/>
  <c r="B7204" i="106"/>
  <c r="D7204" i="106" s="1"/>
  <c r="I330" i="29"/>
  <c r="B7205" i="106" s="1"/>
  <c r="D7205" i="106" s="1"/>
  <c r="J330" i="29"/>
  <c r="B7206" i="106"/>
  <c r="D7206" i="106" s="1"/>
  <c r="K328" i="29"/>
  <c r="B7696" i="106" s="1"/>
  <c r="D7696" i="106"/>
  <c r="K329" i="29"/>
  <c r="B7208" i="106"/>
  <c r="D7208" i="106" s="1"/>
  <c r="K337" i="29"/>
  <c r="B7209" i="106" s="1"/>
  <c r="D7209" i="106" s="1"/>
  <c r="B7210" i="106"/>
  <c r="D7210" i="106"/>
  <c r="K338" i="29"/>
  <c r="B7212" i="106"/>
  <c r="D7212" i="106" s="1"/>
  <c r="K339" i="29"/>
  <c r="B7213" i="106" s="1"/>
  <c r="D7213" i="106"/>
  <c r="H340" i="29"/>
  <c r="H342" i="29"/>
  <c r="B7226" i="106"/>
  <c r="D7226" i="106"/>
  <c r="B7227" i="106"/>
  <c r="D7227" i="106"/>
  <c r="B7228" i="106"/>
  <c r="D7228" i="106"/>
  <c r="B7229" i="106"/>
  <c r="D7229" i="106"/>
  <c r="I350" i="29"/>
  <c r="J350" i="29"/>
  <c r="B7232" i="106"/>
  <c r="D7232" i="106"/>
  <c r="B7233" i="106"/>
  <c r="D7233" i="106"/>
  <c r="B7236" i="106"/>
  <c r="D7236" i="106"/>
  <c r="B7237" i="106"/>
  <c r="D7237" i="106"/>
  <c r="B7238" i="106"/>
  <c r="D7238" i="106"/>
  <c r="B7239" i="106"/>
  <c r="D7239" i="106"/>
  <c r="B7240" i="106"/>
  <c r="D7240" i="106"/>
  <c r="A7245" i="106"/>
  <c r="A7246" i="106"/>
  <c r="A7247" i="106" s="1"/>
  <c r="A7248" i="106"/>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s="1"/>
  <c r="D7729" i="106"/>
  <c r="B7731" i="106"/>
  <c r="D7731" i="106"/>
  <c r="D7734" i="106"/>
  <c r="B7735" i="106"/>
  <c r="D7735" i="106" s="1"/>
  <c r="B7736" i="106"/>
  <c r="D7736" i="106" s="1"/>
  <c r="B7737" i="106"/>
  <c r="D7737" i="106" s="1"/>
  <c r="B7738" i="106"/>
  <c r="D7738" i="106" s="1"/>
  <c r="D7744" i="106"/>
  <c r="B7745" i="106"/>
  <c r="D7745"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3" i="106"/>
  <c r="D7765" i="106"/>
  <c r="D7766" i="106"/>
  <c r="D7768" i="106"/>
  <c r="D7770" i="106"/>
  <c r="D7771" i="106"/>
  <c r="D7772" i="106"/>
  <c r="D7773" i="106"/>
  <c r="D7774" i="106"/>
  <c r="D7775" i="106"/>
  <c r="D7776" i="106"/>
  <c r="D7777" i="106"/>
  <c r="D7778" i="106"/>
  <c r="D7779" i="106"/>
  <c r="D7781" i="106"/>
  <c r="D7782" i="106"/>
  <c r="D7783" i="106"/>
  <c r="D7784" i="106"/>
  <c r="D7785" i="106"/>
  <c r="D7786" i="106"/>
  <c r="D7787" i="106"/>
  <c r="D7788" i="106"/>
  <c r="D7789" i="106"/>
  <c r="D7790" i="106"/>
  <c r="D7791" i="106"/>
  <c r="D7792" i="106"/>
  <c r="D7793" i="106"/>
  <c r="D7794" i="106"/>
  <c r="D7795" i="106"/>
  <c r="D7796" i="106"/>
  <c r="D7800" i="106"/>
  <c r="B6" i="36"/>
  <c r="B7" i="36"/>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D41" i="108" s="1"/>
  <c r="E26" i="108"/>
  <c r="F26" i="108"/>
  <c r="G26" i="108"/>
  <c r="E27" i="108"/>
  <c r="F27" i="108"/>
  <c r="G27" i="108"/>
  <c r="F36" i="108"/>
  <c r="G28" i="108"/>
  <c r="E30" i="108"/>
  <c r="G30" i="108"/>
  <c r="D36" i="108"/>
  <c r="E31" i="108"/>
  <c r="G31" i="108"/>
  <c r="E33"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61" i="34" s="1"/>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B2026" i="106"/>
  <c r="D2026" i="106"/>
  <c r="C16" i="11"/>
  <c r="B2013" i="106" s="1"/>
  <c r="D2013" i="106" s="1"/>
  <c r="C49" i="8"/>
  <c r="B4" i="7"/>
  <c r="B1744" i="106" s="1"/>
  <c r="D1744" i="106" s="1"/>
  <c r="B5" i="7"/>
  <c r="B1745" i="106" s="1"/>
  <c r="D1745" i="106" s="1"/>
  <c r="B6" i="7"/>
  <c r="D6" i="7" s="1"/>
  <c r="B1762" i="106" s="1"/>
  <c r="D1762" i="106" s="1"/>
  <c r="B7" i="7"/>
  <c r="B1747" i="106"/>
  <c r="D1747" i="106" s="1"/>
  <c r="B8" i="7"/>
  <c r="B1748" i="106"/>
  <c r="D1748" i="106"/>
  <c r="B9" i="7"/>
  <c r="B1751" i="106" s="1"/>
  <c r="D1751" i="106" s="1"/>
  <c r="B10" i="7"/>
  <c r="B1749" i="106"/>
  <c r="D1749" i="106" s="1"/>
  <c r="B11" i="7"/>
  <c r="B1752" i="106"/>
  <c r="D1752" i="106" s="1"/>
  <c r="B12" i="7"/>
  <c r="B1753" i="106"/>
  <c r="D1753" i="106" s="1"/>
  <c r="B13" i="7"/>
  <c r="B3725" i="106" s="1"/>
  <c r="D3725" i="106"/>
  <c r="B14" i="7"/>
  <c r="B1754" i="106"/>
  <c r="D1754" i="106" s="1"/>
  <c r="B15" i="7"/>
  <c r="D15" i="7" s="1"/>
  <c r="B1772" i="106" s="1"/>
  <c r="D1772" i="106" s="1"/>
  <c r="B1756" i="106"/>
  <c r="D1756" i="106" s="1"/>
  <c r="B16" i="7"/>
  <c r="B3446" i="106"/>
  <c r="D3446" i="106"/>
  <c r="B17" i="7"/>
  <c r="B4102" i="106" s="1"/>
  <c r="D4102" i="106"/>
  <c r="B18" i="7"/>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s="1"/>
  <c r="B1105" i="106"/>
  <c r="D1105" i="106" s="1"/>
  <c r="C33" i="29"/>
  <c r="D33" i="29"/>
  <c r="B778" i="106"/>
  <c r="D778" i="106" s="1"/>
  <c r="F33" i="29"/>
  <c r="B894" i="106" s="1"/>
  <c r="D894" i="106" s="1"/>
  <c r="G33" i="29"/>
  <c r="B952" i="106" s="1"/>
  <c r="D952" i="106" s="1"/>
  <c r="H33" i="29"/>
  <c r="B1010" i="106" s="1"/>
  <c r="D1010" i="106"/>
  <c r="I33" i="29"/>
  <c r="B6902" i="106"/>
  <c r="D6902" i="106" s="1"/>
  <c r="J33" i="29"/>
  <c r="B6903" i="106" s="1"/>
  <c r="D6903" i="106" s="1"/>
  <c r="L33" i="29"/>
  <c r="L42" i="29"/>
  <c r="B1117" i="106"/>
  <c r="D1117" i="106"/>
  <c r="C47" i="29"/>
  <c r="L47" i="29"/>
  <c r="C53" i="29"/>
  <c r="B734" i="106"/>
  <c r="D734" i="106" s="1"/>
  <c r="L53" i="29"/>
  <c r="L57" i="29"/>
  <c r="L65" i="29"/>
  <c r="L72" i="29"/>
  <c r="L84" i="29"/>
  <c r="L92" i="29"/>
  <c r="L100" i="29"/>
  <c r="L110" i="29"/>
  <c r="L112" i="29" s="1"/>
  <c r="L147" i="29"/>
  <c r="L168" i="29"/>
  <c r="L172" i="29"/>
  <c r="L174" i="29" s="1"/>
  <c r="L184" i="29"/>
  <c r="L194" i="29"/>
  <c r="L196" i="29" s="1"/>
  <c r="L204" i="29"/>
  <c r="L208" i="29" s="1"/>
  <c r="L229" i="29"/>
  <c r="L238" i="29"/>
  <c r="L243" i="29"/>
  <c r="L257" i="29"/>
  <c r="L261" i="29"/>
  <c r="L270" i="29"/>
  <c r="L277" i="29"/>
  <c r="L293" i="29"/>
  <c r="L303" i="29"/>
  <c r="L312" i="29" s="1"/>
  <c r="L310" i="29"/>
  <c r="L330" i="29"/>
  <c r="L340" i="29"/>
  <c r="L350" i="29"/>
  <c r="L352" i="29" s="1"/>
  <c r="L367" i="29" s="1"/>
  <c r="L362" i="29"/>
  <c r="L365" i="29"/>
  <c r="B5066" i="106"/>
  <c r="D5066" i="106"/>
  <c r="B5334" i="106"/>
  <c r="D5334" i="106"/>
  <c r="E12" i="5"/>
  <c r="F12" i="5"/>
  <c r="B5557" i="106" s="1"/>
  <c r="D5557" i="106" s="1"/>
  <c r="B5725" i="106"/>
  <c r="D5725" i="106" s="1"/>
  <c r="H12" i="5"/>
  <c r="B5873" i="106"/>
  <c r="D5873" i="106"/>
  <c r="B5918" i="106"/>
  <c r="D5918" i="106" s="1"/>
  <c r="J12" i="5"/>
  <c r="B6301" i="106" s="1"/>
  <c r="D6301" i="106" s="1"/>
  <c r="K12" i="5"/>
  <c r="B5987" i="106"/>
  <c r="D5987" i="106" s="1"/>
  <c r="B5071" i="106"/>
  <c r="D5071" i="106" s="1"/>
  <c r="B5339" i="106"/>
  <c r="D5339" i="106" s="1"/>
  <c r="E18" i="5"/>
  <c r="B5518" i="106" s="1"/>
  <c r="D5518" i="106"/>
  <c r="F18" i="5"/>
  <c r="B5562" i="106"/>
  <c r="D5562" i="106" s="1"/>
  <c r="B5730" i="106"/>
  <c r="D5730" i="106"/>
  <c r="H18" i="5"/>
  <c r="B5878" i="106" s="1"/>
  <c r="D5878" i="106" s="1"/>
  <c r="B5923" i="106"/>
  <c r="D5923" i="106"/>
  <c r="J18" i="5"/>
  <c r="B6306" i="106"/>
  <c r="D6306" i="106" s="1"/>
  <c r="K18" i="5"/>
  <c r="B5992" i="106" s="1"/>
  <c r="D5992" i="106" s="1"/>
  <c r="B5087" i="106"/>
  <c r="D5087" i="106" s="1"/>
  <c r="F63" i="5"/>
  <c r="B5579" i="106"/>
  <c r="D5579" i="106"/>
  <c r="B5090" i="106"/>
  <c r="D5090" i="106" s="1"/>
  <c r="B5342" i="106"/>
  <c r="D5342" i="106" s="1"/>
  <c r="E67" i="5"/>
  <c r="B5521" i="106" s="1"/>
  <c r="D5521" i="106" s="1"/>
  <c r="F67" i="5"/>
  <c r="B5582" i="106" s="1"/>
  <c r="D5582" i="106" s="1"/>
  <c r="B5733" i="106"/>
  <c r="D5733" i="106" s="1"/>
  <c r="H67" i="5"/>
  <c r="B5881" i="106" s="1"/>
  <c r="D5881" i="106" s="1"/>
  <c r="B5926" i="106"/>
  <c r="D5926" i="106" s="1"/>
  <c r="J67" i="5"/>
  <c r="B6318" i="106"/>
  <c r="D6318" i="106"/>
  <c r="K67" i="5"/>
  <c r="B5995" i="106" s="1"/>
  <c r="D5995" i="106"/>
  <c r="B5102" i="106"/>
  <c r="D5102" i="106" s="1"/>
  <c r="B5348" i="106"/>
  <c r="D5348" i="106"/>
  <c r="B5112" i="106"/>
  <c r="D5112" i="106"/>
  <c r="B5120" i="106"/>
  <c r="D5120" i="106"/>
  <c r="B5355" i="106"/>
  <c r="D5355" i="106" s="1"/>
  <c r="E108" i="5"/>
  <c r="B5526" i="106"/>
  <c r="D5526" i="106" s="1"/>
  <c r="F108" i="5"/>
  <c r="B5587" i="106" s="1"/>
  <c r="D5587" i="106" s="1"/>
  <c r="B5737" i="106"/>
  <c r="D5737" i="106" s="1"/>
  <c r="H108" i="5"/>
  <c r="B5886" i="106"/>
  <c r="D5886" i="106"/>
  <c r="B5930" i="106"/>
  <c r="D5930" i="106" s="1"/>
  <c r="J108" i="5"/>
  <c r="B6351" i="106" s="1"/>
  <c r="D6351" i="106" s="1"/>
  <c r="K108" i="5"/>
  <c r="B5999" i="106"/>
  <c r="D5999" i="106" s="1"/>
  <c r="B5125" i="106"/>
  <c r="D5125" i="106" s="1"/>
  <c r="B5360" i="106"/>
  <c r="D5360" i="106"/>
  <c r="F114" i="5"/>
  <c r="B5592" i="106" s="1"/>
  <c r="D5592" i="106"/>
  <c r="B5741" i="106"/>
  <c r="D5741" i="106" s="1"/>
  <c r="B5132" i="106"/>
  <c r="D5132" i="106"/>
  <c r="B5367" i="106"/>
  <c r="D5367" i="106"/>
  <c r="E121" i="5"/>
  <c r="B5534" i="106"/>
  <c r="D5534" i="106" s="1"/>
  <c r="F121" i="5"/>
  <c r="B5599" i="106" s="1"/>
  <c r="D5599" i="106" s="1"/>
  <c r="F131" i="5"/>
  <c r="F154" i="5"/>
  <c r="B5748" i="106"/>
  <c r="D5748" i="106"/>
  <c r="H121" i="5"/>
  <c r="B5893" i="106"/>
  <c r="D5893" i="106" s="1"/>
  <c r="J121" i="5"/>
  <c r="B6357" i="106" s="1"/>
  <c r="D6357" i="106" s="1"/>
  <c r="K121" i="5"/>
  <c r="B6006" i="106" s="1"/>
  <c r="D6006" i="106" s="1"/>
  <c r="B5147" i="106"/>
  <c r="D5147" i="106" s="1"/>
  <c r="B5369" i="106"/>
  <c r="D5369" i="106" s="1"/>
  <c r="B5161" i="106"/>
  <c r="D5161" i="106"/>
  <c r="B5383" i="106"/>
  <c r="D5383" i="106" s="1"/>
  <c r="B5752" i="106"/>
  <c r="D5752" i="106" s="1"/>
  <c r="B5756" i="106"/>
  <c r="D5756" i="106" s="1"/>
  <c r="B4357" i="106"/>
  <c r="D4357" i="106" s="1"/>
  <c r="B5165" i="106"/>
  <c r="D5165" i="106" s="1"/>
  <c r="B5178" i="106"/>
  <c r="D5178" i="106" s="1"/>
  <c r="B5394" i="106"/>
  <c r="D5394" i="106" s="1"/>
  <c r="E172" i="5"/>
  <c r="H172" i="5"/>
  <c r="B5899" i="106" s="1"/>
  <c r="D5899" i="106" s="1"/>
  <c r="B4363" i="106"/>
  <c r="D4363" i="106" s="1"/>
  <c r="J172" i="5"/>
  <c r="B6396" i="106" s="1"/>
  <c r="D6396" i="106" s="1"/>
  <c r="K172" i="5"/>
  <c r="B5000" i="106" s="1"/>
  <c r="D5000" i="106" s="1"/>
  <c r="B5225" i="106"/>
  <c r="D5225" i="106" s="1"/>
  <c r="B5423" i="106"/>
  <c r="D5423" i="106" s="1"/>
  <c r="E178" i="5"/>
  <c r="B4372" i="106"/>
  <c r="D4372" i="106" s="1"/>
  <c r="F178" i="5"/>
  <c r="B5655" i="106"/>
  <c r="D5655" i="106"/>
  <c r="B5780" i="106"/>
  <c r="D5780" i="106" s="1"/>
  <c r="H178" i="5"/>
  <c r="B4373" i="106"/>
  <c r="D4373" i="106"/>
  <c r="J178" i="5"/>
  <c r="B6400" i="106"/>
  <c r="D6400" i="106" s="1"/>
  <c r="K178" i="5"/>
  <c r="B5232" i="106"/>
  <c r="D5232" i="106" s="1"/>
  <c r="B5425" i="106"/>
  <c r="D5425" i="106"/>
  <c r="F184" i="5"/>
  <c r="B5658" i="106" s="1"/>
  <c r="D5658" i="106" s="1"/>
  <c r="B5784" i="106"/>
  <c r="D5784" i="106" s="1"/>
  <c r="H184" i="5"/>
  <c r="B5908" i="106" s="1"/>
  <c r="D5908" i="106" s="1"/>
  <c r="K184" i="5"/>
  <c r="B6016" i="106" s="1"/>
  <c r="D6016" i="106" s="1"/>
  <c r="B4396" i="106"/>
  <c r="D4396" i="106" s="1"/>
  <c r="F191" i="5"/>
  <c r="F128" i="34" s="1"/>
  <c r="B5246" i="106"/>
  <c r="D5246" i="106"/>
  <c r="B6409" i="106"/>
  <c r="D6409" i="106"/>
  <c r="B5444" i="106"/>
  <c r="D5444" i="106"/>
  <c r="F211" i="5"/>
  <c r="B5677" i="106"/>
  <c r="D5677" i="106" s="1"/>
  <c r="B5803" i="106"/>
  <c r="D5803" i="106" s="1"/>
  <c r="B4412" i="106"/>
  <c r="D4412" i="106" s="1"/>
  <c r="F216" i="5"/>
  <c r="B4414" i="106"/>
  <c r="D4414" i="106"/>
  <c r="B5470" i="106"/>
  <c r="D5470" i="106" s="1"/>
  <c r="F224" i="5"/>
  <c r="B5703" i="106"/>
  <c r="D5703" i="106" s="1"/>
  <c r="B5829" i="106"/>
  <c r="D5829" i="106" s="1"/>
  <c r="B5304" i="106"/>
  <c r="D5304" i="106"/>
  <c r="B5488" i="106"/>
  <c r="D5488" i="106" s="1"/>
  <c r="B5847" i="106"/>
  <c r="D5847" i="106" s="1"/>
  <c r="B6837" i="106"/>
  <c r="D6837" i="106" s="1"/>
  <c r="B6833" i="106"/>
  <c r="D6833" i="106"/>
  <c r="B6834" i="106"/>
  <c r="D6834" i="106" s="1"/>
  <c r="E259" i="5"/>
  <c r="E273" i="5" s="1"/>
  <c r="F259" i="5"/>
  <c r="B6836" i="106" s="1"/>
  <c r="D6836" i="106" s="1"/>
  <c r="H259" i="5"/>
  <c r="H273" i="5"/>
  <c r="J259" i="5"/>
  <c r="J273" i="5" s="1"/>
  <c r="K259" i="5"/>
  <c r="K273" i="5" s="1"/>
  <c r="B4442" i="106" s="1"/>
  <c r="D4442" i="106" s="1"/>
  <c r="B2609" i="106"/>
  <c r="D2609" i="106" s="1"/>
  <c r="B2570" i="106"/>
  <c r="D2570" i="106" s="1"/>
  <c r="F14" i="4"/>
  <c r="B2597" i="106"/>
  <c r="D2597" i="106" s="1"/>
  <c r="N22" i="3"/>
  <c r="B283" i="106"/>
  <c r="D283" i="106" s="1"/>
  <c r="D7" i="118"/>
  <c r="D8" i="118"/>
  <c r="D9" i="118"/>
  <c r="H14" i="118"/>
  <c r="H19" i="118"/>
  <c r="H24" i="118"/>
  <c r="H33" i="118"/>
  <c r="L22" i="37"/>
  <c r="L5" i="11"/>
  <c r="B2056" i="106"/>
  <c r="D2056" i="106" s="1"/>
  <c r="D7" i="7"/>
  <c r="B1763" i="106" s="1"/>
  <c r="D1763" i="106" s="1"/>
  <c r="D11" i="37"/>
  <c r="B1746" i="106"/>
  <c r="D1746" i="106" s="1"/>
  <c r="F136" i="34"/>
  <c r="D22" i="37"/>
  <c r="G352" i="29"/>
  <c r="G367" i="29" s="1"/>
  <c r="B3650" i="106" s="1"/>
  <c r="D3650" i="106" s="1"/>
  <c r="K184" i="29"/>
  <c r="F13" i="4"/>
  <c r="B2596" i="106" s="1"/>
  <c r="D2596" i="106" s="1"/>
  <c r="B7047" i="106"/>
  <c r="D7047" i="106"/>
  <c r="H112" i="29"/>
  <c r="B7018" i="106" s="1"/>
  <c r="D7018" i="106" s="1"/>
  <c r="J23" i="12"/>
  <c r="D12" i="7"/>
  <c r="B1769" i="106" s="1"/>
  <c r="D1769" i="106" s="1"/>
  <c r="J22" i="37"/>
  <c r="B3406" i="106"/>
  <c r="D3406" i="106"/>
  <c r="F50" i="34"/>
  <c r="F38" i="34"/>
  <c r="G35" i="108"/>
  <c r="B2724" i="106"/>
  <c r="D2724" i="106" s="1"/>
  <c r="H28" i="118"/>
  <c r="B1126" i="106"/>
  <c r="D1126" i="106" s="1"/>
  <c r="D11" i="7"/>
  <c r="B1768" i="106" s="1"/>
  <c r="D1768" i="106" s="1"/>
  <c r="E109" i="5"/>
  <c r="E4" i="4" s="1"/>
  <c r="B2630" i="106" s="1"/>
  <c r="D2630" i="106" s="1"/>
  <c r="B5356" i="106"/>
  <c r="D5356" i="106"/>
  <c r="E29" i="108"/>
  <c r="G29" i="108"/>
  <c r="C129" i="29"/>
  <c r="C151" i="29" s="1"/>
  <c r="B1226" i="106" s="1"/>
  <c r="D1226" i="106"/>
  <c r="K28" i="118"/>
  <c r="O27" i="118"/>
  <c r="O29" i="118" s="1"/>
  <c r="D9" i="7"/>
  <c r="B1767" i="106" s="1"/>
  <c r="D1767" i="106" s="1"/>
  <c r="B6024" i="106"/>
  <c r="D6024" i="106" s="1"/>
  <c r="F71" i="34"/>
  <c r="F31" i="108"/>
  <c r="D31" i="36"/>
  <c r="B7076" i="106"/>
  <c r="D7076" i="106" s="1"/>
  <c r="D17" i="7"/>
  <c r="B4104" i="106"/>
  <c r="D4104" i="106" s="1"/>
  <c r="H173" i="5"/>
  <c r="H6" i="4" s="1"/>
  <c r="B2656" i="106" s="1"/>
  <c r="F130" i="34"/>
  <c r="D5" i="7"/>
  <c r="B1761" i="106" s="1"/>
  <c r="D1761" i="106" s="1"/>
  <c r="B5513" i="106"/>
  <c r="D5513" i="106" s="1"/>
  <c r="L342" i="29"/>
  <c r="F45" i="34"/>
  <c r="D37" i="108"/>
  <c r="E43" i="108"/>
  <c r="F37" i="108"/>
  <c r="E28" i="108"/>
  <c r="B4268" i="106"/>
  <c r="D4268" i="106"/>
  <c r="K350" i="29"/>
  <c r="B3670" i="106" s="1"/>
  <c r="D3670" i="106" s="1"/>
  <c r="G15" i="145"/>
  <c r="K24" i="12"/>
  <c r="K26" i="12" s="1"/>
  <c r="B7743" i="106" s="1"/>
  <c r="D7743" i="106" s="1"/>
  <c r="F49" i="34"/>
  <c r="G38" i="108"/>
  <c r="G34" i="108"/>
  <c r="I210" i="29"/>
  <c r="B7071" i="106" s="1"/>
  <c r="D13" i="7"/>
  <c r="B3726" i="106" s="1"/>
  <c r="D3726" i="106"/>
  <c r="B2558" i="106"/>
  <c r="D2558" i="106"/>
  <c r="F106" i="34"/>
  <c r="F19" i="7"/>
  <c r="B1807" i="106" s="1"/>
  <c r="D1807" i="106" s="1"/>
  <c r="F34" i="34"/>
  <c r="E38" i="108"/>
  <c r="F28" i="108"/>
  <c r="F41" i="108"/>
  <c r="G43" i="108" s="1"/>
  <c r="D54" i="36"/>
  <c r="B3723" i="106"/>
  <c r="D3723" i="106" s="1"/>
  <c r="C342" i="29"/>
  <c r="B7216" i="106"/>
  <c r="D7216" i="106" s="1"/>
  <c r="F21" i="8"/>
  <c r="H22" i="37" s="1"/>
  <c r="B3689" i="106"/>
  <c r="D3689" i="106" s="1"/>
  <c r="B6238" i="106"/>
  <c r="D6238" i="106"/>
  <c r="J77" i="4"/>
  <c r="B6262" i="106" s="1"/>
  <c r="D6262" i="106" s="1"/>
  <c r="B4216" i="106"/>
  <c r="D4216" i="106" s="1"/>
  <c r="B5096" i="106"/>
  <c r="D5096" i="106" s="1"/>
  <c r="B6881" i="106"/>
  <c r="D6881" i="106"/>
  <c r="F41" i="34"/>
  <c r="B6853" i="106"/>
  <c r="D6853" i="106" s="1"/>
  <c r="F35" i="34"/>
  <c r="B3658" i="106"/>
  <c r="D3658" i="106"/>
  <c r="H365" i="29"/>
  <c r="B3565" i="106"/>
  <c r="D3565" i="106" s="1"/>
  <c r="K41" i="3"/>
  <c r="H44" i="4"/>
  <c r="B3296" i="106"/>
  <c r="D3296" i="106" s="1"/>
  <c r="B6289" i="106"/>
  <c r="D6289" i="106" s="1"/>
  <c r="H109" i="5"/>
  <c r="H4" i="4" s="1"/>
  <c r="F111" i="34"/>
  <c r="D24" i="37"/>
  <c r="B4270" i="106"/>
  <c r="D4270" i="106" s="1"/>
  <c r="B3409" i="106"/>
  <c r="D3409" i="106" s="1"/>
  <c r="F36" i="34"/>
  <c r="D69" i="36"/>
  <c r="I342" i="29"/>
  <c r="B7222" i="106" s="1"/>
  <c r="D7222" i="106"/>
  <c r="J210" i="29"/>
  <c r="B7072" i="106"/>
  <c r="D7072" i="106" s="1"/>
  <c r="B3619" i="106"/>
  <c r="D3619" i="106" s="1"/>
  <c r="C352" i="29"/>
  <c r="B3170" i="106"/>
  <c r="D3170" i="106"/>
  <c r="H76" i="4"/>
  <c r="B3298" i="106"/>
  <c r="D3298" i="106" s="1"/>
  <c r="B1995" i="106"/>
  <c r="D1995" i="106" s="1"/>
  <c r="I24" i="12"/>
  <c r="F77" i="4"/>
  <c r="B3255" i="106"/>
  <c r="D3255" i="106" s="1"/>
  <c r="L15" i="11"/>
  <c r="B3459" i="106" s="1"/>
  <c r="D3459" i="106"/>
  <c r="L13" i="11"/>
  <c r="B2060" i="106" s="1"/>
  <c r="D2060" i="106" s="1"/>
  <c r="G210" i="29"/>
  <c r="F65" i="34" s="1"/>
  <c r="D6103" i="106"/>
  <c r="K76" i="4"/>
  <c r="E174" i="29"/>
  <c r="B1309" i="106" s="1"/>
  <c r="D1309" i="106" s="1"/>
  <c r="B3649" i="106"/>
  <c r="D3649" i="106" s="1"/>
  <c r="B1410" i="106"/>
  <c r="D1410" i="106" s="1"/>
  <c r="B1329" i="106"/>
  <c r="D1329" i="106"/>
  <c r="F61" i="34"/>
  <c r="H295" i="29"/>
  <c r="B1454" i="106" s="1"/>
  <c r="D1454" i="106" s="1"/>
  <c r="B4156" i="106"/>
  <c r="D4156" i="106"/>
  <c r="H172" i="29"/>
  <c r="B1317" i="106" s="1"/>
  <c r="H174" i="29"/>
  <c r="B1318" i="106" s="1"/>
  <c r="D1318" i="106" s="1"/>
  <c r="B2823" i="106"/>
  <c r="D2823" i="106"/>
  <c r="J90" i="28"/>
  <c r="H352" i="29"/>
  <c r="B3724" i="106"/>
  <c r="D3724" i="106" s="1"/>
  <c r="K168" i="29"/>
  <c r="K172" i="29"/>
  <c r="K174" i="29" s="1"/>
  <c r="F10" i="34"/>
  <c r="E102" i="29"/>
  <c r="B2790" i="106"/>
  <c r="D2790" i="106" s="1"/>
  <c r="J342" i="29"/>
  <c r="B7223" i="106" s="1"/>
  <c r="D7223" i="106"/>
  <c r="G342" i="29"/>
  <c r="B7220" i="106"/>
  <c r="D7220" i="106" s="1"/>
  <c r="B2088" i="106"/>
  <c r="D2088" i="106" s="1"/>
  <c r="B79" i="36"/>
  <c r="B77" i="36"/>
  <c r="D18" i="7"/>
  <c r="B4105" i="106" s="1"/>
  <c r="D4105" i="106" s="1"/>
  <c r="F107" i="34"/>
  <c r="F109" i="5"/>
  <c r="B5588" i="106" s="1"/>
  <c r="J173" i="5"/>
  <c r="F95" i="34"/>
  <c r="F129" i="34"/>
  <c r="D14" i="7"/>
  <c r="B1770" i="106"/>
  <c r="D1770" i="106" s="1"/>
  <c r="N23" i="3"/>
  <c r="B284" i="106" s="1"/>
  <c r="D284" i="106"/>
  <c r="F5" i="4"/>
  <c r="B3408" i="106" s="1"/>
  <c r="D3408" i="106" s="1"/>
  <c r="B3405" i="106"/>
  <c r="D3405" i="106" s="1"/>
  <c r="B6840" i="106"/>
  <c r="D6840" i="106" s="1"/>
  <c r="B6839" i="106"/>
  <c r="D6839" i="106" s="1"/>
  <c r="B6838" i="106"/>
  <c r="D6838" i="106" s="1"/>
  <c r="B5412" i="106"/>
  <c r="D5412" i="106" s="1"/>
  <c r="B5618" i="106"/>
  <c r="D5618" i="106" s="1"/>
  <c r="K109" i="5"/>
  <c r="F48" i="34"/>
  <c r="F40" i="34"/>
  <c r="B7200" i="106"/>
  <c r="D7200" i="106" s="1"/>
  <c r="D342" i="29"/>
  <c r="B7217" i="106" s="1"/>
  <c r="D7217" i="106" s="1"/>
  <c r="B7144" i="106"/>
  <c r="D7144" i="106" s="1"/>
  <c r="K330" i="29"/>
  <c r="B6901" i="106"/>
  <c r="D6901" i="106" s="1"/>
  <c r="F51" i="34"/>
  <c r="B6885" i="106"/>
  <c r="D6885" i="106"/>
  <c r="F43" i="34"/>
  <c r="B7211" i="106"/>
  <c r="D7211" i="106" s="1"/>
  <c r="K340" i="29"/>
  <c r="B6893" i="106"/>
  <c r="D6893" i="106"/>
  <c r="F47" i="34"/>
  <c r="B6877" i="106"/>
  <c r="D6877" i="106"/>
  <c r="F39" i="34"/>
  <c r="B3703" i="106"/>
  <c r="D3703" i="106"/>
  <c r="K362" i="29"/>
  <c r="B3676" i="106"/>
  <c r="D3676" i="106" s="1"/>
  <c r="D352" i="29"/>
  <c r="D367" i="29"/>
  <c r="B3629" i="106" s="1"/>
  <c r="D3629" i="106" s="1"/>
  <c r="L41" i="3"/>
  <c r="B2917" i="106" s="1"/>
  <c r="D2917" i="106" s="1"/>
  <c r="K16" i="11"/>
  <c r="B2055" i="106" s="1"/>
  <c r="D2055" i="106" s="1"/>
  <c r="H312" i="29"/>
  <c r="B1554" i="106" s="1"/>
  <c r="D1554" i="106" s="1"/>
  <c r="E312" i="29"/>
  <c r="B1536" i="106" s="1"/>
  <c r="D1536" i="106"/>
  <c r="D312" i="29"/>
  <c r="B1530" i="106"/>
  <c r="D1530" i="106"/>
  <c r="B1512" i="106"/>
  <c r="D1512" i="106" s="1"/>
  <c r="B1352" i="106"/>
  <c r="D1352" i="106" s="1"/>
  <c r="E210" i="29"/>
  <c r="B1353" i="106" s="1"/>
  <c r="D1353" i="106" s="1"/>
  <c r="B1264" i="106"/>
  <c r="D1264" i="106" s="1"/>
  <c r="H129" i="29"/>
  <c r="B1266" i="106"/>
  <c r="D1266" i="106" s="1"/>
  <c r="B1239" i="106"/>
  <c r="D1239" i="106" s="1"/>
  <c r="E129" i="29"/>
  <c r="B1241" i="106" s="1"/>
  <c r="D1241" i="106" s="1"/>
  <c r="B1146" i="106"/>
  <c r="D1146" i="106" s="1"/>
  <c r="B122" i="106"/>
  <c r="D122" i="106"/>
  <c r="E17" i="145"/>
  <c r="G17" i="145" s="1"/>
  <c r="B1134" i="106"/>
  <c r="D1134" i="106"/>
  <c r="B7759" i="106"/>
  <c r="D7759" i="106" s="1"/>
  <c r="B1339" i="106"/>
  <c r="D1339" i="106" s="1"/>
  <c r="C210" i="29"/>
  <c r="B1340" i="106" s="1"/>
  <c r="D1340" i="106"/>
  <c r="B169" i="106"/>
  <c r="D169" i="106" s="1"/>
  <c r="E16" i="145"/>
  <c r="G16" i="145"/>
  <c r="B1131" i="106"/>
  <c r="D1131" i="106"/>
  <c r="L9" i="11"/>
  <c r="B7614" i="106" s="1"/>
  <c r="L10" i="11"/>
  <c r="B2058" i="106"/>
  <c r="D2058" i="106" s="1"/>
  <c r="D10" i="7"/>
  <c r="B1765" i="106" s="1"/>
  <c r="D1765" i="106" s="1"/>
  <c r="D16" i="7"/>
  <c r="B3447" i="106" s="1"/>
  <c r="D3447" i="106" s="1"/>
  <c r="B19" i="7"/>
  <c r="B1759" i="106" s="1"/>
  <c r="D1759" i="106" s="1"/>
  <c r="D8" i="7"/>
  <c r="B1764" i="106"/>
  <c r="D1764" i="106" s="1"/>
  <c r="B4435" i="106"/>
  <c r="D4435" i="106" s="1"/>
  <c r="B4444" i="106"/>
  <c r="D4444" i="106" s="1"/>
  <c r="F273" i="5"/>
  <c r="B5713" i="106" s="1"/>
  <c r="D5713" i="106"/>
  <c r="B4397" i="106"/>
  <c r="D4397" i="106" s="1"/>
  <c r="B4950" i="106"/>
  <c r="D4950" i="106"/>
  <c r="L210" i="29"/>
  <c r="L102" i="29"/>
  <c r="B1121" i="106"/>
  <c r="D1121" i="106"/>
  <c r="E12" i="145"/>
  <c r="B731" i="106"/>
  <c r="D731" i="106" s="1"/>
  <c r="C74" i="29"/>
  <c r="B755" i="106"/>
  <c r="D755" i="106" s="1"/>
  <c r="B1116" i="106"/>
  <c r="D1116" i="106"/>
  <c r="B7600" i="106"/>
  <c r="L6" i="11"/>
  <c r="B7605" i="106"/>
  <c r="A7250" i="106"/>
  <c r="D7249" i="106"/>
  <c r="F274" i="5"/>
  <c r="B6835" i="106"/>
  <c r="D6835" i="106" s="1"/>
  <c r="B4398" i="106"/>
  <c r="D4398" i="106"/>
  <c r="B5537" i="106"/>
  <c r="D5537" i="106" s="1"/>
  <c r="E173" i="5"/>
  <c r="E275" i="5" s="1"/>
  <c r="L279" i="29"/>
  <c r="L295" i="29"/>
  <c r="L74" i="29"/>
  <c r="B720" i="106"/>
  <c r="D720" i="106" s="1"/>
  <c r="B7618" i="106"/>
  <c r="L14" i="11"/>
  <c r="B7623" i="106"/>
  <c r="B7230" i="106"/>
  <c r="D7230" i="106"/>
  <c r="I352" i="29"/>
  <c r="I367" i="29" s="1"/>
  <c r="B7244"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B5501" i="106"/>
  <c r="D5501" i="106" s="1"/>
  <c r="D7248" i="106"/>
  <c r="D7247" i="106"/>
  <c r="D7246" i="106"/>
  <c r="J312" i="29"/>
  <c r="B7117" i="106" s="1"/>
  <c r="D7117" i="106" s="1"/>
  <c r="I312" i="29"/>
  <c r="B7116" i="106" s="1"/>
  <c r="D7116" i="106"/>
  <c r="J151" i="29"/>
  <c r="B7052" i="106"/>
  <c r="D7052" i="106" s="1"/>
  <c r="I151" i="29"/>
  <c r="F59" i="34" s="1"/>
  <c r="B6916" i="106"/>
  <c r="D6916" i="106" s="1"/>
  <c r="I74" i="29"/>
  <c r="B6977" i="106" s="1"/>
  <c r="D6977" i="106" s="1"/>
  <c r="I49" i="8"/>
  <c r="B3633" i="106"/>
  <c r="D3633" i="106"/>
  <c r="E352" i="29"/>
  <c r="E367" i="29" s="1"/>
  <c r="E44" i="4"/>
  <c r="B3235" i="106"/>
  <c r="D3235" i="106"/>
  <c r="B3238" i="106"/>
  <c r="D3238" i="106"/>
  <c r="B3229" i="106"/>
  <c r="D3229" i="106" s="1"/>
  <c r="B3232" i="106"/>
  <c r="D3232" i="106"/>
  <c r="B1977" i="106"/>
  <c r="D1977" i="106"/>
  <c r="H24" i="12"/>
  <c r="B1983" i="106" s="1"/>
  <c r="D1983" i="106" s="1"/>
  <c r="B1867" i="106"/>
  <c r="D1867" i="106" s="1"/>
  <c r="F15" i="8"/>
  <c r="K310" i="29"/>
  <c r="B4099" i="106"/>
  <c r="D4099" i="106" s="1"/>
  <c r="B1555" i="106"/>
  <c r="D1555" i="106" s="1"/>
  <c r="K303" i="29"/>
  <c r="H13" i="4" s="1"/>
  <c r="G312" i="29"/>
  <c r="B1548" i="106" s="1"/>
  <c r="D1548" i="106" s="1"/>
  <c r="F312" i="29"/>
  <c r="B1542" i="106" s="1"/>
  <c r="D1542" i="106" s="1"/>
  <c r="B1523" i="106"/>
  <c r="D1523" i="106"/>
  <c r="C312" i="29"/>
  <c r="B1524" i="106" s="1"/>
  <c r="D1524" i="106" s="1"/>
  <c r="B1508" i="106"/>
  <c r="D1508" i="106" s="1"/>
  <c r="B1491" i="106"/>
  <c r="D1491" i="106" s="1"/>
  <c r="B1485" i="106"/>
  <c r="D1485" i="106" s="1"/>
  <c r="B1475" i="106"/>
  <c r="D1475" i="106" s="1"/>
  <c r="K204" i="29"/>
  <c r="B4157" i="106" s="1"/>
  <c r="D4157" i="106" s="1"/>
  <c r="B2842" i="106"/>
  <c r="D2842" i="106"/>
  <c r="B1381" i="106"/>
  <c r="D1381" i="106" s="1"/>
  <c r="B1127" i="106"/>
  <c r="D1127" i="106" s="1"/>
  <c r="B1133" i="106"/>
  <c r="D1133" i="106"/>
  <c r="B1123" i="106"/>
  <c r="D1123" i="106"/>
  <c r="K365" i="29"/>
  <c r="B3640" i="106"/>
  <c r="D3640" i="106" s="1"/>
  <c r="F352" i="29"/>
  <c r="F367" i="29" s="1"/>
  <c r="B3643" i="106" s="1"/>
  <c r="D3643" i="106" s="1"/>
  <c r="H77" i="4"/>
  <c r="B3299" i="106" s="1"/>
  <c r="D3299" i="106"/>
  <c r="B3261" i="106"/>
  <c r="D3261" i="106" s="1"/>
  <c r="L12" i="11"/>
  <c r="B2059" i="106" s="1"/>
  <c r="D2059" i="106" s="1"/>
  <c r="L8" i="11"/>
  <c r="B2057" i="106" s="1"/>
  <c r="D2057" i="106" s="1"/>
  <c r="G24" i="12"/>
  <c r="B1492" i="106"/>
  <c r="D1492" i="106"/>
  <c r="B1488" i="106"/>
  <c r="D1488" i="106" s="1"/>
  <c r="B1417" i="106"/>
  <c r="D1417" i="106" s="1"/>
  <c r="D279" i="29"/>
  <c r="H196" i="29"/>
  <c r="B2828" i="106"/>
  <c r="D2828" i="106"/>
  <c r="B1328" i="106"/>
  <c r="D1328" i="106"/>
  <c r="B2986" i="106"/>
  <c r="D2986" i="106"/>
  <c r="B1256" i="106"/>
  <c r="D1256" i="106" s="1"/>
  <c r="G129" i="29"/>
  <c r="B7013" i="106"/>
  <c r="D7013" i="106" s="1"/>
  <c r="B1135" i="106"/>
  <c r="D1135" i="106"/>
  <c r="B1141" i="106"/>
  <c r="D1141" i="106" s="1"/>
  <c r="B1021" i="106"/>
  <c r="D1021" i="106" s="1"/>
  <c r="H74" i="29"/>
  <c r="B1045" i="106" s="1"/>
  <c r="D1045" i="106" s="1"/>
  <c r="B847" i="106"/>
  <c r="D847" i="106"/>
  <c r="E74" i="29"/>
  <c r="B871" i="106" s="1"/>
  <c r="D871" i="106" s="1"/>
  <c r="E39" i="108"/>
  <c r="B1144" i="106"/>
  <c r="D1144" i="106" s="1"/>
  <c r="K194" i="29"/>
  <c r="B1358" i="106"/>
  <c r="D1358" i="106" s="1"/>
  <c r="F210" i="29"/>
  <c r="B1359" i="106"/>
  <c r="D1359" i="106" s="1"/>
  <c r="B1345" i="106"/>
  <c r="D1345" i="106" s="1"/>
  <c r="D210" i="29"/>
  <c r="B1346" i="106"/>
  <c r="D1346" i="106" s="1"/>
  <c r="B1283" i="106"/>
  <c r="D1283" i="106"/>
  <c r="B1275" i="106"/>
  <c r="D1275" i="106"/>
  <c r="B1279" i="106"/>
  <c r="D1279" i="106" s="1"/>
  <c r="H151" i="29"/>
  <c r="B1273" i="106" s="1"/>
  <c r="D1273" i="106"/>
  <c r="B1247" i="106"/>
  <c r="D1247" i="106" s="1"/>
  <c r="F129" i="29"/>
  <c r="F151" i="29" s="1"/>
  <c r="B1250" i="106" s="1"/>
  <c r="D1250" i="106" s="1"/>
  <c r="B1231" i="106"/>
  <c r="D1231" i="106" s="1"/>
  <c r="D129" i="29"/>
  <c r="D151" i="29" s="1"/>
  <c r="B1234" i="106" s="1"/>
  <c r="D1234" i="106" s="1"/>
  <c r="B1109" i="106"/>
  <c r="D1109" i="106"/>
  <c r="H102" i="29"/>
  <c r="B1047" i="106" s="1"/>
  <c r="D1047" i="106" s="1"/>
  <c r="G74" i="29"/>
  <c r="B905" i="106"/>
  <c r="D905" i="106"/>
  <c r="F74" i="29"/>
  <c r="D74" i="29"/>
  <c r="D114" i="29" s="1"/>
  <c r="B815" i="106" s="1"/>
  <c r="B211" i="106"/>
  <c r="D211" i="106" s="1"/>
  <c r="B188" i="106"/>
  <c r="D188" i="106" s="1"/>
  <c r="B139" i="106"/>
  <c r="D139" i="106"/>
  <c r="L151" i="29"/>
  <c r="J24" i="12"/>
  <c r="B7732" i="106" s="1"/>
  <c r="D7732" i="106" s="1"/>
  <c r="B7730" i="106"/>
  <c r="D7730" i="106"/>
  <c r="B7270" i="106"/>
  <c r="F73" i="34"/>
  <c r="B6032" i="106"/>
  <c r="D6032" i="106"/>
  <c r="K352" i="29"/>
  <c r="K367" i="29" s="1"/>
  <c r="B1225" i="106"/>
  <c r="D1225" i="106" s="1"/>
  <c r="B5527" i="106"/>
  <c r="D5527" i="106" s="1"/>
  <c r="B2564" i="106"/>
  <c r="D2564" i="106"/>
  <c r="C114" i="29"/>
  <c r="B757" i="106"/>
  <c r="D757" i="106" s="1"/>
  <c r="D1317" i="106"/>
  <c r="L114" i="29"/>
  <c r="B2603" i="106"/>
  <c r="D2603" i="106" s="1"/>
  <c r="D7071" i="106"/>
  <c r="F66" i="34"/>
  <c r="B7733" i="106"/>
  <c r="D7733" i="106"/>
  <c r="B5906" i="106"/>
  <c r="D5906" i="106" s="1"/>
  <c r="D2656" i="106"/>
  <c r="B1879" i="106"/>
  <c r="D1879" i="106" s="1"/>
  <c r="B3628" i="106"/>
  <c r="D3628" i="106" s="1"/>
  <c r="B5011" i="106"/>
  <c r="D5011" i="106"/>
  <c r="B1365" i="106"/>
  <c r="D1365" i="106"/>
  <c r="B1996" i="106"/>
  <c r="D1996" i="106" s="1"/>
  <c r="I26" i="12"/>
  <c r="B7741" i="106"/>
  <c r="D7741" i="106" s="1"/>
  <c r="B3621" i="106"/>
  <c r="D3621" i="106" s="1"/>
  <c r="C367" i="29"/>
  <c r="B3622" i="106" s="1"/>
  <c r="D3622" i="106" s="1"/>
  <c r="B3568" i="106"/>
  <c r="D3568" i="106"/>
  <c r="D52" i="36"/>
  <c r="B5770" i="106"/>
  <c r="D5770" i="106" s="1"/>
  <c r="B6025" i="106"/>
  <c r="D6025" i="106"/>
  <c r="B7242" i="106"/>
  <c r="D7242" i="106" s="1"/>
  <c r="B5214" i="106"/>
  <c r="D5214" i="106" s="1"/>
  <c r="B7760" i="106"/>
  <c r="D7760" i="106" s="1"/>
  <c r="D24" i="36"/>
  <c r="B1515" i="106"/>
  <c r="D1515" i="106" s="1"/>
  <c r="B2611" i="106"/>
  <c r="D2611" i="106" s="1"/>
  <c r="B3318" i="106"/>
  <c r="D3318" i="106" s="1"/>
  <c r="B3674" i="106"/>
  <c r="D3674" i="106" s="1"/>
  <c r="B3573" i="106"/>
  <c r="D3573" i="106"/>
  <c r="K4" i="4"/>
  <c r="B3569" i="106" s="1"/>
  <c r="D3569" i="106" s="1"/>
  <c r="B6028" i="106"/>
  <c r="D6028" i="106" s="1"/>
  <c r="D5588" i="106"/>
  <c r="B1151" i="106"/>
  <c r="D1151" i="106" s="1"/>
  <c r="E151" i="29"/>
  <c r="B1242" i="106"/>
  <c r="D1242" i="106" s="1"/>
  <c r="D53" i="36"/>
  <c r="B7207" i="106"/>
  <c r="D7207" i="106"/>
  <c r="J13" i="4"/>
  <c r="B7042" i="106" s="1"/>
  <c r="D7042" i="106" s="1"/>
  <c r="B6397" i="106"/>
  <c r="D6397" i="106"/>
  <c r="J6" i="4"/>
  <c r="B6221" i="106"/>
  <c r="D6221" i="106" s="1"/>
  <c r="B5320" i="106"/>
  <c r="D5320" i="106"/>
  <c r="B929" i="106"/>
  <c r="D929" i="106" s="1"/>
  <c r="F114" i="29"/>
  <c r="B931" i="106" s="1"/>
  <c r="D931" i="106" s="1"/>
  <c r="B987" i="106"/>
  <c r="D987" i="106" s="1"/>
  <c r="G114" i="29"/>
  <c r="B1233" i="106"/>
  <c r="D1233" i="106" s="1"/>
  <c r="B7048" i="106"/>
  <c r="D7048" i="106"/>
  <c r="K196" i="29"/>
  <c r="B2837" i="106"/>
  <c r="D2837" i="106"/>
  <c r="G151" i="29"/>
  <c r="F58" i="34" s="1"/>
  <c r="B1258" i="106"/>
  <c r="D1258" i="106" s="1"/>
  <c r="B1331" i="106"/>
  <c r="D1331" i="106" s="1"/>
  <c r="E16" i="4"/>
  <c r="B1125" i="106"/>
  <c r="D1125" i="106" s="1"/>
  <c r="G24" i="108"/>
  <c r="E24" i="108"/>
  <c r="K312" i="29"/>
  <c r="B1560" i="106" s="1"/>
  <c r="D1560" i="106" s="1"/>
  <c r="B1559" i="106"/>
  <c r="D1559" i="106" s="1"/>
  <c r="B1875" i="106"/>
  <c r="D1875" i="106" s="1"/>
  <c r="F22" i="37"/>
  <c r="F24" i="37" s="1"/>
  <c r="H26" i="12"/>
  <c r="B7740" i="106" s="1"/>
  <c r="D7740" i="106" s="1"/>
  <c r="B3274" i="106"/>
  <c r="D3274" i="106"/>
  <c r="E77" i="4"/>
  <c r="B3277" i="106" s="1"/>
  <c r="D3277" i="106" s="1"/>
  <c r="I114" i="29"/>
  <c r="B7051" i="106"/>
  <c r="D7051" i="106"/>
  <c r="B6026" i="106"/>
  <c r="D6026" i="106"/>
  <c r="I275" i="5"/>
  <c r="B5946" i="106" s="1"/>
  <c r="D5946" i="106" s="1"/>
  <c r="B5863" i="106"/>
  <c r="D5863" i="106"/>
  <c r="B7747" i="106"/>
  <c r="D7747" i="106"/>
  <c r="E274" i="5"/>
  <c r="E7" i="4" s="1"/>
  <c r="B813" i="106"/>
  <c r="D813" i="106" s="1"/>
  <c r="D815" i="106"/>
  <c r="H114" i="29"/>
  <c r="B1054" i="106" s="1"/>
  <c r="D1054" i="106" s="1"/>
  <c r="F57" i="34"/>
  <c r="B2093" i="106"/>
  <c r="D2093" i="106" s="1"/>
  <c r="H210" i="29"/>
  <c r="B1376" i="106" s="1"/>
  <c r="D1376" i="106" s="1"/>
  <c r="B2830" i="106"/>
  <c r="D2830" i="106" s="1"/>
  <c r="B1958" i="106"/>
  <c r="D1958" i="106" s="1"/>
  <c r="G26" i="12"/>
  <c r="B7739" i="106" s="1"/>
  <c r="D7739" i="106" s="1"/>
  <c r="B3642" i="106"/>
  <c r="D3642" i="106" s="1"/>
  <c r="K16" i="4"/>
  <c r="B3574" i="106" s="1"/>
  <c r="D3574" i="106" s="1"/>
  <c r="B7243" i="106"/>
  <c r="D7243" i="106"/>
  <c r="B1481" i="106"/>
  <c r="D1481" i="106" s="1"/>
  <c r="B2102" i="106"/>
  <c r="D2102" i="106"/>
  <c r="H15" i="4"/>
  <c r="B2660" i="106" s="1"/>
  <c r="D2660" i="106" s="1"/>
  <c r="B3636" i="106"/>
  <c r="D3636" i="106"/>
  <c r="B3635" i="106"/>
  <c r="D3635" i="106" s="1"/>
  <c r="B4171" i="106"/>
  <c r="D4171" i="106"/>
  <c r="N36" i="3"/>
  <c r="H37" i="37" s="1"/>
  <c r="H32" i="118" s="1"/>
  <c r="J114" i="29"/>
  <c r="B7021" i="106"/>
  <c r="D7021" i="106" s="1"/>
  <c r="B6978" i="106"/>
  <c r="D6978" i="106" s="1"/>
  <c r="D7244" i="106"/>
  <c r="B7234" i="106"/>
  <c r="D7234" i="106" s="1"/>
  <c r="B5544" i="106"/>
  <c r="D5544" i="106"/>
  <c r="E6" i="4"/>
  <c r="B5719" i="106"/>
  <c r="D5719" i="106"/>
  <c r="F7" i="4"/>
  <c r="B2594" i="106" s="1"/>
  <c r="D2594" i="106" s="1"/>
  <c r="G22" i="108"/>
  <c r="B1119" i="106"/>
  <c r="D1119" i="106" s="1"/>
  <c r="E22" i="108"/>
  <c r="G12" i="145"/>
  <c r="G19" i="145"/>
  <c r="B5507" i="106"/>
  <c r="D5507" i="106" s="1"/>
  <c r="B7298" i="106"/>
  <c r="B7299" i="106"/>
  <c r="K13" i="4"/>
  <c r="B3672" i="106"/>
  <c r="D3672" i="106" s="1"/>
  <c r="B2655" i="106"/>
  <c r="D2655" i="106"/>
  <c r="B7019" i="106"/>
  <c r="D7019" i="106" s="1"/>
  <c r="B2560" i="106"/>
  <c r="D2560" i="106" s="1"/>
  <c r="B2631" i="106"/>
  <c r="D2631" i="106"/>
  <c r="B4434" i="106"/>
  <c r="D4434" i="106" s="1"/>
  <c r="B4443" i="106"/>
  <c r="D4443" i="106" s="1"/>
  <c r="K151" i="29"/>
  <c r="B1281" i="106"/>
  <c r="D1281" i="106"/>
  <c r="B2634" i="106"/>
  <c r="D2634" i="106" s="1"/>
  <c r="B1332" i="106"/>
  <c r="D1332" i="106" s="1"/>
  <c r="B989" i="106"/>
  <c r="D989" i="106" s="1"/>
  <c r="F54" i="34"/>
  <c r="B5326" i="106"/>
  <c r="D5326" i="106" s="1"/>
  <c r="N37" i="3"/>
  <c r="N41" i="3" s="1"/>
  <c r="B3678" i="106"/>
  <c r="D3678" i="106" s="1"/>
  <c r="B1282" i="106"/>
  <c r="D1282" i="106" s="1"/>
  <c r="B2571" i="106"/>
  <c r="D2571" i="106"/>
  <c r="B5869" i="106"/>
  <c r="D5869" i="106"/>
  <c r="B3225" i="106"/>
  <c r="D3225" i="106" s="1"/>
  <c r="F55" i="34"/>
  <c r="B1287" i="106"/>
  <c r="D1287" i="106"/>
  <c r="B2572" i="106"/>
  <c r="D2572" i="106"/>
  <c r="B2567" i="106"/>
  <c r="D2567" i="106"/>
  <c r="F9" i="34"/>
  <c r="B287" i="106"/>
  <c r="D287" i="106"/>
  <c r="B4997" i="106"/>
  <c r="D4997" i="106" s="1"/>
  <c r="K32" i="118"/>
  <c r="O31" i="118" s="1"/>
  <c r="O33" i="118" s="1"/>
  <c r="B2569" i="106"/>
  <c r="D2569" i="106"/>
  <c r="B1288" i="106"/>
  <c r="D1288" i="106" s="1"/>
  <c r="B3226" i="106"/>
  <c r="D3226" i="106"/>
  <c r="E8" i="146"/>
  <c r="E10" i="146"/>
  <c r="I10" i="4"/>
  <c r="B4128" i="106" s="1"/>
  <c r="D4128" i="106" s="1"/>
  <c r="B2605" i="106"/>
  <c r="D2605" i="106" s="1"/>
  <c r="B2554" i="106"/>
  <c r="D2554" i="106"/>
  <c r="B5552" i="106"/>
  <c r="D5552" i="106" s="1"/>
  <c r="K175" i="29"/>
  <c r="B1333" i="106"/>
  <c r="D1333" i="106" s="1"/>
  <c r="E8" i="4"/>
  <c r="B2632" i="106"/>
  <c r="D2632" i="106"/>
  <c r="B3227" i="106"/>
  <c r="D3227" i="106" s="1"/>
  <c r="B2" i="176" l="1"/>
  <c r="A2" i="170"/>
  <c r="B288" i="106"/>
  <c r="D288" i="106" s="1"/>
  <c r="D55" i="36"/>
  <c r="F63" i="34"/>
  <c r="F15" i="4"/>
  <c r="K210" i="29"/>
  <c r="B1382" i="106"/>
  <c r="D1382" i="106" s="1"/>
  <c r="E10" i="4"/>
  <c r="B4124" i="106" s="1"/>
  <c r="D4124" i="106" s="1"/>
  <c r="F17" i="11"/>
  <c r="B7020" i="106"/>
  <c r="D7020" i="106" s="1"/>
  <c r="B1249" i="106"/>
  <c r="D1249" i="106" s="1"/>
  <c r="D295" i="29"/>
  <c r="B1448" i="106" s="1"/>
  <c r="D1448" i="106" s="1"/>
  <c r="B1446" i="106"/>
  <c r="D1446" i="106" s="1"/>
  <c r="H17" i="4"/>
  <c r="B2659" i="106"/>
  <c r="D2659" i="106" s="1"/>
  <c r="B3572" i="106"/>
  <c r="D3572" i="106" s="1"/>
  <c r="K17" i="4"/>
  <c r="A7251" i="106"/>
  <c r="D7250" i="106"/>
  <c r="J274" i="5"/>
  <c r="B7041" i="106"/>
  <c r="D7041" i="106" s="1"/>
  <c r="E114" i="29"/>
  <c r="B873" i="106" s="1"/>
  <c r="D873" i="106" s="1"/>
  <c r="B4441" i="106"/>
  <c r="D4441" i="106" s="1"/>
  <c r="H274" i="5"/>
  <c r="L3" i="11"/>
  <c r="B7596" i="106" s="1"/>
  <c r="F16" i="11"/>
  <c r="B7591" i="106"/>
  <c r="K208" i="29"/>
  <c r="D4" i="7"/>
  <c r="F131" i="34"/>
  <c r="B4413" i="106"/>
  <c r="D4413" i="106" s="1"/>
  <c r="B7215" i="106"/>
  <c r="D7215" i="106" s="1"/>
  <c r="J16" i="4"/>
  <c r="F105" i="34"/>
  <c r="F172" i="5"/>
  <c r="B5614" i="106"/>
  <c r="D5614" i="106" s="1"/>
  <c r="J352" i="29"/>
  <c r="B7231" i="106"/>
  <c r="D7231" i="106" s="1"/>
  <c r="B285" i="106"/>
  <c r="D285" i="106" s="1"/>
  <c r="F4" i="4"/>
  <c r="E19" i="145"/>
  <c r="B3656" i="106"/>
  <c r="D3656" i="106" s="1"/>
  <c r="H367" i="29"/>
  <c r="B3660" i="106" s="1"/>
  <c r="D3660" i="106" s="1"/>
  <c r="K342" i="29"/>
  <c r="B3586" i="106"/>
  <c r="D3586" i="106" s="1"/>
  <c r="K77" i="4"/>
  <c r="B3587" i="106" s="1"/>
  <c r="D3587" i="106" s="1"/>
  <c r="J109" i="5"/>
  <c r="B1259" i="106"/>
  <c r="D1259" i="106" s="1"/>
  <c r="K173" i="5"/>
  <c r="B4951" i="106"/>
  <c r="D4951" i="106" s="1"/>
  <c r="K274" i="5"/>
  <c r="F127" i="34"/>
  <c r="K102" i="29"/>
  <c r="K33" i="29"/>
  <c r="D17" i="4"/>
  <c r="F60" i="34"/>
  <c r="E15" i="4"/>
  <c r="D173" i="5"/>
  <c r="J19" i="145"/>
  <c r="D82" i="36" s="1"/>
  <c r="A1" i="173"/>
  <c r="A1" i="171"/>
  <c r="B1" i="174"/>
  <c r="B1" i="179"/>
  <c r="B1" i="176"/>
  <c r="B1" i="177"/>
  <c r="A1" i="170"/>
  <c r="K42" i="29"/>
  <c r="C109" i="5"/>
  <c r="K34" i="182"/>
  <c r="D81" i="36" s="1"/>
  <c r="K53" i="29"/>
  <c r="C173" i="5"/>
  <c r="K270" i="29"/>
  <c r="B1500" i="106" s="1"/>
  <c r="D1500" i="106" s="1"/>
  <c r="G173" i="5"/>
  <c r="I77" i="4"/>
  <c r="B3319" i="106" s="1"/>
  <c r="D3319" i="106" s="1"/>
  <c r="B2" i="174"/>
  <c r="B2" i="179"/>
  <c r="B7780" i="106"/>
  <c r="D7780" i="106" s="1"/>
  <c r="B2" i="175"/>
  <c r="K229" i="29"/>
  <c r="J26" i="12"/>
  <c r="B7742" i="106" s="1"/>
  <c r="D7742" i="106" s="1"/>
  <c r="E141" i="181"/>
  <c r="G141" i="181"/>
  <c r="B7799" i="106" s="1"/>
  <c r="D7799" i="106" s="1"/>
  <c r="B7797" i="106"/>
  <c r="D7797" i="106" s="1"/>
  <c r="F141" i="181"/>
  <c r="B7798" i="106" s="1"/>
  <c r="D7798" i="106" s="1"/>
  <c r="G12" i="4"/>
  <c r="B1474" i="106"/>
  <c r="D1474" i="106" s="1"/>
  <c r="B3390" i="106"/>
  <c r="D3390" i="106" s="1"/>
  <c r="I78" i="4" l="1"/>
  <c r="G6" i="4"/>
  <c r="G275" i="5"/>
  <c r="B5870" i="106" s="1"/>
  <c r="D5870" i="106" s="1"/>
  <c r="B5778" i="106"/>
  <c r="D5778" i="106" s="1"/>
  <c r="B7235" i="106"/>
  <c r="D7235" i="106" s="1"/>
  <c r="J367" i="29"/>
  <c r="B7245" i="106" s="1"/>
  <c r="D7245" i="106" s="1"/>
  <c r="D19" i="7"/>
  <c r="B1775" i="106" s="1"/>
  <c r="D1775" i="106" s="1"/>
  <c r="B1760" i="106"/>
  <c r="D1760" i="106" s="1"/>
  <c r="H19" i="4"/>
  <c r="B4141" i="106" s="1"/>
  <c r="D4141" i="106" s="1"/>
  <c r="B2661" i="106"/>
  <c r="D2661" i="106" s="1"/>
  <c r="K279" i="29"/>
  <c r="K7" i="4"/>
  <c r="B3718" i="106" s="1"/>
  <c r="D3718" i="106" s="1"/>
  <c r="B6022" i="106"/>
  <c r="D6022" i="106" s="1"/>
  <c r="B7224" i="106"/>
  <c r="D7224" i="106" s="1"/>
  <c r="F13" i="34"/>
  <c r="B1387" i="106"/>
  <c r="D1387" i="106" s="1"/>
  <c r="F16" i="4"/>
  <c r="B2599" i="106" s="1"/>
  <c r="D2599" i="106" s="1"/>
  <c r="J7" i="4"/>
  <c r="B6222" i="106" s="1"/>
  <c r="D6222" i="106" s="1"/>
  <c r="B7054" i="106"/>
  <c r="D7054" i="106" s="1"/>
  <c r="G23" i="108"/>
  <c r="B1122" i="106"/>
  <c r="D1122" i="106" s="1"/>
  <c r="E23" i="108"/>
  <c r="B2633" i="106"/>
  <c r="D2633" i="106" s="1"/>
  <c r="E17" i="4"/>
  <c r="F178" i="34"/>
  <c r="B2031" i="106"/>
  <c r="D2031" i="106" s="1"/>
  <c r="L16" i="11"/>
  <c r="B2061" i="106" s="1"/>
  <c r="D2061" i="106" s="1"/>
  <c r="B2598" i="106"/>
  <c r="D2598" i="106" s="1"/>
  <c r="F17" i="4"/>
  <c r="C15" i="4"/>
  <c r="B2559" i="106" s="1"/>
  <c r="D2559" i="106" s="1"/>
  <c r="F53" i="34"/>
  <c r="F76" i="34" s="1"/>
  <c r="B1145" i="106"/>
  <c r="D1145" i="106" s="1"/>
  <c r="B6014" i="106"/>
  <c r="D6014" i="106" s="1"/>
  <c r="K6" i="4"/>
  <c r="K275" i="5"/>
  <c r="B6226" i="106"/>
  <c r="D6226" i="106" s="1"/>
  <c r="J17" i="4"/>
  <c r="A7252" i="106"/>
  <c r="D7251" i="106"/>
  <c r="C6" i="4"/>
  <c r="B2553" i="106" s="1"/>
  <c r="D2553" i="106" s="1"/>
  <c r="B5223" i="106"/>
  <c r="D5223" i="106" s="1"/>
  <c r="D6" i="4"/>
  <c r="D275" i="5"/>
  <c r="B5421" i="106"/>
  <c r="D5421" i="106" s="1"/>
  <c r="B5644" i="106"/>
  <c r="D5644" i="106" s="1"/>
  <c r="F173" i="5"/>
  <c r="B1388" i="106"/>
  <c r="D1388" i="106" s="1"/>
  <c r="F11" i="34"/>
  <c r="C4" i="4"/>
  <c r="B5121" i="106"/>
  <c r="D5121" i="106" s="1"/>
  <c r="C275" i="5"/>
  <c r="C9" i="146"/>
  <c r="B2573" i="106"/>
  <c r="D2573" i="106" s="1"/>
  <c r="D19" i="4"/>
  <c r="B4137" i="106" s="1"/>
  <c r="D4137" i="106" s="1"/>
  <c r="B2591" i="106"/>
  <c r="D2591" i="106" s="1"/>
  <c r="H7" i="4"/>
  <c r="H275" i="5"/>
  <c r="B5914" i="106"/>
  <c r="D5914" i="106" s="1"/>
  <c r="B3575" i="106"/>
  <c r="D3575" i="106" s="1"/>
  <c r="K19" i="4"/>
  <c r="B4144" i="106" s="1"/>
  <c r="D4144" i="106" s="1"/>
  <c r="I17" i="11"/>
  <c r="B7624" i="106"/>
  <c r="K74" i="29"/>
  <c r="E21" i="108"/>
  <c r="B1115" i="106"/>
  <c r="D1115" i="106" s="1"/>
  <c r="G21" i="108"/>
  <c r="C12" i="4"/>
  <c r="E19" i="108"/>
  <c r="K114" i="29"/>
  <c r="G19" i="108"/>
  <c r="B1108" i="106"/>
  <c r="D1108" i="106" s="1"/>
  <c r="J4" i="4"/>
  <c r="J275" i="5"/>
  <c r="B6352" i="106"/>
  <c r="D6352" i="106" s="1"/>
  <c r="J20" i="145"/>
  <c r="G40" i="108"/>
  <c r="G41" i="108" s="1"/>
  <c r="G44" i="108" s="1"/>
  <c r="G45" i="108" s="1"/>
  <c r="E40" i="108"/>
  <c r="E41" i="108" s="1"/>
  <c r="E44" i="108" s="1"/>
  <c r="E45" i="108" s="1"/>
  <c r="B2607" i="106"/>
  <c r="D2607" i="106" s="1"/>
  <c r="B5653" i="106" l="1"/>
  <c r="D5653" i="106" s="1"/>
  <c r="F6" i="4"/>
  <c r="F275" i="5"/>
  <c r="B2556" i="106"/>
  <c r="D2556" i="106" s="1"/>
  <c r="J19" i="4"/>
  <c r="B6229" i="106" s="1"/>
  <c r="D6229" i="106" s="1"/>
  <c r="B6227" i="106"/>
  <c r="D6227" i="106" s="1"/>
  <c r="B1152" i="106"/>
  <c r="D1152" i="106" s="1"/>
  <c r="F8" i="34"/>
  <c r="K115" i="29"/>
  <c r="B1153" i="106" s="1"/>
  <c r="D1153" i="106" s="1"/>
  <c r="B5327" i="106"/>
  <c r="D5327" i="106" s="1"/>
  <c r="B5508" i="106"/>
  <c r="D5508" i="106" s="1"/>
  <c r="K152" i="29"/>
  <c r="B1289" i="106" s="1"/>
  <c r="D1289" i="106" s="1"/>
  <c r="B2600" i="106"/>
  <c r="D2600" i="106" s="1"/>
  <c r="D9" i="146"/>
  <c r="F19" i="4"/>
  <c r="B4139" i="106" s="1"/>
  <c r="D4139" i="106" s="1"/>
  <c r="K313" i="29"/>
  <c r="B1561" i="106" s="1"/>
  <c r="D1561" i="106" s="1"/>
  <c r="B5915" i="106"/>
  <c r="D5915" i="106" s="1"/>
  <c r="B2566" i="106"/>
  <c r="D2566" i="106" s="1"/>
  <c r="D8" i="4"/>
  <c r="B6023" i="106"/>
  <c r="D6023" i="106" s="1"/>
  <c r="K368" i="29"/>
  <c r="B3681" i="106" s="1"/>
  <c r="D3681" i="106" s="1"/>
  <c r="B7625" i="106"/>
  <c r="I18" i="11"/>
  <c r="A7253" i="106"/>
  <c r="D7252" i="106"/>
  <c r="E19" i="4"/>
  <c r="B4138" i="106" s="1"/>
  <c r="D4138" i="106" s="1"/>
  <c r="B2635" i="106"/>
  <c r="D2635" i="106" s="1"/>
  <c r="E20" i="4"/>
  <c r="B2657" i="106"/>
  <c r="D2657" i="106" s="1"/>
  <c r="H8" i="4"/>
  <c r="D10" i="171"/>
  <c r="D19" i="171" s="1"/>
  <c r="D32" i="171" s="1"/>
  <c r="D49" i="171" s="1"/>
  <c r="C8" i="4"/>
  <c r="B2551" i="106"/>
  <c r="D2551" i="106" s="1"/>
  <c r="B3570" i="106"/>
  <c r="D3570" i="106" s="1"/>
  <c r="K8" i="4"/>
  <c r="G13" i="4"/>
  <c r="B1510" i="106"/>
  <c r="D1510" i="106" s="1"/>
  <c r="K295" i="29"/>
  <c r="C13" i="4"/>
  <c r="B2557" i="106" s="1"/>
  <c r="D2557" i="106" s="1"/>
  <c r="B1143" i="106"/>
  <c r="D1143" i="106" s="1"/>
  <c r="B2604" i="106"/>
  <c r="D2604" i="106" s="1"/>
  <c r="G8" i="4"/>
  <c r="K343" i="29"/>
  <c r="B7225" i="106" s="1"/>
  <c r="D7225" i="106" s="1"/>
  <c r="B7055" i="106"/>
  <c r="D7055" i="106" s="1"/>
  <c r="B6220" i="106"/>
  <c r="D6220" i="106" s="1"/>
  <c r="J8" i="4"/>
  <c r="I81" i="4"/>
  <c r="B3320" i="106"/>
  <c r="D3320" i="106" s="1"/>
  <c r="J20" i="4" l="1"/>
  <c r="B6223" i="106"/>
  <c r="D6223" i="106" s="1"/>
  <c r="J10" i="4"/>
  <c r="B6225" i="106" s="1"/>
  <c r="D6225" i="106" s="1"/>
  <c r="H20" i="4"/>
  <c r="B2658" i="106"/>
  <c r="D2658" i="106" s="1"/>
  <c r="H10" i="4"/>
  <c r="B4127" i="106" s="1"/>
  <c r="D4127" i="106" s="1"/>
  <c r="C17" i="4"/>
  <c r="B1517" i="106"/>
  <c r="D1517" i="106" s="1"/>
  <c r="F12" i="34"/>
  <c r="F14" i="34" s="1"/>
  <c r="F77" i="34" s="1"/>
  <c r="K296" i="29"/>
  <c r="B1518" i="106" s="1"/>
  <c r="D1518" i="106" s="1"/>
  <c r="B2608" i="106"/>
  <c r="D2608" i="106" s="1"/>
  <c r="G17" i="4"/>
  <c r="G10" i="4"/>
  <c r="B4126" i="106" s="1"/>
  <c r="D4126" i="106" s="1"/>
  <c r="B2606" i="106"/>
  <c r="D2606" i="106" s="1"/>
  <c r="K211" i="29"/>
  <c r="B1389" i="106" s="1"/>
  <c r="D1389" i="106" s="1"/>
  <c r="B5720" i="106"/>
  <c r="D5720" i="106" s="1"/>
  <c r="B7631" i="106"/>
  <c r="F180" i="34"/>
  <c r="E78" i="4"/>
  <c r="B2636" i="106"/>
  <c r="D2636" i="106" s="1"/>
  <c r="B2593" i="106"/>
  <c r="D2593" i="106" s="1"/>
  <c r="F8" i="4"/>
  <c r="B3571" i="106"/>
  <c r="D3571" i="106" s="1"/>
  <c r="K20" i="4"/>
  <c r="K10" i="4"/>
  <c r="B4130" i="106" s="1"/>
  <c r="D4130" i="106" s="1"/>
  <c r="D20" i="4"/>
  <c r="D10" i="4"/>
  <c r="B4123" i="106" s="1"/>
  <c r="D4123" i="106" s="1"/>
  <c r="C8" i="146"/>
  <c r="C10" i="146" s="1"/>
  <c r="B2568" i="106"/>
  <c r="D2568" i="106" s="1"/>
  <c r="I39" i="3"/>
  <c r="I82" i="4"/>
  <c r="B3323" i="106"/>
  <c r="D3323" i="106" s="1"/>
  <c r="E11" i="146"/>
  <c r="B2555" i="106"/>
  <c r="D2555" i="106" s="1"/>
  <c r="D16" i="37"/>
  <c r="H13" i="118"/>
  <c r="H18" i="118"/>
  <c r="C10" i="4"/>
  <c r="B4122" i="106" s="1"/>
  <c r="D4122" i="106" s="1"/>
  <c r="B8" i="146"/>
  <c r="D7253" i="106"/>
  <c r="A7254" i="106"/>
  <c r="B9" i="146" l="1"/>
  <c r="F9" i="146" s="1"/>
  <c r="C19" i="4"/>
  <c r="B4136" i="106" s="1"/>
  <c r="D4136" i="106" s="1"/>
  <c r="B2561" i="106"/>
  <c r="D2561" i="106" s="1"/>
  <c r="F16" i="37"/>
  <c r="H17" i="118"/>
  <c r="F10" i="4"/>
  <c r="B4125" i="106" s="1"/>
  <c r="D4125" i="106" s="1"/>
  <c r="B2595" i="106"/>
  <c r="D2595" i="106" s="1"/>
  <c r="D8" i="146"/>
  <c r="D10" i="146" s="1"/>
  <c r="F20" i="4"/>
  <c r="G19" i="4"/>
  <c r="B4140" i="106" s="1"/>
  <c r="D4140" i="106" s="1"/>
  <c r="B2612" i="106"/>
  <c r="D2612" i="106" s="1"/>
  <c r="G20" i="4"/>
  <c r="H78" i="4"/>
  <c r="B2662" i="106"/>
  <c r="D2662" i="106" s="1"/>
  <c r="H16" i="37"/>
  <c r="C20" i="4"/>
  <c r="D78" i="4"/>
  <c r="B2574" i="106"/>
  <c r="D2574" i="106" s="1"/>
  <c r="B3278" i="106"/>
  <c r="D3278" i="106" s="1"/>
  <c r="E81" i="4"/>
  <c r="I83" i="4"/>
  <c r="B6282" i="106" s="1"/>
  <c r="D6282" i="106" s="1"/>
  <c r="B6273" i="106"/>
  <c r="D6273" i="106" s="1"/>
  <c r="B2912" i="106"/>
  <c r="D2912" i="106" s="1"/>
  <c r="I41" i="3"/>
  <c r="D63" i="36"/>
  <c r="A7255" i="106"/>
  <c r="D7254" i="106"/>
  <c r="B10" i="146"/>
  <c r="K78" i="4"/>
  <c r="B3576" i="106"/>
  <c r="D3576" i="106" s="1"/>
  <c r="F179" i="34"/>
  <c r="F181" i="34" s="1"/>
  <c r="F183" i="34" s="1"/>
  <c r="F79" i="34"/>
  <c r="B6230" i="106"/>
  <c r="D6230" i="106" s="1"/>
  <c r="J78" i="4"/>
  <c r="B3300" i="106" l="1"/>
  <c r="D3300" i="106" s="1"/>
  <c r="H81" i="4"/>
  <c r="J81" i="4"/>
  <c r="B6263" i="106"/>
  <c r="D6263" i="106" s="1"/>
  <c r="B2613" i="106"/>
  <c r="D2613" i="106" s="1"/>
  <c r="G78" i="4"/>
  <c r="A7256" i="106"/>
  <c r="D7255" i="106"/>
  <c r="B2913" i="106"/>
  <c r="D2913" i="106" s="1"/>
  <c r="D50" i="36"/>
  <c r="C78" i="4"/>
  <c r="B2562" i="106"/>
  <c r="D2562" i="106" s="1"/>
  <c r="B3588" i="106"/>
  <c r="D3588" i="106" s="1"/>
  <c r="K81" i="4"/>
  <c r="H25" i="118"/>
  <c r="K24" i="118" s="1"/>
  <c r="O23" i="118" s="1"/>
  <c r="O25" i="118" s="1"/>
  <c r="K17" i="118"/>
  <c r="F8" i="146"/>
  <c r="F10" i="146" s="1"/>
  <c r="E38" i="3"/>
  <c r="E82" i="4"/>
  <c r="B1658" i="106"/>
  <c r="D1658" i="106" s="1"/>
  <c r="D81" i="4"/>
  <c r="B3239" i="106"/>
  <c r="D3239" i="106" s="1"/>
  <c r="F78" i="4"/>
  <c r="B2601" i="106"/>
  <c r="D2601" i="106" s="1"/>
  <c r="O16" i="118" l="1"/>
  <c r="K20" i="118"/>
  <c r="J20" i="118"/>
  <c r="O17" i="118" s="1"/>
  <c r="O20" i="118" s="1"/>
  <c r="B3591" i="106"/>
  <c r="D3591" i="106" s="1"/>
  <c r="K82" i="4"/>
  <c r="D65" i="36"/>
  <c r="B3262" i="106"/>
  <c r="D3262" i="106" s="1"/>
  <c r="G81" i="4"/>
  <c r="A7257" i="106"/>
  <c r="D7256" i="106"/>
  <c r="B6269" i="106"/>
  <c r="D6269" i="106" s="1"/>
  <c r="E83" i="4"/>
  <c r="B6278" i="106" s="1"/>
  <c r="D6278" i="106" s="1"/>
  <c r="C81" i="4"/>
  <c r="B3233" i="106"/>
  <c r="D3233" i="106" s="1"/>
  <c r="B6266" i="106"/>
  <c r="D6266" i="106" s="1"/>
  <c r="J38" i="3"/>
  <c r="J82" i="4"/>
  <c r="H38" i="3"/>
  <c r="H82" i="4"/>
  <c r="B1700" i="106"/>
  <c r="D1700" i="106" s="1"/>
  <c r="B3256" i="106"/>
  <c r="D3256" i="106" s="1"/>
  <c r="F81" i="4"/>
  <c r="D39" i="3"/>
  <c r="C11" i="146"/>
  <c r="B1644" i="106"/>
  <c r="D1644" i="106" s="1"/>
  <c r="D82" i="4"/>
  <c r="B2504" i="106"/>
  <c r="D2504" i="106" s="1"/>
  <c r="E41" i="3"/>
  <c r="D59" i="36"/>
  <c r="J41" i="3" l="1"/>
  <c r="B6214" i="106"/>
  <c r="D6214" i="106" s="1"/>
  <c r="D64" i="36"/>
  <c r="G38" i="3"/>
  <c r="B1686" i="106"/>
  <c r="D1686" i="106" s="1"/>
  <c r="G82" i="4"/>
  <c r="B123" i="106"/>
  <c r="D123" i="106" s="1"/>
  <c r="D41" i="3"/>
  <c r="D58" i="36"/>
  <c r="C39" i="3"/>
  <c r="B11" i="146"/>
  <c r="C82" i="4"/>
  <c r="B1630" i="106"/>
  <c r="D1630" i="106" s="1"/>
  <c r="J16" i="37"/>
  <c r="B4269" i="106" s="1"/>
  <c r="D4269" i="106" s="1"/>
  <c r="H12" i="118"/>
  <c r="K12" i="118" s="1"/>
  <c r="O11" i="118" s="1"/>
  <c r="O13" i="118" s="1"/>
  <c r="O35" i="118" s="1"/>
  <c r="O37" i="118" s="1"/>
  <c r="B6275" i="106"/>
  <c r="D6275" i="106" s="1"/>
  <c r="K83" i="4"/>
  <c r="B6284" i="106" s="1"/>
  <c r="D6284" i="106" s="1"/>
  <c r="B141" i="106"/>
  <c r="D141" i="106" s="1"/>
  <c r="D46" i="36"/>
  <c r="B1672" i="106"/>
  <c r="D1672" i="106" s="1"/>
  <c r="F82" i="4"/>
  <c r="D11" i="146"/>
  <c r="F38" i="3"/>
  <c r="H83" i="4"/>
  <c r="B6281" i="106" s="1"/>
  <c r="D6281" i="106" s="1"/>
  <c r="B6272" i="106"/>
  <c r="D6272" i="106" s="1"/>
  <c r="B6268" i="106"/>
  <c r="D6268" i="106" s="1"/>
  <c r="D83" i="4"/>
  <c r="B6277" i="106" s="1"/>
  <c r="D6277" i="106" s="1"/>
  <c r="D62" i="36"/>
  <c r="B2535" i="106"/>
  <c r="D2535" i="106" s="1"/>
  <c r="H41" i="3"/>
  <c r="B6274" i="106"/>
  <c r="D6274" i="106" s="1"/>
  <c r="J83" i="4"/>
  <c r="B6283" i="106" s="1"/>
  <c r="D6283" i="106" s="1"/>
  <c r="A7258" i="106"/>
  <c r="D7257" i="106"/>
  <c r="B124" i="106" l="1"/>
  <c r="D124" i="106" s="1"/>
  <c r="D45" i="36"/>
  <c r="F41" i="3"/>
  <c r="B2475" i="106"/>
  <c r="D2475" i="106" s="1"/>
  <c r="D60" i="36"/>
  <c r="D75" i="36"/>
  <c r="B213" i="106"/>
  <c r="D213" i="106" s="1"/>
  <c r="D49" i="36"/>
  <c r="G83" i="4"/>
  <c r="B6280" i="106" s="1"/>
  <c r="D6280" i="106" s="1"/>
  <c r="B6271" i="106"/>
  <c r="D6271" i="106" s="1"/>
  <c r="B6270" i="106"/>
  <c r="D6270" i="106" s="1"/>
  <c r="F83" i="4"/>
  <c r="B6279" i="106" s="1"/>
  <c r="D6279" i="106" s="1"/>
  <c r="C83" i="4"/>
  <c r="B6276" i="106" s="1"/>
  <c r="D6276" i="106" s="1"/>
  <c r="B6267" i="106"/>
  <c r="D6267" i="106" s="1"/>
  <c r="D61" i="36"/>
  <c r="G41" i="3"/>
  <c r="B2477" i="106"/>
  <c r="D2477" i="106" s="1"/>
  <c r="F11" i="146"/>
  <c r="B92" i="106"/>
  <c r="D92" i="106" s="1"/>
  <c r="D76" i="36"/>
  <c r="D57" i="36"/>
  <c r="C41" i="3"/>
  <c r="A7259" i="106"/>
  <c r="D7258" i="106"/>
  <c r="D51" i="36"/>
  <c r="B6216" i="106"/>
  <c r="D6216" i="106" s="1"/>
  <c r="B93" i="106" l="1"/>
  <c r="D93" i="106" s="1"/>
  <c r="D44" i="36"/>
  <c r="B190" i="106"/>
  <c r="D190" i="106" s="1"/>
  <c r="D48" i="36"/>
  <c r="D47" i="36"/>
  <c r="B171" i="106"/>
  <c r="D171" i="106" s="1"/>
  <c r="C12" i="146"/>
  <c r="D29" i="36"/>
  <c r="J24" i="24" s="1"/>
  <c r="A7260" i="106"/>
  <c r="D7259" i="106"/>
  <c r="A7261" i="106" l="1"/>
  <c r="D7260" i="106"/>
  <c r="A7262" i="106" l="1"/>
  <c r="D7261" i="106"/>
  <c r="A7263" i="106" l="1"/>
  <c r="D7262" i="106"/>
  <c r="D7263" i="106" l="1"/>
  <c r="A7264" i="106"/>
  <c r="A7265" i="106" l="1"/>
  <c r="D7264" i="106"/>
  <c r="D7265" i="106" l="1"/>
  <c r="A7266" i="106"/>
  <c r="A7267" i="106" l="1"/>
  <c r="D7266" i="106"/>
  <c r="A7268" i="106" l="1"/>
  <c r="D7267" i="106"/>
  <c r="A7269" i="106" l="1"/>
  <c r="D7268" i="106"/>
  <c r="A7270" i="106" l="1"/>
  <c r="D7269" i="106"/>
  <c r="A7271" i="106" l="1"/>
  <c r="D7270" i="106"/>
  <c r="A7272" i="106" l="1"/>
  <c r="D7271" i="106"/>
  <c r="A7273" i="106" l="1"/>
  <c r="D7272" i="106"/>
  <c r="D7273" i="106" l="1"/>
  <c r="A7274" i="106"/>
  <c r="D7274" i="106" l="1"/>
  <c r="A7275" i="106"/>
  <c r="A7276" i="106" l="1"/>
  <c r="D7275" i="106"/>
  <c r="A7277" i="106" l="1"/>
  <c r="D7276" i="106"/>
  <c r="D7277" i="106" l="1"/>
  <c r="A7278" i="106"/>
  <c r="D7278" i="106" l="1"/>
  <c r="A7279" i="106"/>
  <c r="A7280" i="106" l="1"/>
  <c r="D7279" i="106"/>
  <c r="A7281" i="106" l="1"/>
  <c r="D7280" i="106"/>
  <c r="A7282" i="106" l="1"/>
  <c r="D7281" i="106"/>
  <c r="A7283" i="106" l="1"/>
  <c r="D7282" i="106"/>
  <c r="D7283" i="106" l="1"/>
  <c r="A7284" i="106"/>
  <c r="A7285" i="106" l="1"/>
  <c r="D7284" i="106"/>
  <c r="A7286" i="106" l="1"/>
  <c r="D7285" i="106"/>
  <c r="D7286" i="106" l="1"/>
  <c r="A7287" i="106"/>
  <c r="A7288" i="106" l="1"/>
  <c r="D7287" i="106"/>
  <c r="A7289" i="106" l="1"/>
  <c r="D7288" i="106"/>
  <c r="A7290" i="106" l="1"/>
  <c r="D7289" i="106"/>
  <c r="A7291" i="106" l="1"/>
  <c r="D7290" i="106"/>
  <c r="A7292" i="106" l="1"/>
  <c r="D7291" i="106"/>
  <c r="A7293" i="106" l="1"/>
  <c r="D7292" i="106"/>
  <c r="A7294" i="106" l="1"/>
  <c r="D7293" i="106"/>
  <c r="A7295" i="106" l="1"/>
  <c r="D7294" i="106"/>
  <c r="D7295" i="106" l="1"/>
  <c r="A7296" i="106"/>
  <c r="A7297" i="106" l="1"/>
  <c r="D7296" i="106"/>
  <c r="D7297" i="106" l="1"/>
  <c r="A7298" i="106"/>
  <c r="A7299" i="106" l="1"/>
  <c r="D7298" i="106"/>
  <c r="A7300" i="106" l="1"/>
  <c r="D7299" i="106"/>
  <c r="A7301" i="106" l="1"/>
  <c r="D7300" i="106"/>
  <c r="A7302" i="106" l="1"/>
  <c r="D7301" i="106"/>
  <c r="A7303" i="106" l="1"/>
  <c r="D7302" i="106"/>
  <c r="A7304" i="106" l="1"/>
  <c r="D7303" i="106"/>
  <c r="A7305" i="106" l="1"/>
  <c r="D7304" i="106"/>
  <c r="A7306" i="106" l="1"/>
  <c r="D7305" i="106"/>
  <c r="D7306" i="106" l="1"/>
  <c r="A7307" i="106"/>
  <c r="A7308" i="106" l="1"/>
  <c r="D7307" i="106"/>
  <c r="A7309" i="106" l="1"/>
  <c r="D7308" i="106"/>
  <c r="D7309" i="106" l="1"/>
  <c r="A7310" i="106"/>
  <c r="A7311" i="106" l="1"/>
  <c r="D7310" i="106"/>
  <c r="A7312" i="106" l="1"/>
  <c r="D7311" i="106"/>
  <c r="A7313" i="106" l="1"/>
  <c r="D7312" i="106"/>
  <c r="A7314" i="106" l="1"/>
  <c r="D7313" i="106"/>
  <c r="A7315" i="106" l="1"/>
  <c r="D7314" i="106"/>
  <c r="D7315" i="106" l="1"/>
  <c r="A7316" i="106"/>
  <c r="A7317" i="106" l="1"/>
  <c r="D7316" i="106"/>
  <c r="A7318" i="106" l="1"/>
  <c r="D7317" i="106"/>
  <c r="D7318" i="106" l="1"/>
  <c r="A7319" i="106"/>
  <c r="A7320" i="106" l="1"/>
  <c r="D7319" i="106"/>
  <c r="A7321" i="106" l="1"/>
  <c r="D7320" i="106"/>
  <c r="A7322" i="106" l="1"/>
  <c r="D7321" i="106"/>
  <c r="A7323" i="106" l="1"/>
  <c r="D7322" i="106"/>
  <c r="A7324" i="106" l="1"/>
  <c r="D7323" i="106"/>
  <c r="A7325" i="106" l="1"/>
  <c r="D7324" i="106"/>
  <c r="A7326" i="106" l="1"/>
  <c r="D7325" i="106"/>
  <c r="A7327" i="106" l="1"/>
  <c r="D7326" i="106"/>
  <c r="D7327" i="106" l="1"/>
  <c r="A7328" i="106"/>
  <c r="A7329" i="106" l="1"/>
  <c r="D7328" i="106"/>
  <c r="D7329" i="106" l="1"/>
  <c r="A7330" i="106"/>
  <c r="A7331" i="106" l="1"/>
  <c r="D7330" i="106"/>
  <c r="A7332" i="106" l="1"/>
  <c r="D7331" i="106"/>
  <c r="A7333" i="106" l="1"/>
  <c r="D7332" i="106"/>
  <c r="A7334" i="106" l="1"/>
  <c r="D7333" i="106"/>
  <c r="A7335" i="106" l="1"/>
  <c r="D7334" i="106"/>
  <c r="A7336" i="106" l="1"/>
  <c r="D7335" i="106"/>
  <c r="A7337" i="106" l="1"/>
  <c r="D7336" i="106"/>
  <c r="A7338" i="106" l="1"/>
  <c r="D7337" i="106"/>
  <c r="D7338" i="106" l="1"/>
  <c r="A7339" i="106"/>
  <c r="A7340" i="106" l="1"/>
  <c r="D7339" i="106"/>
  <c r="A7341" i="106" l="1"/>
  <c r="D7340" i="106"/>
  <c r="D7341" i="106" l="1"/>
  <c r="A7342" i="106"/>
  <c r="A7343" i="106" l="1"/>
  <c r="D7342" i="106"/>
  <c r="A7344" i="106" l="1"/>
  <c r="D7343" i="106"/>
  <c r="A7345" i="106" l="1"/>
  <c r="D7344" i="106"/>
  <c r="A7346" i="106" l="1"/>
  <c r="D7345" i="106"/>
  <c r="A7347" i="106" l="1"/>
  <c r="D7346" i="106"/>
  <c r="D7347" i="106" l="1"/>
  <c r="A7348" i="106"/>
  <c r="A7349" i="106" l="1"/>
  <c r="D7348" i="106"/>
  <c r="A7350" i="106" l="1"/>
  <c r="D7349" i="106"/>
  <c r="D7350" i="106" l="1"/>
  <c r="A7351" i="106"/>
  <c r="A7352" i="106" l="1"/>
  <c r="D7351" i="106"/>
  <c r="A7353" i="106" l="1"/>
  <c r="D7352" i="106"/>
  <c r="A7354" i="106" l="1"/>
  <c r="D7353" i="106"/>
  <c r="D7354" i="106" l="1"/>
  <c r="A7355" i="106"/>
  <c r="A7356" i="106" l="1"/>
  <c r="D7355" i="106"/>
  <c r="A7357" i="106" l="1"/>
  <c r="D7356" i="106"/>
  <c r="A7358" i="106" l="1"/>
  <c r="D7357" i="106"/>
  <c r="D7358" i="106" l="1"/>
  <c r="A7359" i="106"/>
  <c r="D7359" i="106" l="1"/>
  <c r="A7360" i="106"/>
  <c r="D7360" i="106" l="1"/>
  <c r="A7361" i="106"/>
  <c r="A7362" i="106" l="1"/>
  <c r="D7361" i="106"/>
  <c r="A7363" i="106" l="1"/>
  <c r="D7362" i="106"/>
  <c r="D7363" i="106" l="1"/>
  <c r="A7364" i="106"/>
  <c r="A7365" i="106" l="1"/>
  <c r="D7364" i="106"/>
  <c r="A7366" i="106" l="1"/>
  <c r="D7365" i="106"/>
  <c r="D7366" i="106" l="1"/>
  <c r="A7367" i="106"/>
  <c r="D7367" i="106" l="1"/>
  <c r="A7368" i="106"/>
  <c r="A7369" i="106" l="1"/>
  <c r="D7368" i="106"/>
  <c r="A7370" i="106" l="1"/>
  <c r="D7369" i="106"/>
  <c r="A7371" i="106" l="1"/>
  <c r="D7370" i="106"/>
  <c r="D7371" i="106" l="1"/>
  <c r="A7372" i="106"/>
  <c r="A7373" i="106" l="1"/>
  <c r="D7372" i="106"/>
  <c r="A7374" i="106" l="1"/>
  <c r="D7373" i="106"/>
  <c r="A7375" i="106" l="1"/>
  <c r="D7374" i="106"/>
  <c r="D7375" i="106" l="1"/>
  <c r="A7376" i="106"/>
  <c r="A7377" i="106" l="1"/>
  <c r="D7376" i="106"/>
  <c r="A7378" i="106" l="1"/>
  <c r="D7377" i="106"/>
  <c r="A7379" i="106" l="1"/>
  <c r="D7378" i="106"/>
  <c r="D7379" i="106" l="1"/>
  <c r="A7380" i="106"/>
  <c r="A7381" i="106" l="1"/>
  <c r="D7380" i="106"/>
  <c r="A7382" i="106" l="1"/>
  <c r="D7381" i="106"/>
  <c r="D7382" i="106" l="1"/>
  <c r="A7383" i="106"/>
  <c r="D7383" i="106" l="1"/>
  <c r="A7384" i="106"/>
  <c r="D7384" i="106" l="1"/>
  <c r="A7385" i="106"/>
  <c r="A7386" i="106" l="1"/>
  <c r="D7385" i="106"/>
  <c r="A7387" i="106" l="1"/>
  <c r="D7386" i="106"/>
  <c r="D7387" i="106" l="1"/>
  <c r="A7388" i="106"/>
  <c r="A7389" i="106" l="1"/>
  <c r="D7388" i="106"/>
  <c r="A7390" i="106" l="1"/>
  <c r="D7389" i="106"/>
  <c r="A7391" i="106" l="1"/>
  <c r="D7390" i="106"/>
  <c r="D7391" i="106" l="1"/>
  <c r="A7392" i="106"/>
  <c r="A7393" i="106" l="1"/>
  <c r="D7392" i="106"/>
  <c r="A7394" i="106" l="1"/>
  <c r="D7393" i="106"/>
  <c r="A7395" i="106" l="1"/>
  <c r="D7394" i="106"/>
  <c r="D7395" i="106" l="1"/>
  <c r="A7396" i="106"/>
  <c r="A7397" i="106" l="1"/>
  <c r="D7396" i="106"/>
  <c r="A7398" i="106" l="1"/>
  <c r="D7397" i="106"/>
  <c r="D7398" i="106" l="1"/>
  <c r="A7399" i="106"/>
  <c r="D7399" i="106" l="1"/>
  <c r="A7400" i="106"/>
  <c r="A7401" i="106" l="1"/>
  <c r="D7400" i="106"/>
  <c r="A7402" i="106" l="1"/>
  <c r="D7401" i="106"/>
  <c r="A7403" i="106" l="1"/>
  <c r="D7402" i="106"/>
  <c r="D7403" i="106" l="1"/>
  <c r="A7404" i="106"/>
  <c r="A7405" i="106" l="1"/>
  <c r="D7404" i="106"/>
  <c r="A7406" i="106" l="1"/>
  <c r="D7405" i="106"/>
  <c r="A7407" i="106" l="1"/>
  <c r="D7406" i="106"/>
  <c r="D7407" i="106" l="1"/>
  <c r="A7408" i="106"/>
  <c r="D7408" i="106" l="1"/>
  <c r="A7409" i="106"/>
  <c r="A7410" i="106" l="1"/>
  <c r="D7409" i="106"/>
  <c r="A7411" i="106" l="1"/>
  <c r="D7410" i="106"/>
  <c r="D7411" i="106" l="1"/>
  <c r="A7412" i="106"/>
  <c r="A7413" i="106" l="1"/>
  <c r="D7412" i="106"/>
  <c r="A7414" i="106" l="1"/>
  <c r="D7413" i="106"/>
  <c r="D7414" i="106" l="1"/>
  <c r="A7415" i="106"/>
  <c r="D7415" i="106" l="1"/>
  <c r="A7416" i="106"/>
  <c r="A7417" i="106" l="1"/>
  <c r="D7416" i="106"/>
  <c r="A7418" i="106" l="1"/>
  <c r="D7417" i="106"/>
  <c r="A7419" i="106" l="1"/>
  <c r="D7418" i="106"/>
  <c r="D7419" i="106" l="1"/>
  <c r="A7420" i="106"/>
  <c r="A7421" i="106" l="1"/>
  <c r="D7420" i="106"/>
  <c r="A7422" i="106" l="1"/>
  <c r="D7421" i="106"/>
  <c r="A7423" i="106" l="1"/>
  <c r="D7422" i="106"/>
  <c r="D7423" i="106" l="1"/>
  <c r="A7424" i="106"/>
  <c r="A7425" i="106" l="1"/>
  <c r="D7424" i="106"/>
  <c r="A7426" i="106" l="1"/>
  <c r="D7425" i="106"/>
  <c r="A7427" i="106" l="1"/>
  <c r="D7426" i="106"/>
  <c r="D7427" i="106" l="1"/>
  <c r="A7428" i="106"/>
  <c r="A7429" i="106" l="1"/>
  <c r="D7428" i="106"/>
  <c r="A7430" i="106" l="1"/>
  <c r="D7429" i="106"/>
  <c r="D7430" i="106" l="1"/>
  <c r="A7431" i="106"/>
  <c r="D7431" i="106" l="1"/>
  <c r="A7432" i="106"/>
  <c r="D7432" i="106" l="1"/>
  <c r="A7433" i="106"/>
  <c r="A7434" i="106" l="1"/>
  <c r="D7433" i="106"/>
  <c r="A7435" i="106" l="1"/>
  <c r="D7434" i="106"/>
  <c r="D7435" i="106" l="1"/>
  <c r="A7436" i="106"/>
  <c r="A7437" i="106" l="1"/>
  <c r="D7436" i="106"/>
  <c r="A7438" i="106" l="1"/>
  <c r="D7437" i="106"/>
  <c r="A7439" i="106" l="1"/>
  <c r="D7438" i="106"/>
  <c r="D7439" i="106" l="1"/>
  <c r="A7440" i="106"/>
  <c r="A7441" i="106" l="1"/>
  <c r="D7440" i="106"/>
  <c r="A7442" i="106" l="1"/>
  <c r="D7441" i="106"/>
  <c r="A7443" i="106" l="1"/>
  <c r="D7442" i="106"/>
  <c r="D7443" i="106" l="1"/>
  <c r="A7444" i="106"/>
  <c r="A7445" i="106" l="1"/>
  <c r="D7444" i="106"/>
  <c r="A7446" i="106" l="1"/>
  <c r="D7445" i="106"/>
  <c r="D7446" i="106" l="1"/>
  <c r="A7447" i="106"/>
  <c r="D7447" i="106" l="1"/>
  <c r="A7448" i="106"/>
  <c r="A7449" i="106" l="1"/>
  <c r="D7448" i="106"/>
  <c r="A7450" i="106" l="1"/>
  <c r="D7449" i="106"/>
  <c r="A7451" i="106" l="1"/>
  <c r="D7450" i="106"/>
  <c r="D7451" i="106" l="1"/>
  <c r="A7452" i="106"/>
  <c r="A7453" i="106" l="1"/>
  <c r="D7452" i="106"/>
  <c r="A7454" i="106" l="1"/>
  <c r="D7453" i="106"/>
  <c r="A7455" i="106" l="1"/>
  <c r="D7454" i="106"/>
  <c r="D7455" i="106" l="1"/>
  <c r="A7456" i="106"/>
  <c r="D7456" i="106" l="1"/>
  <c r="A7457" i="106"/>
  <c r="A7458" i="106" l="1"/>
  <c r="D7457" i="106"/>
  <c r="A7459" i="106" l="1"/>
  <c r="D7458" i="106"/>
  <c r="D7459" i="106" l="1"/>
  <c r="A7460" i="106"/>
  <c r="A7461" i="106" l="1"/>
  <c r="D7460" i="106"/>
  <c r="A7462" i="106" l="1"/>
  <c r="D7461" i="106"/>
  <c r="A7463" i="106" l="1"/>
  <c r="D7462" i="106"/>
  <c r="D7463" i="106" l="1"/>
  <c r="A7464" i="106"/>
  <c r="A7465" i="106" l="1"/>
  <c r="D7464" i="106"/>
  <c r="A7466" i="106" l="1"/>
  <c r="D7465" i="106"/>
  <c r="A7467" i="106" l="1"/>
  <c r="D7466" i="106"/>
  <c r="D7467" i="106" l="1"/>
  <c r="A7468" i="106"/>
  <c r="A7469" i="106" l="1"/>
  <c r="D7468" i="106"/>
  <c r="A7470" i="106" l="1"/>
  <c r="D7469" i="106"/>
  <c r="D7470" i="106" l="1"/>
  <c r="A7471" i="106"/>
  <c r="D7471" i="106" l="1"/>
  <c r="A7472" i="106"/>
  <c r="A7473" i="106" l="1"/>
  <c r="D7472" i="106"/>
  <c r="A7474" i="106" l="1"/>
  <c r="D7473" i="106"/>
  <c r="A7475" i="106" l="1"/>
  <c r="D7474" i="106"/>
  <c r="D7475" i="106" l="1"/>
  <c r="A7476" i="106"/>
  <c r="A7477" i="106" l="1"/>
  <c r="D7476" i="106"/>
  <c r="A7478" i="106" l="1"/>
  <c r="D7477" i="106"/>
  <c r="A7479" i="106" l="1"/>
  <c r="D7478" i="106"/>
  <c r="D7479" i="106" l="1"/>
  <c r="A7480" i="106"/>
  <c r="D7480" i="106" l="1"/>
  <c r="A7481" i="106"/>
  <c r="A7482" i="106" l="1"/>
  <c r="D7481" i="106"/>
  <c r="A7483" i="106" l="1"/>
  <c r="D7482" i="106"/>
  <c r="A7484" i="106" l="1"/>
  <c r="D7483" i="106"/>
  <c r="A7485" i="106" l="1"/>
  <c r="D7484" i="106"/>
  <c r="D7485" i="106" l="1"/>
  <c r="A7486" i="106"/>
  <c r="A7487" i="106" l="1"/>
  <c r="D7486" i="106"/>
  <c r="A7488" i="106" l="1"/>
  <c r="D7487" i="106"/>
  <c r="D7488" i="106" l="1"/>
  <c r="A7489" i="106"/>
  <c r="D7489" i="106" l="1"/>
  <c r="A7490" i="106"/>
  <c r="A7491" i="106" l="1"/>
  <c r="D7490" i="106"/>
  <c r="A7492" i="106" l="1"/>
  <c r="D7491" i="106"/>
  <c r="D7492" i="106" l="1"/>
  <c r="A7493" i="106"/>
  <c r="D7493" i="106" l="1"/>
  <c r="A7494" i="106"/>
  <c r="A7495" i="106" l="1"/>
  <c r="D7494" i="106"/>
  <c r="A7496" i="106" l="1"/>
  <c r="D7495" i="106"/>
  <c r="A7497" i="106" l="1"/>
  <c r="D7496" i="106"/>
  <c r="D7497" i="106" l="1"/>
  <c r="A7498" i="106"/>
  <c r="A7499" i="106" l="1"/>
  <c r="D7498" i="106"/>
  <c r="A7500" i="106" l="1"/>
  <c r="D7499" i="106"/>
  <c r="D7500" i="106" l="1"/>
  <c r="A7501" i="106"/>
  <c r="D7501" i="106" l="1"/>
  <c r="A7502" i="106"/>
  <c r="A7503" i="106" l="1"/>
  <c r="D7502" i="106"/>
  <c r="A7504" i="106" l="1"/>
  <c r="D7503" i="106"/>
  <c r="A7505" i="106" l="1"/>
  <c r="D7504" i="106"/>
  <c r="A7506" i="106" l="1"/>
  <c r="D7505" i="106"/>
  <c r="A7507" i="106" l="1"/>
  <c r="D7506" i="106"/>
  <c r="A7508" i="106" l="1"/>
  <c r="D7507" i="106"/>
  <c r="D7508" i="106" l="1"/>
  <c r="A7509" i="106"/>
  <c r="D7509" i="106" l="1"/>
  <c r="A7510" i="106"/>
  <c r="A7511" i="106" l="1"/>
  <c r="D7510" i="106"/>
  <c r="A7512" i="106" l="1"/>
  <c r="D7511" i="106"/>
  <c r="D7512" i="106" l="1"/>
  <c r="A7513" i="106"/>
  <c r="D7513" i="106" l="1"/>
  <c r="A7514" i="106"/>
  <c r="A7515" i="106" l="1"/>
  <c r="D7514" i="106"/>
  <c r="A7516" i="106" l="1"/>
  <c r="D7515" i="106"/>
  <c r="D7516" i="106" l="1"/>
  <c r="A7517" i="106"/>
  <c r="D7517" i="106" l="1"/>
  <c r="A7518" i="106"/>
  <c r="A7519" i="106" l="1"/>
  <c r="D7518" i="106"/>
  <c r="A7520" i="106" l="1"/>
  <c r="D7519" i="106"/>
  <c r="A7521" i="106" l="1"/>
  <c r="D7520" i="106"/>
  <c r="D7521" i="106" l="1"/>
  <c r="A7522" i="106"/>
  <c r="A7523" i="106" l="1"/>
  <c r="D7522" i="106"/>
  <c r="A7524" i="106" l="1"/>
  <c r="D7523" i="106"/>
  <c r="D7524" i="106" l="1"/>
  <c r="A7525" i="106"/>
  <c r="D7525" i="106" l="1"/>
  <c r="A7526" i="106"/>
  <c r="A7527" i="106" l="1"/>
  <c r="D7526" i="106"/>
  <c r="A7528" i="106" l="1"/>
  <c r="D7527" i="106"/>
  <c r="D7528" i="106" l="1"/>
  <c r="A7529" i="106"/>
  <c r="D7529" i="106" l="1"/>
  <c r="A7530" i="106"/>
  <c r="A7531" i="106" l="1"/>
  <c r="D7530" i="106"/>
  <c r="A7532" i="106" l="1"/>
  <c r="D7531" i="106"/>
  <c r="D7532" i="106" l="1"/>
  <c r="A7533" i="106"/>
  <c r="D7533" i="106" l="1"/>
  <c r="A7534" i="106"/>
  <c r="A7535" i="106" l="1"/>
  <c r="D7534" i="106"/>
  <c r="A7536" i="106" l="1"/>
  <c r="D7535" i="106"/>
  <c r="A7537" i="106" l="1"/>
  <c r="D7536" i="106"/>
  <c r="D7537" i="106" l="1"/>
  <c r="A7538" i="106"/>
  <c r="A7539" i="106" l="1"/>
  <c r="D7538" i="106"/>
  <c r="A7540" i="106" l="1"/>
  <c r="D7539" i="106"/>
  <c r="D7540" i="106" l="1"/>
  <c r="A7541" i="106"/>
  <c r="D7541" i="106" l="1"/>
  <c r="A7542" i="106"/>
  <c r="A7543" i="106" l="1"/>
  <c r="D7542" i="106"/>
  <c r="A7544" i="106" l="1"/>
  <c r="D7543" i="106"/>
  <c r="D7544" i="106" l="1"/>
  <c r="A7545" i="106"/>
  <c r="D7545" i="106" l="1"/>
  <c r="A7546" i="106"/>
  <c r="A7547" i="106" l="1"/>
  <c r="D7546" i="106"/>
  <c r="A7548" i="106" l="1"/>
  <c r="D7547" i="106"/>
  <c r="A7549" i="106" l="1"/>
  <c r="D7548" i="106"/>
  <c r="D7549" i="106" l="1"/>
  <c r="A7550" i="106"/>
  <c r="A7551" i="106" l="1"/>
  <c r="D7550" i="106"/>
  <c r="A7552" i="106" l="1"/>
  <c r="D7551" i="106"/>
  <c r="D7552" i="106" l="1"/>
  <c r="A7553" i="106"/>
  <c r="D7553" i="106" l="1"/>
  <c r="A7554" i="106"/>
  <c r="A7555" i="106" l="1"/>
  <c r="D7554" i="106"/>
  <c r="A7556" i="106" l="1"/>
  <c r="D7555" i="106"/>
  <c r="D7556" i="106" l="1"/>
  <c r="A7557" i="106"/>
  <c r="D7557" i="106" l="1"/>
  <c r="A7558" i="106"/>
  <c r="A7559" i="106" l="1"/>
  <c r="D7558" i="106"/>
  <c r="A7560" i="106" l="1"/>
  <c r="D7559" i="106"/>
  <c r="A7561" i="106" l="1"/>
  <c r="D7560" i="106"/>
  <c r="D7561" i="106" l="1"/>
  <c r="A7562" i="106"/>
  <c r="A7563" i="106" l="1"/>
  <c r="D7562" i="106"/>
  <c r="A7564" i="106" l="1"/>
  <c r="D7563" i="106"/>
  <c r="D7564" i="106" l="1"/>
  <c r="A7565" i="106"/>
  <c r="D7565" i="106" l="1"/>
  <c r="A7566" i="106"/>
  <c r="A7567" i="106" l="1"/>
  <c r="D7566" i="106"/>
  <c r="A7568" i="106" l="1"/>
  <c r="D7567" i="106"/>
  <c r="D7568" i="106" l="1"/>
  <c r="A7569" i="106"/>
  <c r="D7569" i="106" l="1"/>
  <c r="A7570" i="106"/>
  <c r="A7571" i="106" l="1"/>
  <c r="D7570" i="106"/>
  <c r="A7572" i="106" l="1"/>
  <c r="D7571" i="106"/>
  <c r="A7573" i="106" l="1"/>
  <c r="D7572" i="106"/>
  <c r="D7573" i="106" l="1"/>
  <c r="A7574" i="106"/>
  <c r="A7575" i="106" l="1"/>
  <c r="D7574" i="106"/>
  <c r="A7576" i="106" l="1"/>
  <c r="D7575" i="106"/>
  <c r="D7576" i="106" l="1"/>
  <c r="A7577" i="106"/>
  <c r="D7577" i="106" l="1"/>
  <c r="A7578" i="106"/>
  <c r="A7579" i="106" l="1"/>
  <c r="D7578" i="106"/>
  <c r="A7580" i="106" l="1"/>
  <c r="D7579" i="106"/>
  <c r="D7580" i="106" l="1"/>
  <c r="A7581" i="106"/>
  <c r="D7581" i="106" l="1"/>
  <c r="A7582" i="106"/>
  <c r="A7583" i="106" l="1"/>
  <c r="D7582" i="106"/>
  <c r="A7584" i="106" l="1"/>
  <c r="D7583" i="106"/>
  <c r="D7584" i="106" l="1"/>
  <c r="A7585" i="106"/>
  <c r="D7585" i="106" l="1"/>
  <c r="A7586" i="106"/>
  <c r="A7587" i="106" l="1"/>
  <c r="D7586" i="106"/>
  <c r="A7588" i="106" l="1"/>
  <c r="D7587" i="106"/>
  <c r="A7589" i="106" l="1"/>
  <c r="D7588" i="106"/>
  <c r="D7589" i="106" l="1"/>
  <c r="A7590" i="106"/>
  <c r="A7591" i="106" l="1"/>
  <c r="D7590" i="106"/>
  <c r="A7592" i="106" l="1"/>
  <c r="D7591" i="106"/>
  <c r="D7592" i="106" l="1"/>
  <c r="A7593" i="106"/>
  <c r="D7593" i="106" l="1"/>
  <c r="A7594" i="106"/>
  <c r="A7595" i="106" l="1"/>
  <c r="D7594" i="106"/>
  <c r="A7596" i="106" l="1"/>
  <c r="D7595" i="106"/>
  <c r="A7597" i="106" l="1"/>
  <c r="D7596" i="106"/>
  <c r="D7597" i="106" l="1"/>
  <c r="A7598" i="106"/>
  <c r="A7599" i="106" l="1"/>
  <c r="D7598" i="106"/>
  <c r="A7600" i="106" l="1"/>
  <c r="D7599" i="106"/>
  <c r="D7600" i="106" l="1"/>
  <c r="A7601" i="106"/>
  <c r="D7601" i="106" l="1"/>
  <c r="A7602" i="106"/>
  <c r="A7603" i="106" l="1"/>
  <c r="D7602" i="106"/>
  <c r="A7604" i="106" l="1"/>
  <c r="D7603" i="106"/>
  <c r="D7604" i="106" l="1"/>
  <c r="A7605" i="106"/>
  <c r="D7605" i="106" l="1"/>
  <c r="A7606" i="106"/>
  <c r="A7607" i="106" l="1"/>
  <c r="D7606" i="106"/>
  <c r="A7608" i="106" l="1"/>
  <c r="D7607" i="106"/>
  <c r="A7609" i="106" l="1"/>
  <c r="D7608" i="106"/>
  <c r="D7609" i="106" l="1"/>
  <c r="A7610" i="106"/>
  <c r="A7611" i="106" l="1"/>
  <c r="D7610" i="106"/>
  <c r="A7612" i="106" l="1"/>
  <c r="D7611" i="106"/>
  <c r="D7612" i="106" l="1"/>
  <c r="A7613" i="106"/>
  <c r="D7613" i="106" l="1"/>
  <c r="A7614" i="106"/>
  <c r="A7615" i="106" l="1"/>
  <c r="D7614" i="106"/>
  <c r="A7616" i="106" l="1"/>
  <c r="D7615" i="106"/>
  <c r="D7616" i="106" l="1"/>
  <c r="A7617" i="106"/>
  <c r="D7617" i="106" l="1"/>
  <c r="A7618" i="106"/>
  <c r="A7619" i="106" l="1"/>
  <c r="D7618" i="106"/>
  <c r="A7620" i="106" l="1"/>
  <c r="D7619" i="106"/>
  <c r="A7621" i="106" l="1"/>
  <c r="D7620" i="106"/>
  <c r="D7621" i="106" l="1"/>
  <c r="A7622"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D7637" i="106" l="1"/>
  <c r="A7638" i="106"/>
  <c r="A7639" i="106" l="1"/>
  <c r="D7638" i="106"/>
  <c r="A7640" i="106" l="1"/>
  <c r="D7639" i="106"/>
  <c r="D7640" i="106" l="1"/>
  <c r="A7641" i="106"/>
  <c r="D7641" i="106" l="1"/>
  <c r="A7642" i="106"/>
  <c r="A7643" i="106" l="1"/>
  <c r="D7642" i="106"/>
  <c r="A7644" i="106" l="1"/>
  <c r="D7643" i="106"/>
  <c r="A7645" i="106" l="1"/>
  <c r="D7644" i="106"/>
  <c r="D7645" i="106" l="1"/>
  <c r="A7646" i="106"/>
  <c r="A7647" i="106" l="1"/>
  <c r="D7646" i="106"/>
  <c r="A7648" i="106" l="1"/>
  <c r="D7647" i="106"/>
  <c r="D7648" i="106" l="1"/>
  <c r="A7649"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<sst xmlns="http://schemas.openxmlformats.org/spreadsheetml/2006/main" count="5046" uniqueCount="2114">
  <si>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</si>
  <si>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</si>
  <si>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</si>
  <si>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</si>
  <si>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</si>
  <si>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</si>
  <si>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</si>
  <si>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</si>
  <si>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</si>
  <si>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</si>
  <si>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</si>
  <si>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</si>
  <si>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</si>
  <si>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</si>
  <si>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</si>
  <si>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</si>
  <si>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</si>
  <si>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</si>
  <si>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</si>
  <si>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</si>
  <si>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</si>
  <si>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</si>
  <si>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</si>
  <si>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</si>
  <si>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</si>
  <si>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</si>
  <si>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</si>
  <si>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</si>
  <si>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</si>
  <si>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</si>
  <si>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</si>
  <si>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</si>
  <si>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</si>
  <si>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</si>
  <si>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</si>
  <si>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</si>
  <si>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</si>
  <si>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</si>
  <si>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</si>
  <si>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</si>
  <si>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</si>
  <si>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</si>
  <si>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</si>
  <si>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</si>
  <si>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</si>
  <si>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</si>
  <si>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</si>
  <si>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</si>
  <si>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</si>
  <si>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</si>
  <si>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</si>
  <si>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</si>
  <si>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</si>
  <si>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</si>
  <si>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</si>
  <si>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</si>
  <si>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</si>
  <si>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</si>
  <si>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</si>
  <si>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</si>
  <si>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</si>
  <si>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</si>
  <si>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</si>
  <si>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</si>
  <si>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</si>
  <si>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</si>
  <si>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</si>
  <si>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</si>
  <si>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</si>
  <si>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</si>
  <si>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</si>
  <si>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</si>
  <si>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</si>
  <si>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</si>
  <si>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</si>
  <si>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</si>
  <si>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</si>
  <si>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</si>
  <si>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</si>
  <si>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</si>
  <si>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</si>
  <si>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</si>
  <si>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</si>
  <si>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</si>
  <si>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</si>
  <si>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</si>
  <si>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</si>
  <si>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</si>
  <si>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</si>
  <si>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</si>
  <si>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</si>
  <si>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</si>
  <si>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</si>
  <si>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</si>
  <si>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</si>
  <si>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</si>
  <si>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</si>
  <si>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</si>
  <si>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</si>
  <si>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</si>
  <si>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</si>
  <si>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</si>
  <si>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</si>
  <si>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</si>
  <si>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</si>
  <si>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</si>
  <si>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</si>
  <si>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</si>
  <si>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</si>
  <si>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</si>
  <si>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</si>
  <si>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</si>
  <si>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</si>
  <si>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</si>
  <si>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</si>
  <si>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</si>
  <si>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</si>
  <si>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</si>
  <si>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</si>
  <si>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</si>
  <si>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</si>
  <si>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</si>
  <si>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</si>
  <si>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</si>
  <si>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</si>
  <si>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</si>
  <si>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</si>
  <si>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</si>
  <si>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</si>
  <si>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</si>
  <si>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</si>
  <si>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</si>
  <si>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</si>
  <si>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</si>
  <si>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</si>
  <si>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</si>
  <si>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</si>
  <si>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</si>
  <si>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</si>
  <si>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</si>
  <si>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</si>
  <si>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</si>
  <si>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</si>
  <si>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</si>
  <si>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</si>
  <si>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</si>
  <si>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</si>
  <si>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</si>
  <si>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</si>
  <si>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</si>
  <si>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</si>
  <si>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</si>
  <si>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</si>
  <si>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</si>
  <si>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</si>
  <si>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</si>
  <si>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</si>
  <si>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</si>
  <si>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</si>
  <si>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</si>
  <si>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</si>
  <si>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</si>
  <si>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</si>
  <si>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</si>
  <si>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</si>
  <si>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</si>
  <si>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</si>
  <si>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</si>
  <si>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</si>
  <si>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</si>
  <si>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</si>
  <si>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</si>
  <si>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</si>
  <si>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</si>
  <si>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</si>
  <si>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</si>
  <si>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</si>
  <si>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</si>
  <si>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</si>
  <si>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</si>
  <si>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</si>
  <si>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</si>
  <si>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</si>
  <si>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</si>
  <si>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</si>
  <si>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</si>
  <si>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</si>
  <si>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</si>
  <si>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</si>
  <si>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</si>
  <si>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</si>
  <si>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</si>
  <si>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</si>
  <si>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</si>
  <si>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</si>
  <si>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</si>
  <si>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</si>
  <si>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</si>
  <si>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</si>
  <si>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</si>
  <si>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</si>
  <si>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</si>
  <si>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</si>
  <si>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</si>
  <si>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</si>
  <si>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</si>
  <si>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</si>
  <si>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</si>
  <si>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</si>
  <si>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</si>
  <si>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</si>
  <si>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</si>
  <si>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</si>
  <si>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</si>
  <si>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</si>
  <si>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</si>
  <si>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</si>
  <si>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</si>
  <si>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</si>
  <si>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</si>
  <si>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</si>
  <si>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</si>
  <si>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</si>
  <si>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</si>
  <si>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</si>
  <si>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</si>
  <si>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</si>
  <si>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</si>
  <si>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</si>
  <si>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</si>
  <si>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</si>
  <si>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</si>
  <si>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</si>
  <si>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</si>
  <si>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</si>
  <si>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</si>
  <si>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</si>
  <si>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</si>
  <si>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</si>
  <si>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</si>
  <si>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</si>
  <si>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</si>
  <si>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</si>
  <si>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</si>
  <si>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</si>
  <si>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</si>
  <si>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</si>
  <si>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</si>
  <si>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</si>
  <si>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</si>
  <si>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</si>
  <si>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</si>
  <si>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</si>
  <si>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</si>
  <si>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</si>
  <si>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</si>
  <si>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</si>
  <si>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</si>
  <si>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</si>
  <si>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</si>
  <si>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</si>
  <si>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</si>
  <si>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</si>
  <si>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</si>
  <si>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</si>
  <si>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</si>
  <si>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</si>
  <si>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</si>
  <si>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</si>
  <si>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</si>
  <si>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</si>
  <si>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</si>
  <si>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</si>
  <si>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</si>
  <si>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</si>
  <si>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</si>
  <si>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</si>
  <si>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</si>
  <si>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</si>
  <si>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</si>
  <si>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</si>
  <si>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</si>
  <si>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</si>
  <si>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</si>
  <si>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</si>
  <si>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</si>
  <si>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</si>
  <si>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</si>
  <si>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</si>
  <si>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</si>
  <si>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</si>
  <si>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</si>
  <si>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</si>
  <si>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</si>
  <si>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</si>
  <si>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</si>
  <si>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</si>
  <si>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</si>
  <si>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</si>
  <si>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</si>
  <si>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</si>
  <si>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</si>
  <si>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</si>
  <si>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</si>
  <si>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</si>
  <si>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</si>
  <si>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</si>
  <si>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</si>
  <si>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</si>
  <si>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</si>
  <si>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</si>
  <si>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</si>
  <si>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</si>
  <si>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</si>
  <si>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</si>
  <si>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</si>
  <si>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</si>
  <si>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</si>
  <si>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</si>
  <si>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</si>
  <si>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</si>
  <si>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</si>
  <si>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</si>
  <si>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</si>
  <si>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</si>
  <si>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</si>
  <si>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</si>
  <si>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</si>
  <si>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</si>
  <si>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</si>
  <si>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</si>
  <si>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</si>
  <si>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</si>
  <si>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</si>
  <si>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</si>
  <si>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</si>
  <si>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</si>
  <si>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</si>
  <si>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</si>
  <si>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</si>
  <si>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</si>
  <si>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</si>
  <si>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</si>
  <si>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</si>
  <si>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</si>
  <si>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</si>
  <si>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</si>
  <si>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</si>
  <si>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</si>
  <si>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</si>
  <si>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</si>
  <si>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</si>
  <si>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</si>
  <si>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</si>
  <si>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</si>
  <si>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</si>
  <si>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</si>
  <si>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</si>
  <si>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</si>
  <si>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</si>
  <si>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</si>
  <si>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</si>
  <si>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</si>
  <si>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</si>
  <si>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</si>
  <si>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</si>
  <si>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</si>
  <si>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</si>
  <si>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</si>
  <si>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</si>
  <si>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</si>
  <si>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</si>
  <si>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</si>
  <si>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</si>
  <si>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</si>
  <si>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</si>
  <si>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</si>
  <si>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</si>
  <si>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</si>
  <si>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</si>
  <si>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</si>
  <si>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</si>
  <si>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</si>
  <si>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</si>
  <si>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</si>
  <si>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</si>
  <si>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</si>
  <si>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</si>
  <si>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</si>
  <si>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</si>
  <si>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</si>
  <si>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</si>
  <si>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</si>
  <si>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</si>
  <si>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</si>
  <si>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</si>
  <si>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</si>
  <si>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</si>
  <si>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</si>
  <si>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</si>
  <si>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</si>
  <si>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</si>
  <si>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</si>
  <si>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</si>
  <si>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</si>
  <si>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</si>
  <si>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</si>
  <si>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</si>
  <si>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</si>
  <si>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</si>
  <si>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</si>
  <si>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</si>
  <si>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</si>
  <si>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</si>
  <si>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</si>
  <si>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</si>
  <si>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</si>
  <si>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</si>
  <si>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</si>
  <si>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</si>
  <si>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</si>
  <si>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</si>
  <si>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</si>
  <si>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</si>
  <si>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</si>
  <si>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</si>
  <si>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</si>
  <si>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</si>
  <si>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</si>
  <si>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</si>
  <si>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</si>
  <si>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</si>
  <si>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</si>
  <si>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</si>
  <si>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</si>
  <si>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</si>
  <si>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</si>
  <si>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</si>
  <si>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</si>
  <si>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</si>
  <si>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</si>
  <si>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</si>
  <si>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</si>
  <si>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</si>
  <si>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</si>
  <si>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</si>
  <si>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</si>
  <si>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</si>
  <si>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</si>
  <si>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</si>
  <si>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</si>
  <si>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</si>
  <si>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</si>
  <si>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</si>
  <si>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</si>
  <si>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</si>
  <si>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</si>
  <si>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</si>
  <si>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</si>
  <si>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</si>
  <si>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</si>
  <si>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</si>
  <si>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</si>
  <si>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</si>
  <si>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</si>
  <si>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</si>
  <si>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</si>
  <si>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</si>
  <si>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</si>
  <si>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</si>
  <si>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</si>
  <si>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</si>
  <si>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</si>
  <si>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</si>
  <si>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</si>
  <si>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</si>
  <si>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</si>
  <si>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</si>
  <si>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</si>
  <si>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</si>
  <si>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</si>
  <si>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</si>
  <si>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</si>
  <si>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</si>
  <si>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</si>
  <si>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</si>
  <si>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</si>
  <si>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</si>
  <si>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</si>
  <si>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</si>
  <si>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</si>
  <si>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</si>
  <si>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</si>
  <si>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</si>
  <si>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</si>
  <si>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</si>
  <si>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</si>
  <si>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</si>
  <si>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</si>
  <si>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</si>
  <si>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</si>
  <si>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</si>
  <si>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</si>
  <si>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</si>
  <si>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</si>
  <si>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</si>
  <si>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</si>
  <si>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</si>
  <si>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</si>
  <si>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</si>
  <si>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</si>
  <si>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</si>
  <si>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</si>
  <si>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</si>
  <si>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</si>
  <si>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</si>
  <si>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</si>
  <si>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</si>
  <si>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</si>
  <si>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</si>
  <si>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</si>
  <si>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</si>
  <si>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</si>
  <si>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</si>
  <si>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</si>
  <si>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</si>
  <si>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</si>
  <si>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</si>
  <si>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</si>
  <si>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</si>
  <si>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</si>
  <si>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</si>
  <si>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</si>
  <si>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</si>
  <si>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</si>
  <si>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</si>
  <si>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</si>
  <si>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</si>
  <si>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</si>
  <si>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</si>
  <si>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</si>
  <si>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</si>
  <si>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</si>
  <si>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</si>
  <si>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</si>
  <si>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</si>
  <si>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</si>
  <si>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</si>
  <si>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</si>
  <si>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</si>
  <si>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</si>
  <si>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</si>
  <si>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</si>
  <si>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</si>
  <si>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</si>
  <si>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</si>
  <si>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</si>
  <si>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</si>
  <si>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</si>
  <si>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</si>
  <si>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</si>
  <si>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</si>
  <si>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</si>
  <si>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</si>
  <si>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</si>
  <si>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</si>
  <si>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</si>
  <si>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</si>
  <si>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</si>
  <si>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</si>
  <si>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</si>
  <si>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</si>
  <si>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</si>
  <si>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</si>
  <si>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</si>
  <si>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</si>
  <si>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</si>
  <si>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</si>
  <si>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</si>
  <si>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</si>
  <si>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</si>
  <si>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</si>
  <si>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</si>
  <si>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</si>
  <si>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</si>
  <si>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</si>
  <si>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</si>
  <si>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</si>
  <si>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</si>
  <si>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</si>
  <si>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</si>
  <si>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</si>
  <si>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</si>
  <si>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</si>
  <si>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</si>
  <si>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</si>
  <si>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</si>
  <si>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</si>
  <si>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</si>
  <si>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</si>
  <si>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</si>
  <si>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</si>
  <si>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</si>
  <si>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</si>
  <si>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</si>
  <si>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</si>
  <si>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</si>
  <si>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</si>
  <si>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</si>
  <si>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</si>
  <si>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</si>
  <si>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</si>
  <si>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</si>
  <si>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</si>
  <si>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</si>
  <si>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</si>
  <si>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</si>
  <si>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</si>
  <si>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</si>
  <si>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</si>
  <si>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</si>
  <si>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</si>
  <si>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</si>
  <si>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</si>
  <si>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</si>
  <si>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</si>
  <si>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</si>
  <si>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</si>
  <si>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</si>
  <si>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</si>
  <si>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</si>
  <si>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</si>
  <si>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</si>
  <si>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</si>
  <si>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</si>
  <si>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</si>
  <si>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</si>
  <si>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</si>
  <si>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</si>
  <si>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</si>
  <si>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</si>
  <si>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</si>
  <si>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</si>
  <si>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</si>
  <si>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</si>
  <si>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</si>
  <si>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</si>
  <si>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</si>
  <si>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</si>
  <si>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</si>
  <si>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</si>
  <si>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</si>
  <si>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</si>
  <si>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</si>
  <si>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</si>
  <si>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</si>
  <si>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</si>
  <si>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</si>
  <si>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</si>
  <si>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</si>
  <si>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</si>
  <si>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</si>
  <si>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</si>
  <si>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</si>
  <si>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</si>
  <si>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</si>
  <si>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</si>
  <si>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</si>
  <si>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</si>
  <si>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</si>
  <si>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</si>
  <si>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</si>
  <si>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</si>
  <si>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</si>
  <si>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</si>
  <si>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</si>
  <si>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</si>
  <si>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</si>
  <si>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</si>
  <si>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</si>
  <si>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</si>
  <si>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</si>
  <si>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</si>
  <si>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</si>
  <si>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</si>
  <si>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</si>
  <si>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</si>
  <si>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</si>
  <si>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</si>
  <si>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</si>
  <si>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</si>
  <si>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</si>
  <si>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</si>
  <si>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</si>
  <si>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</si>
  <si>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</si>
  <si>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</si>
  <si>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</si>
  <si>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</si>
  <si>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</si>
  <si>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</si>
  <si>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</si>
  <si>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</si>
  <si>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</si>
  <si>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</si>
  <si>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</si>
  <si>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</si>
  <si>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</si>
  <si>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</si>
  <si>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</si>
  <si>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</si>
  <si>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</si>
  <si>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</si>
  <si>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</si>
  <si>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</si>
  <si>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</si>
  <si>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</si>
  <si>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</si>
  <si>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</si>
  <si>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</si>
  <si>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</si>
  <si>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</si>
  <si>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</si>
  <si>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</si>
  <si>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</si>
  <si>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</si>
  <si>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</si>
  <si>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</si>
  <si>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</si>
  <si>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</si>
  <si>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</si>
  <si>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</si>
  <si>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</si>
  <si>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</si>
  <si>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</si>
  <si>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</si>
  <si>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</si>
  <si>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</si>
  <si>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</si>
  <si>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</si>
  <si>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</si>
  <si>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</si>
  <si>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</si>
  <si>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</si>
  <si>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</si>
  <si>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</si>
  <si>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</si>
  <si>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</si>
  <si>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</si>
  <si>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</si>
  <si>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</si>
  <si>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</si>
  <si>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</si>
  <si>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</si>
  <si>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</si>
  <si>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</si>
  <si>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</si>
  <si>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</si>
  <si>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</si>
  <si>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</si>
  <si>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</si>
  <si>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</si>
  <si>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</si>
  <si>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</si>
  <si>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</si>
  <si>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</si>
  <si>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</si>
  <si>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</si>
  <si>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</si>
  <si>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</si>
  <si>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</si>
  <si>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</si>
  <si>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</si>
  <si>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</si>
  <si>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</si>
  <si>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</si>
  <si>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</si>
  <si>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</si>
  <si>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</si>
  <si>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</si>
  <si>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</si>
  <si>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</si>
  <si>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</si>
  <si>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</si>
  <si>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</si>
  <si>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</si>
  <si>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</si>
  <si>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</si>
  <si>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</si>
  <si>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</si>
  <si>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</si>
  <si>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</si>
  <si>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</si>
  <si>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</si>
  <si>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</si>
  <si>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</si>
  <si>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</si>
  <si>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</si>
  <si>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</si>
  <si>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</si>
  <si>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</si>
  <si>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</si>
  <si>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</si>
  <si>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</si>
  <si>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</si>
  <si>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</si>
  <si>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</si>
  <si>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</si>
  <si>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</si>
  <si>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</si>
  <si>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</si>
  <si>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</si>
  <si>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</si>
  <si>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</si>
  <si>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</si>
  <si>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</si>
  <si>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</si>
  <si>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</si>
  <si>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</si>
  <si>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</si>
  <si>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</si>
  <si>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</si>
  <si>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</si>
  <si>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</si>
  <si>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</si>
  <si>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</si>
  <si>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</si>
  <si>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</si>
  <si>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</si>
  <si>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</si>
  <si>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</si>
  <si>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</si>
  <si>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</si>
  <si>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</si>
  <si>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</si>
  <si>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</si>
  <si>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</si>
  <si>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</si>
  <si>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</si>
  <si>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</si>
  <si>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</si>
  <si>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</si>
  <si>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</si>
  <si>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</si>
  <si>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</si>
  <si>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</si>
  <si>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</si>
  <si>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</si>
  <si>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</si>
  <si>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</si>
  <si>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</si>
  <si>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</si>
  <si>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</si>
  <si>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</si>
  <si>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</si>
  <si>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</si>
  <si>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</si>
  <si>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</si>
  <si>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</si>
  <si>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</si>
  <si>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</si>
  <si>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</si>
  <si>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</si>
  <si>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</si>
  <si>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</si>
  <si>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</si>
  <si>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</si>
  <si>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</si>
  <si>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</si>
  <si>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</si>
  <si>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</si>
  <si>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</si>
  <si>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</si>
  <si>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</si>
  <si>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</si>
  <si>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</si>
  <si>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</si>
  <si>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</si>
  <si>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</si>
  <si>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</si>
  <si>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</si>
  <si>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</si>
  <si>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</si>
  <si>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</si>
  <si>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</si>
  <si>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</si>
  <si>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</si>
  <si>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</si>
  <si>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</si>
  <si>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</si>
  <si>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</si>
  <si>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</si>
  <si>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</si>
  <si>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</si>
  <si>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</si>
  <si>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</si>
  <si>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</si>
  <si>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</si>
  <si>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</si>
  <si>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</si>
  <si>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</si>
  <si>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</si>
  <si>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</si>
  <si>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</si>
  <si>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</si>
  <si>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</si>
  <si>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</si>
  <si>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</si>
  <si>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</si>
  <si>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</si>
  <si>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</si>
  <si>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</si>
  <si>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</si>
  <si>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</si>
  <si>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</si>
  <si>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</si>
  <si>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</si>
  <si>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</si>
  <si>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</si>
  <si>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</si>
  <si>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</si>
  <si>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</si>
  <si>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</si>
  <si>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</si>
  <si>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</si>
  <si>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</si>
  <si>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</si>
  <si>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</si>
  <si>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</si>
  <si>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</si>
  <si>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</si>
  <si>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</si>
  <si>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</si>
  <si>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</si>
  <si>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</si>
  <si>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</si>
  <si>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</si>
  <si>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</si>
  <si>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</si>
  <si>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</si>
  <si>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</si>
  <si>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</si>
  <si>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</si>
  <si>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</si>
  <si>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</si>
  <si>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</si>
  <si>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</si>
  <si>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</si>
  <si>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</si>
  <si>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</si>
  <si>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</si>
  <si>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</si>
  <si>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</si>
  <si>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</si>
  <si>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</si>
  <si>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</si>
  <si>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</si>
  <si>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</si>
  <si>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</si>
  <si>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</si>
  <si>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</si>
  <si>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</si>
  <si>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</si>
  <si>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</si>
  <si>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</si>
  <si>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</si>
  <si>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</si>
  <si>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</si>
  <si>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</si>
  <si>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</si>
  <si>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</si>
  <si>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</si>
  <si>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</si>
  <si>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</si>
  <si>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</si>
  <si>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</si>
  <si>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</si>
  <si>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</si>
  <si>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</si>
  <si>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</si>
  <si>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</si>
  <si>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</si>
  <si>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</si>
  <si>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</si>
  <si>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</si>
  <si>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</si>
  <si>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</si>
  <si>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</si>
  <si>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</si>
  <si>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</si>
  <si>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</si>
  <si>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</si>
  <si>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</si>
  <si>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</si>
  <si>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</si>
  <si>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</si>
  <si>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</si>
  <si>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</si>
  <si>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</si>
  <si>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</si>
  <si>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</si>
  <si>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</si>
  <si>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</si>
  <si>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</si>
  <si>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</si>
  <si>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</si>
  <si>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</si>
  <si>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</si>
  <si>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</si>
  <si>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</si>
  <si>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</si>
  <si>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</si>
  <si>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</si>
  <si>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</si>
  <si>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</si>
  <si>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</si>
  <si>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</si>
  <si>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</si>
  <si>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</si>
  <si>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</si>
  <si>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</si>
  <si>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</si>
  <si>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</si>
  <si>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</si>
  <si>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</si>
  <si>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</si>
  <si>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</si>
  <si>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</si>
  <si>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</si>
  <si>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</si>
  <si>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</si>
  <si>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</si>
  <si>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</si>
  <si>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</si>
  <si>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</si>
  <si>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</si>
  <si>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</si>
  <si>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</si>
  <si>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</si>
  <si>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</si>
  <si>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</si>
  <si>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</si>
  <si>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</si>
  <si>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</si>
  <si>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</si>
  <si>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</si>
  <si>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</si>
  <si>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</si>
  <si>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</si>
  <si>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</si>
  <si>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</si>
  <si>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</si>
  <si>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</si>
  <si>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</si>
  <si>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</si>
  <si>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</si>
  <si>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</si>
  <si>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</si>
  <si>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</si>
  <si>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</si>
  <si>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</si>
  <si>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</si>
  <si>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</si>
  <si>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</si>
  <si>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</si>
  <si>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</si>
  <si>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</si>
  <si>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</si>
  <si>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</si>
  <si>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</si>
  <si>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</si>
  <si>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</si>
  <si>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</si>
  <si>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</si>
  <si>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</si>
  <si>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</si>
  <si>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</si>
  <si>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</si>
  <si>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</si>
  <si>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</si>
  <si>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</si>
  <si>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</si>
  <si>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</si>
  <si>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</si>
  <si>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</si>
  <si>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</si>
  <si>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</si>
  <si>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</si>
  <si>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</si>
  <si>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</si>
  <si>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</si>
  <si>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</si>
  <si>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</si>
  <si>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</si>
  <si>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</si>
  <si>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</si>
  <si>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</si>
  <si>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</si>
  <si>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</si>
  <si>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</si>
  <si>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</si>
  <si>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</si>
  <si>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</si>
  <si>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</si>
  <si>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</si>
  <si>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</si>
  <si>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</si>
  <si>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</si>
  <si>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</si>
  <si>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</si>
  <si>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</si>
  <si>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</si>
  <si>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</si>
  <si>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</si>
  <si>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</si>
  <si>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</si>
  <si>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</si>
  <si>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</si>
  <si>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</si>
  <si>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</si>
  <si>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</si>
  <si>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</si>
  <si>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</si>
  <si>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</si>
  <si>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</si>
  <si>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</si>
  <si>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</si>
  <si>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</si>
  <si>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</si>
  <si>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</si>
  <si>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</si>
  <si>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</si>
  <si>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</si>
  <si>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</si>
  <si>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</si>
  <si>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</si>
  <si>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</si>
  <si>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</si>
  <si>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</si>
  <si>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</si>
  <si>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</si>
  <si>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</si>
  <si>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</si>
  <si>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</si>
  <si>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</si>
  <si>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</si>
  <si>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</si>
  <si>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</si>
  <si>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</si>
  <si>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</si>
  <si>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</si>
  <si>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</si>
  <si>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</si>
  <si>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</si>
  <si>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</si>
  <si>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</si>
  <si>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</si>
  <si>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</si>
  <si>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</si>
  <si>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</si>
  <si>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</si>
  <si>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</si>
  <si>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</si>
  <si>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</si>
  <si>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</si>
  <si>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</si>
  <si>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</si>
  <si>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</si>
  <si>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</si>
  <si>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</si>
  <si>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</si>
  <si>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</si>
  <si>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</si>
  <si>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</si>
  <si>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</si>
  <si>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</si>
  <si>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</si>
  <si>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</si>
  <si>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</si>
  <si>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</si>
  <si>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</si>
  <si>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</si>
  <si>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</si>
  <si>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</si>
  <si>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</si>
  <si>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</si>
  <si>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</si>
  <si>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</si>
  <si>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</si>
  <si>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</si>
  <si>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</si>
  <si>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</si>
  <si>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</si>
  <si>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</si>
  <si>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</si>
  <si>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</si>
  <si>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</si>
  <si>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</si>
  <si>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</si>
  <si>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</si>
  <si>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</si>
  <si>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</si>
  <si>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</si>
  <si>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</si>
  <si>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</si>
  <si>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</si>
  <si>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</si>
  <si>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</si>
  <si>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</si>
  <si>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</si>
  <si>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</si>
  <si>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</si>
  <si>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</si>
  <si>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</si>
  <si>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</si>
  <si>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</si>
  <si>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</si>
  <si>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</si>
  <si>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</si>
  <si>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</si>
  <si>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</si>
  <si>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</si>
  <si>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</si>
  <si>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</si>
  <si>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</si>
  <si>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</si>
  <si>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</si>
  <si>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</si>
  <si>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</si>
  <si>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</si>
  <si>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</si>
  <si>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</si>
  <si>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</si>
  <si>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</si>
  <si>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</si>
  <si>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</si>
  <si>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</si>
  <si>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</si>
  <si>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</si>
  <si>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</si>
  <si>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</si>
  <si>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</si>
  <si>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</si>
  <si>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</si>
  <si>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</si>
  <si>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</si>
  <si>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</si>
  <si>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</si>
  <si>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</si>
  <si>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</si>
  <si>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</si>
  <si>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</si>
  <si>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</si>
  <si>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</si>
  <si>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</si>
  <si>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</si>
  <si>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</si>
  <si>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</si>
  <si>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</si>
  <si>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</si>
  <si>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</si>
  <si>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</si>
  <si>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</si>
  <si>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</si>
  <si>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</si>
  <si>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</si>
  <si>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</si>
  <si>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</si>
  <si>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</si>
  <si>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</si>
  <si>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</si>
  <si>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</si>
  <si>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</si>
  <si>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</si>
  <si>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</si>
  <si>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</si>
  <si>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</si>
  <si>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</si>
  <si>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</si>
  <si>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</si>
  <si>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</si>
  <si>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</si>
  <si>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</si>
  <si>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</si>
  <si>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</si>
  <si>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</si>
  <si>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</si>
  <si>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</si>
  <si>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</si>
  <si>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</si>
  <si>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</si>
  <si>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</si>
  <si>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</si>
  <si>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</si>
  <si>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</si>
  <si>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</si>
  <si>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</si>
  <si>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</si>
  <si>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</si>
  <si>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</si>
  <si>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</si>
  <si>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</si>
  <si>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</si>
  <si>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</si>
  <si>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</si>
  <si>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</si>
  <si>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</si>
  <si>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</si>
  <si>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</si>
  <si>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</si>
  <si>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</si>
  <si>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</si>
  <si>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</si>
  <si>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</si>
  <si>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</si>
  <si>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</si>
  <si>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</si>
  <si>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</si>
  <si>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</si>
  <si>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</si>
  <si>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</si>
  <si>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</si>
  <si>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</si>
  <si>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</si>
  <si>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</si>
  <si>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</si>
  <si>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</si>
  <si>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</si>
  <si>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</si>
  <si>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</si>
  <si>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</si>
  <si>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</si>
  <si>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</si>
  <si>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</si>
  <si>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</si>
  <si>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</si>
  <si>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</si>
  <si>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</si>
  <si>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</si>
  <si>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</si>
  <si>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</si>
  <si>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</si>
  <si>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</si>
  <si>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</si>
  <si>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</si>
  <si>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</si>
  <si>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</si>
  <si>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</si>
  <si>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</si>
  <si>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</si>
  <si>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</si>
  <si>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</si>
  <si>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</si>
  <si>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</si>
  <si>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</si>
  <si>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</si>
  <si>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</si>
  <si>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</si>
  <si>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</si>
  <si>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</si>
  <si>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</si>
  <si>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</si>
  <si>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</si>
  <si>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</si>
  <si>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</si>
  <si>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</si>
  <si>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</si>
  <si>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</si>
  <si>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</si>
  <si>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</si>
  <si>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</si>
  <si>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</si>
  <si>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</si>
  <si>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</si>
  <si>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</si>
  <si>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</si>
  <si>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</si>
  <si>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</si>
  <si>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</si>
  <si>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</si>
  <si>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</si>
  <si>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</si>
  <si>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</si>
  <si>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</si>
  <si>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</si>
  <si>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</si>
  <si>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</si>
  <si>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</si>
  <si>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</si>
  <si>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</si>
  <si>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</si>
  <si>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</si>
  <si>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</si>
  <si>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</si>
  <si>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</si>
  <si>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</si>
  <si>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</si>
  <si>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</si>
  <si>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</si>
  <si>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</si>
  <si>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</si>
  <si>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</si>
  <si>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</si>
  <si>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</si>
  <si>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</si>
  <si>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</si>
  <si>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</si>
  <si>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</si>
  <si>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</si>
  <si>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</si>
  <si>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</si>
  <si>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</si>
  <si>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</si>
  <si>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</si>
  <si>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</si>
  <si>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</si>
  <si>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</si>
  <si>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</si>
  <si>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</si>
  <si>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</si>
  <si>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</si>
  <si>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</si>
  <si>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</si>
  <si>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</si>
  <si>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</si>
  <si>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</si>
  <si>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</si>
  <si>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</si>
  <si>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</si>
  <si>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</si>
  <si>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</si>
  <si>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</si>
  <si>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</si>
  <si>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</si>
  <si>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</si>
  <si>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</si>
  <si>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</si>
  <si>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</si>
  <si>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</si>
  <si>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</si>
  <si>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</si>
  <si>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</si>
  <si>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</si>
  <si>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</si>
  <si>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</si>
  <si>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</si>
  <si>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</si>
  <si>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</si>
  <si>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</si>
  <si>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</si>
  <si>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</si>
  <si>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</si>
  <si>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</si>
  <si>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</si>
  <si>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</si>
  <si>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</si>
  <si>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</si>
  <si>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</si>
  <si>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</si>
  <si>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</si>
  <si>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</si>
  <si>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</si>
  <si>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</si>
  <si>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</si>
  <si>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</si>
  <si>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</si>
  <si>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</si>
  <si>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</si>
  <si>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</si>
  <si>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</si>
  <si>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</si>
  <si>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</si>
  <si>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</si>
  <si>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</si>
  <si>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</si>
  <si>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</si>
  <si>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</si>
  <si>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</si>
  <si>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</si>
  <si>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</si>
  <si>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</si>
  <si>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</si>
  <si>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</si>
  <si>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</si>
  <si>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</si>
  <si>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</si>
  <si>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</si>
  <si>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</si>
  <si>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</si>
  <si>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</si>
  <si>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</si>
  <si>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</si>
  <si>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</si>
  <si>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</si>
  <si>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</si>
  <si>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</si>
  <si>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</si>
  <si>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</si>
  <si>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</si>
  <si>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</si>
  <si>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</si>
  <si>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</si>
  <si>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</si>
  <si>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</si>
  <si>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</si>
  <si>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</si>
  <si>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</si>
  <si>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</si>
  <si>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</si>
  <si>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</si>
  <si>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</si>
  <si>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</si>
  <si>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</si>
  <si>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</si>
  <si>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</si>
  <si>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</si>
  <si>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</si>
  <si>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</si>
  <si>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</si>
  <si>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</si>
  <si>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</si>
  <si>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</si>
  <si>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</si>
  <si>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</si>
  <si>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</si>
  <si>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</si>
  <si>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</si>
  <si>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</si>
  <si>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</si>
  <si>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</si>
  <si>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</si>
  <si>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</si>
  <si>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</si>
  <si>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</si>
  <si>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</si>
  <si>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</si>
  <si>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</si>
  <si>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</si>
  <si>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</si>
  <si>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</si>
  <si>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</si>
  <si>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</si>
  <si>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</si>
  <si>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</si>
  <si>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</si>
  <si>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</si>
  <si>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</si>
  <si>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</si>
  <si>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</si>
  <si>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</si>
  <si>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</si>
  <si>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</si>
  <si>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</si>
  <si>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</si>
  <si>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</si>
  <si>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</si>
  <si>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</si>
  <si>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</si>
  <si>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</si>
  <si>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</si>
  <si>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</si>
  <si>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</si>
  <si>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</si>
  <si>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</si>
  <si>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</si>
  <si>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</si>
  <si>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</si>
  <si>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</si>
  <si>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</si>
  <si>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</si>
  <si>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</si>
  <si>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</si>
  <si>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</si>
  <si>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</si>
  <si>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</si>
  <si>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</si>
  <si>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</si>
  <si>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</si>
  <si>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</si>
  <si>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</si>
  <si>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</si>
  <si>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</si>
  <si>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</si>
  <si>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</si>
  <si>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</si>
  <si>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</si>
  <si>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</si>
  <si>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</si>
  <si>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</si>
  <si>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</si>
  <si>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</si>
  <si>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</si>
  <si>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</si>
  <si>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</si>
  <si>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</si>
  <si>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</si>
  <si>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</si>
  <si>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</si>
  <si>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</si>
  <si>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</si>
  <si>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</si>
  <si>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</si>
  <si>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</si>
  <si>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</si>
  <si>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</si>
  <si>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</si>
  <si>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</si>
  <si>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</si>
  <si>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</si>
  <si>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</si>
  <si>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</si>
  <si>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</si>
  <si>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</si>
  <si>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</si>
  <si>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</si>
  <si>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</si>
  <si>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</si>
  <si>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</si>
  <si>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</si>
  <si>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</si>
  <si>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</si>
  <si>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</si>
  <si>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</si>
  <si>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</si>
  <si>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</si>
  <si>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</si>
  <si>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</si>
  <si>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</si>
  <si>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</si>
  <si>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</si>
  <si>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</si>
  <si>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</si>
  <si>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</si>
  <si>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</si>
  <si>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</si>
  <si>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</si>
  <si>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</si>
  <si>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</si>
  <si>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</si>
  <si>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</si>
  <si>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</si>
  <si>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</si>
  <si>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</si>
  <si>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</si>
  <si>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</si>
  <si>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</si>
  <si>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</si>
  <si>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</si>
  <si>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</si>
  <si>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</si>
  <si>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</si>
  <si>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</si>
  <si>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</si>
  <si>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</si>
  <si>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</si>
  <si>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</si>
  <si>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</si>
  <si>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</si>
  <si>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</si>
  <si>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</si>
  <si>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</si>
  <si>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</si>
  <si>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</si>
  <si>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</si>
  <si>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</si>
  <si>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</si>
  <si>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</si>
  <si>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</si>
  <si>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</si>
  <si>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</si>
  <si>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</si>
  <si>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</si>
  <si>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</si>
  <si>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</si>
  <si>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</si>
  <si>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</si>
  <si>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</si>
  <si>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</si>
  <si>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</si>
  <si>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</si>
  <si>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</si>
  <si>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</si>
  <si>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</si>
  <si>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</si>
  <si>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</si>
  <si>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</si>
  <si>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</si>
  <si>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</si>
  <si>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</si>
  <si>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</si>
  <si>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</si>
  <si>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</si>
  <si>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</si>
  <si>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</si>
  <si>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</si>
  <si>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</si>
  <si>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</si>
  <si>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</si>
  <si>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</si>
  <si>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</si>
  <si>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</si>
  <si>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</si>
  <si>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</si>
  <si>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</si>
  <si>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</si>
  <si>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</si>
  <si>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</si>
  <si>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</si>
  <si>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</si>
  <si>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</si>
  <si>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</si>
  <si>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</si>
  <si>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</si>
  <si>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</si>
  <si>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</si>
  <si>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</si>
  <si>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</si>
  <si>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</si>
  <si>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</si>
  <si>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</si>
  <si>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</si>
  <si>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</si>
  <si>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</si>
  <si>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</si>
  <si>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</si>
  <si>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</si>
  <si>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</si>
  <si>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</si>
  <si>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</si>
  <si>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</si>
  <si>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</si>
  <si>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</si>
  <si>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</si>
  <si>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</si>
  <si>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</si>
  <si>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</si>
  <si>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</si>
  <si>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</si>
  <si>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</si>
  <si>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</si>
  <si>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</si>
  <si>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</si>
  <si>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</si>
  <si>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</si>
  <si>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</si>
  <si>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</si>
  <si>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</si>
  <si>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</si>
  <si>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</si>
  <si>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</si>
  <si>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</si>
  <si>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</si>
  <si>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</si>
  <si>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</si>
  <si>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</si>
  <si>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</si>
  <si>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</si>
  <si>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</si>
  <si>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</si>
  <si>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</si>
  <si>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</si>
  <si>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</si>
  <si>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</si>
  <si>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</si>
  <si>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</si>
  <si>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</si>
  <si>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</si>
  <si>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</si>
  <si>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</si>
  <si>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</si>
  <si>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</si>
  <si>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</si>
  <si>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</si>
  <si>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</si>
  <si>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</si>
  <si>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</si>
  <si>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</si>
  <si>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</si>
  <si>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</si>
  <si>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</si>
  <si>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</si>
  <si>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</si>
  <si>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</si>
  <si>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</si>
  <si>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</si>
  <si>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</si>
  <si>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</si>
  <si>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</si>
  <si>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</si>
  <si>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</si>
  <si>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</si>
  <si>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</si>
  <si>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</si>
  <si>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</si>
  <si>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</si>
  <si>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</si>
  <si>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</si>
  <si>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</si>
  <si>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</si>
  <si>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</si>
  <si>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</si>
  <si>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</si>
  <si>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</si>
  <si>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</si>
  <si>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</si>
  <si>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</si>
  <si>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</si>
  <si>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</si>
  <si>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</si>
  <si>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</si>
  <si>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</si>
  <si>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</si>
  <si>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</si>
  <si>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</si>
  <si>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</si>
  <si>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</si>
  <si>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</si>
  <si>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</si>
  <si>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</si>
  <si>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</si>
  <si>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</si>
  <si>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</si>
  <si>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</si>
  <si>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</si>
  <si>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</si>
  <si>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</si>
  <si>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</si>
  <si>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</si>
  <si>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</si>
  <si>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</si>
  <si>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</si>
  <si>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</si>
  <si>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</si>
  <si>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</si>
  <si>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</si>
  <si>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</si>
  <si>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</si>
  <si>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</si>
  <si>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</si>
  <si>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</si>
  <si>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</si>
  <si>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</si>
  <si>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</si>
  <si>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</si>
  <si>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</si>
  <si>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</si>
  <si>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</si>
  <si>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</si>
  <si>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</si>
  <si>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</si>
  <si>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</si>
  <si>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</si>
  <si>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</si>
  <si>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</si>
  <si>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</si>
  <si>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</si>
  <si>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</si>
  <si>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</si>
  <si>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</si>
  <si>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</si>
  <si>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</si>
  <si>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</si>
  <si>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</si>
  <si>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</si>
  <si>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</si>
  <si>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</si>
  <si>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</si>
  <si>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</si>
  <si>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</si>
  <si>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</si>
  <si>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</si>
  <si>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</si>
  <si>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</si>
  <si>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</si>
  <si>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</si>
  <si>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</si>
  <si>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</si>
  <si>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</si>
  <si>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</si>
  <si>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</si>
  <si>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</si>
  <si>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</si>
  <si>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</si>
  <si>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</si>
  <si>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</si>
  <si>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</si>
  <si>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</si>
  <si>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</si>
  <si>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</si>
  <si>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</si>
  <si>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</si>
  <si>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</si>
  <si>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</si>
  <si>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</si>
  <si>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</si>
  <si>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</si>
  <si>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</si>
  <si>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</si>
  <si>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</si>
  <si>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</si>
  <si>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</si>
  <si>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</si>
  <si>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</si>
  <si>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</si>
  <si>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</si>
  <si>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</si>
  <si>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</si>
  <si>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</si>
  <si>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</si>
  <si>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</si>
  <si>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</si>
  <si>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</si>
  <si>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</si>
  <si>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</si>
  <si>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</si>
  <si>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</si>
  <si>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</si>
  <si>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</si>
  <si>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</si>
  <si>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</si>
  <si>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</si>
  <si>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</si>
  <si>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</si>
  <si>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</si>
  <si>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</si>
  <si>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</si>
  <si>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</si>
  <si>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</si>
  <si>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</si>
  <si>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</si>
  <si>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</si>
  <si>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</si>
  <si>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</si>
  <si>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</si>
  <si>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</si>
  <si>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</si>
  <si>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</si>
  <si>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</si>
  <si>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</si>
  <si>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</si>
  <si>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</si>
  <si>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</si>
  <si>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</si>
  <si>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</si>
  <si>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</si>
  <si>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</si>
  <si>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</si>
  <si>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</si>
  <si>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</si>
  <si>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</si>
  <si>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</si>
  <si>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</si>
  <si>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</si>
  <si>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</si>
  <si>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</si>
  <si>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</si>
  <si>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</si>
  <si>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</si>
  <si>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</si>
  <si>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</si>
  <si>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</si>
  <si>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</si>
  <si>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</si>
  <si>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</si>
  <si>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</si>
  <si>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</si>
  <si>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</si>
  <si>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</si>
  <si>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</si>
  <si>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</si>
  <si>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</si>
  <si>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</si>
  <si>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</si>
  <si>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</si>
  <si>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</si>
  <si>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</si>
  <si>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</si>
  <si>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</si>
  <si>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</si>
  <si>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</si>
  <si>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</si>
  <si>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</si>
  <si>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</si>
  <si>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</si>
  <si>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</si>
  <si>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</si>
  <si>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</si>
  <si>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</si>
  <si>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</si>
  <si>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</si>
  <si>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</si>
  <si>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</si>
  <si>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</si>
  <si>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</si>
  <si>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</si>
  <si>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</si>
  <si>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</si>
  <si>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</si>
  <si>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</si>
  <si>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</si>
  <si>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</si>
  <si>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</si>
  <si>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</si>
  <si>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</si>
  <si>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</si>
  <si>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</si>
  <si>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</si>
  <si>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</si>
  <si>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</si>
  <si>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</si>
  <si>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</si>
  <si>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</si>
  <si>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</si>
  <si>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</si>
  <si>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</si>
  <si>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</si>
  <si>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</si>
  <si>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</si>
  <si>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</si>
  <si>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</si>
  <si>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</si>
  <si>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</si>
  <si>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</si>
  <si>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</si>
  <si>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</si>
  <si>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</si>
  <si>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</si>
  <si>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</si>
  <si>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</si>
  <si>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</si>
  <si>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</si>
  <si>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</si>
  <si>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</si>
  <si>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</si>
  <si>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</si>
  <si>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</si>
  <si>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</si>
  <si>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</si>
  <si>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</si>
  <si>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</si>
  <si>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</si>
  <si>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</si>
  <si>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</si>
  <si>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</si>
  <si>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</si>
  <si>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</si>
  <si>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</si>
  <si>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</si>
  <si>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</si>
  <si>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</si>
  <si>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</si>
  <si>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</si>
  <si>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</si>
  <si>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</si>
  <si>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</si>
  <si>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</si>
  <si>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</si>
  <si>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</si>
  <si>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</si>
  <si>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</si>
  <si>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</si>
  <si>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</si>
  <si>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</si>
  <si>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</si>
  <si>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</si>
  <si>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</si>
  <si>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</si>
  <si>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</si>
  <si>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</si>
  <si>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</si>
  <si>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</si>
  <si>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</si>
  <si>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</si>
  <si>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</si>
  <si>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</si>
  <si>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</si>
  <si>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</si>
  <si>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</si>
  <si>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Jackson</t>
  </si>
  <si>
    <t>114 South 8th St.</t>
  </si>
  <si>
    <t>Elkville</t>
  </si>
  <si>
    <t>kspain@elv196.org</t>
  </si>
  <si>
    <t>Kevin Spain</t>
  </si>
  <si>
    <t>618-568-1321</t>
  </si>
  <si>
    <t>618-568-1152</t>
  </si>
  <si>
    <t>Kujawa &amp; Batteau, P.C.</t>
  </si>
  <si>
    <t>Kevin Batteau</t>
  </si>
  <si>
    <t>309 S. Walnut St.</t>
  </si>
  <si>
    <t>Pinckneyville</t>
  </si>
  <si>
    <t>IL</t>
  </si>
  <si>
    <t>618-357-3000</t>
  </si>
  <si>
    <t>618-357-3654</t>
  </si>
  <si>
    <t>kbatteau@kandb-cpa.com</t>
  </si>
  <si>
    <t>Series 2003A</t>
  </si>
  <si>
    <t>Series 2008</t>
  </si>
  <si>
    <t>2012 Life Safety Bonds</t>
  </si>
  <si>
    <t>2014 Taxable Working Capital/Refunding Bonds Series 2014A</t>
  </si>
  <si>
    <t>2014 General Obligation Refunding Bonds- Series 2014B</t>
  </si>
  <si>
    <t>Series 2016 Taxable General Obligation Bonds</t>
  </si>
  <si>
    <t>1,3</t>
  </si>
  <si>
    <t>Tri County Special Education</t>
  </si>
  <si>
    <t>Services</t>
  </si>
  <si>
    <t>20-2540.319</t>
  </si>
  <si>
    <t>Simplex Grinnell</t>
  </si>
  <si>
    <t>Exterminating District</t>
  </si>
  <si>
    <t>20-2540-320</t>
  </si>
  <si>
    <t xml:space="preserve">Terminix </t>
  </si>
  <si>
    <t>District Mowing</t>
  </si>
  <si>
    <t>20-2540-329</t>
  </si>
  <si>
    <t>Steve Mitchell</t>
  </si>
  <si>
    <t xml:space="preserve">Adjustment made on Acct Summar 7-8 for $206,368 because Liabilty bank account is not recorded on the GL. </t>
  </si>
  <si>
    <t>Adjustment made to reflect balance on the AFR.</t>
  </si>
  <si>
    <t>N/A</t>
  </si>
  <si>
    <t>Elverado CUSD 196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</si>
</sst>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476250</xdr:colOff>
          <xdr:row>2</xdr:row>
          <xdr:rowOff>104775</xdr:rowOff>
        </xdr:from>
        <xdr:to>
          <xdr:col>1</xdr:col>
          <xdr:colOff>1390650</xdr:colOff>
          <xdr:row>6</xdr:row>
          <xdr:rowOff>142875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9278030-286B-4072-9724-9A55418A1A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3</xdr:row>
          <xdr:rowOff>9525</xdr:rowOff>
        </xdr:from>
        <xdr:to>
          <xdr:col>1</xdr:col>
          <xdr:colOff>3000375</xdr:colOff>
          <xdr:row>7</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30096196026</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2113</v>
      </c>
      <c r="B17" s="2032"/>
      <c r="C17" s="2032"/>
      <c r="D17" s="2032"/>
      <c r="E17" s="2032"/>
      <c r="F17" s="2032"/>
      <c r="G17" s="2032"/>
      <c r="H17" s="2033"/>
      <c r="T17" s="2019" t="s">
        <v>2087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7" t="s">
        <v>2089</v>
      </c>
      <c r="Y19" s="2018"/>
      <c r="Z19" s="2015">
        <v>62274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v>65.028419999999997</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62932</v>
      </c>
      <c r="B25" s="2000"/>
      <c r="C25" s="2000"/>
      <c r="D25" s="2000"/>
      <c r="E25" s="2000"/>
      <c r="F25" s="2000"/>
      <c r="G25" s="2000"/>
      <c r="H25" s="2001"/>
      <c r="I25" s="113"/>
      <c r="J25" s="2066"/>
      <c r="K25" s="2066"/>
      <c r="L25" s="2066"/>
      <c r="M25" s="2066"/>
      <c r="N25" s="2066"/>
      <c r="O25" s="2066"/>
      <c r="P25" s="2066"/>
      <c r="Q25" s="2066"/>
      <c r="R25" s="2066"/>
      <c r="S25" s="2067"/>
      <c r="T25" s="1959" t="s">
        <v>2092</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2082</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2081</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2083</v>
      </c>
      <c r="B42" s="2049"/>
      <c r="C42" s="2050"/>
      <c r="D42" s="2063" t="s">
        <v>2084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Normal="10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472212</v>
      </c>
      <c r="C4" s="1546"/>
      <c r="D4" s="1774">
        <f>B4-C4</f>
        <v>472212</v>
      </c>
      <c r="E4" s="1546">
        <v>495888.59</v>
      </c>
      <c r="F4" s="1774">
        <f>E4-C4</f>
        <v>495888.59</v>
      </c>
    </row>
    <row r="5" spans="1:6" ht="13.7" customHeight="1" x14ac:dyDescent="0.2">
      <c r="A5" s="716" t="s">
        <v>925</v>
      </c>
      <c r="B5" s="1772">
        <f>'Revenues 9-14'!D5</f>
        <v>104924</v>
      </c>
      <c r="C5" s="585"/>
      <c r="D5" s="1775">
        <f t="shared" ref="D5:D18" si="0">B5-C5</f>
        <v>104924</v>
      </c>
      <c r="E5" s="585">
        <v>113029.01</v>
      </c>
      <c r="F5" s="1775">
        <f>E5-C5</f>
        <v>113029.01</v>
      </c>
    </row>
    <row r="6" spans="1:6" ht="13.7" customHeight="1" x14ac:dyDescent="0.2">
      <c r="A6" s="716" t="s">
        <v>431</v>
      </c>
      <c r="B6" s="1772">
        <f>'Revenues 9-14'!E5</f>
        <v>228028</v>
      </c>
      <c r="C6" s="585"/>
      <c r="D6" s="1775">
        <f t="shared" si="0"/>
        <v>228028</v>
      </c>
      <c r="E6" s="585">
        <f>62869.57+42415.99+2729.73+112940.42+12513.56</f>
        <v>233469.27</v>
      </c>
      <c r="F6" s="1775">
        <f t="shared" ref="F6:F18" si="1">E6-C6</f>
        <v>233469.27</v>
      </c>
    </row>
    <row r="7" spans="1:6" ht="13.7" customHeight="1" x14ac:dyDescent="0.2">
      <c r="A7" s="716" t="s">
        <v>157</v>
      </c>
      <c r="B7" s="1772">
        <f>'Revenues 9-14'!F5</f>
        <v>40650</v>
      </c>
      <c r="C7" s="585"/>
      <c r="D7" s="1775">
        <f t="shared" si="0"/>
        <v>40650</v>
      </c>
      <c r="E7" s="585">
        <v>43791.92</v>
      </c>
      <c r="F7" s="1775">
        <f t="shared" si="1"/>
        <v>43791.92</v>
      </c>
    </row>
    <row r="8" spans="1:6" ht="13.7" customHeight="1" x14ac:dyDescent="0.2">
      <c r="A8" s="716" t="s">
        <v>1241</v>
      </c>
      <c r="B8" s="1772">
        <f>'Revenues 9-14'!G5</f>
        <v>92216</v>
      </c>
      <c r="C8" s="585"/>
      <c r="D8" s="1775">
        <f t="shared" si="0"/>
        <v>92216</v>
      </c>
      <c r="E8" s="585">
        <f>47587.52+52003.26</f>
        <v>99590.78</v>
      </c>
      <c r="F8" s="1775">
        <f t="shared" si="1"/>
        <v>99590.78</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11394</v>
      </c>
      <c r="C10" s="585"/>
      <c r="D10" s="1775">
        <f t="shared" si="0"/>
        <v>11394</v>
      </c>
      <c r="E10" s="585">
        <v>12305.92</v>
      </c>
      <c r="F10" s="1775">
        <f t="shared" si="1"/>
        <v>12305.92</v>
      </c>
    </row>
    <row r="11" spans="1:6" x14ac:dyDescent="0.2">
      <c r="A11" s="716" t="s">
        <v>429</v>
      </c>
      <c r="B11" s="1772">
        <f>'Revenues 9-14'!J5</f>
        <v>102265</v>
      </c>
      <c r="C11" s="585"/>
      <c r="D11" s="1775">
        <f t="shared" si="0"/>
        <v>102265</v>
      </c>
      <c r="E11" s="585">
        <v>110166.39999999999</v>
      </c>
      <c r="F11" s="1775">
        <f t="shared" si="1"/>
        <v>110166.39999999999</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0</v>
      </c>
      <c r="C14" s="585"/>
      <c r="D14" s="1775">
        <f t="shared" si="0"/>
        <v>0</v>
      </c>
      <c r="E14" s="585">
        <v>14055.61</v>
      </c>
      <c r="F14" s="1775">
        <f t="shared" si="1"/>
        <v>14055.61</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0</v>
      </c>
      <c r="C16" s="585"/>
      <c r="D16" s="1775">
        <f t="shared" si="0"/>
        <v>0</v>
      </c>
      <c r="E16" s="585">
        <v>0</v>
      </c>
      <c r="F16" s="1775">
        <f t="shared" si="1"/>
        <v>0</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1051689</v>
      </c>
      <c r="C19" s="1773">
        <f>SUM(C4:C18)</f>
        <v>0</v>
      </c>
      <c r="D19" s="1773">
        <f>SUM(D4:D18)</f>
        <v>1051689</v>
      </c>
      <c r="E19" s="1773">
        <f>SUM(E4:E18)</f>
        <v>1122297.5000000002</v>
      </c>
      <c r="F19" s="1773">
        <f>SUM(F4:F18)</f>
        <v>1122297.5000000002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Normal="10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2093</v>
      </c>
      <c r="B31" s="734">
        <v>37865</v>
      </c>
      <c r="C31" s="735">
        <v>960000</v>
      </c>
      <c r="D31" s="736">
        <v>2</v>
      </c>
      <c r="E31" s="735">
        <v>175000</v>
      </c>
      <c r="F31" s="735"/>
      <c r="G31" s="735"/>
      <c r="H31" s="735"/>
      <c r="I31" s="1778">
        <f>((E31+F31)-H31)+G31</f>
        <v>175000</v>
      </c>
      <c r="J31" s="735">
        <v>98189</v>
      </c>
      <c r="K31" s="737"/>
    </row>
    <row r="32" spans="1:11" ht="12" customHeight="1" x14ac:dyDescent="0.2">
      <c r="A32" s="733" t="s">
        <v>2094</v>
      </c>
      <c r="B32" s="734">
        <v>39539</v>
      </c>
      <c r="C32" s="735">
        <v>44000</v>
      </c>
      <c r="D32" s="736">
        <v>7</v>
      </c>
      <c r="E32" s="735">
        <v>55000</v>
      </c>
      <c r="F32" s="735"/>
      <c r="G32" s="735"/>
      <c r="H32" s="735">
        <v>55000</v>
      </c>
      <c r="I32" s="1778">
        <f>((E32+F32)-H32)+G32</f>
        <v>0</v>
      </c>
      <c r="J32" s="735">
        <v>0</v>
      </c>
      <c r="K32" s="737"/>
    </row>
    <row r="33" spans="1:11" ht="12" customHeight="1" x14ac:dyDescent="0.2">
      <c r="A33" s="733" t="s">
        <v>2095</v>
      </c>
      <c r="B33" s="734">
        <v>41153</v>
      </c>
      <c r="C33" s="735">
        <v>95000</v>
      </c>
      <c r="D33" s="736">
        <v>4</v>
      </c>
      <c r="E33" s="735">
        <v>60000</v>
      </c>
      <c r="F33" s="735"/>
      <c r="G33" s="735"/>
      <c r="H33" s="735"/>
      <c r="I33" s="1778">
        <f t="shared" ref="I33:I48" si="1">((E33+F33)-H33)+G33</f>
        <v>60000</v>
      </c>
      <c r="J33" s="735">
        <v>60000</v>
      </c>
      <c r="K33" s="737"/>
    </row>
    <row r="34" spans="1:11" ht="12" customHeight="1" x14ac:dyDescent="0.2">
      <c r="A34" s="733" t="s">
        <v>2096</v>
      </c>
      <c r="B34" s="734">
        <v>41699</v>
      </c>
      <c r="C34" s="735">
        <v>935000</v>
      </c>
      <c r="D34" s="736" t="s">
        <v>2099</v>
      </c>
      <c r="E34" s="735">
        <v>485000</v>
      </c>
      <c r="F34" s="735"/>
      <c r="G34" s="735"/>
      <c r="H34" s="735">
        <v>85000</v>
      </c>
      <c r="I34" s="1778">
        <f t="shared" si="1"/>
        <v>400000</v>
      </c>
      <c r="J34" s="735">
        <v>400000</v>
      </c>
      <c r="K34" s="738"/>
    </row>
    <row r="35" spans="1:11" ht="12" customHeight="1" x14ac:dyDescent="0.2">
      <c r="A35" s="733" t="s">
        <v>2097</v>
      </c>
      <c r="B35" s="734">
        <v>41699</v>
      </c>
      <c r="C35" s="739">
        <v>255000</v>
      </c>
      <c r="D35" s="736">
        <v>3</v>
      </c>
      <c r="E35" s="739">
        <v>255000</v>
      </c>
      <c r="F35" s="739"/>
      <c r="G35" s="739"/>
      <c r="H35" s="739"/>
      <c r="I35" s="1778">
        <f t="shared" si="1"/>
        <v>255000</v>
      </c>
      <c r="J35" s="739">
        <v>255000</v>
      </c>
      <c r="K35" s="738"/>
    </row>
    <row r="36" spans="1:11" ht="12" customHeight="1" x14ac:dyDescent="0.2">
      <c r="A36" s="733" t="s">
        <v>2098</v>
      </c>
      <c r="B36" s="734">
        <v>42429</v>
      </c>
      <c r="C36" s="735">
        <v>850000</v>
      </c>
      <c r="D36" s="736">
        <v>1</v>
      </c>
      <c r="E36" s="735">
        <v>850000</v>
      </c>
      <c r="F36" s="735"/>
      <c r="G36" s="735"/>
      <c r="H36" s="735"/>
      <c r="I36" s="1778">
        <f t="shared" si="1"/>
        <v>850000</v>
      </c>
      <c r="J36" s="735">
        <v>850000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3139000</v>
      </c>
      <c r="D49" s="746"/>
      <c r="E49" s="1778">
        <f t="shared" ref="E49:J49" si="2">SUM(E31:E48)</f>
        <v>1880000</v>
      </c>
      <c r="F49" s="1778">
        <f t="shared" si="2"/>
        <v>0</v>
      </c>
      <c r="G49" s="1778">
        <f t="shared" si="2"/>
        <v>0</v>
      </c>
      <c r="H49" s="1778">
        <f t="shared" si="2"/>
        <v>140000</v>
      </c>
      <c r="I49" s="1778">
        <f t="shared" si="2"/>
        <v>1740000</v>
      </c>
      <c r="J49" s="1778">
        <f t="shared" si="2"/>
        <v>1663189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13519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13519</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13519</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13519</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0" colorId="8" zoomScaleNormal="10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21500</v>
      </c>
      <c r="D5" s="842"/>
      <c r="E5" s="842"/>
      <c r="F5" s="1782">
        <f>(C5+D5)-E5</f>
        <v>21500</v>
      </c>
      <c r="G5" s="838"/>
      <c r="H5" s="843"/>
      <c r="I5" s="843"/>
      <c r="J5" s="843"/>
      <c r="K5" s="794"/>
      <c r="L5" s="1791">
        <f>F5-K5</f>
        <v>21500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4786449</v>
      </c>
      <c r="D8" s="845"/>
      <c r="E8" s="845"/>
      <c r="F8" s="1782">
        <f>(C8+D8)-E8</f>
        <v>4786449</v>
      </c>
      <c r="G8" s="844">
        <v>50</v>
      </c>
      <c r="H8" s="766">
        <v>2338309</v>
      </c>
      <c r="I8" s="766">
        <v>95729</v>
      </c>
      <c r="J8" s="766"/>
      <c r="K8" s="1791">
        <f>(H8+I8)-J8</f>
        <v>2434038</v>
      </c>
      <c r="L8" s="1791">
        <f>F8-K8</f>
        <v>2352411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179927</v>
      </c>
      <c r="D10" s="847">
        <v>103124</v>
      </c>
      <c r="E10" s="847"/>
      <c r="F10" s="1786">
        <f>(C10+D10)-E10</f>
        <v>283051</v>
      </c>
      <c r="G10" s="844">
        <v>20</v>
      </c>
      <c r="H10" s="848">
        <v>36856</v>
      </c>
      <c r="I10" s="848">
        <v>14153</v>
      </c>
      <c r="J10" s="848"/>
      <c r="K10" s="1791">
        <f>(H10+I10)-J10</f>
        <v>51009</v>
      </c>
      <c r="L10" s="1791">
        <f>F10-K10</f>
        <v>232042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682230</v>
      </c>
      <c r="D12" s="845">
        <v>49572</v>
      </c>
      <c r="E12" s="845"/>
      <c r="F12" s="1782">
        <f>(C12+D12)-E12</f>
        <v>731802</v>
      </c>
      <c r="G12" s="844">
        <v>10</v>
      </c>
      <c r="H12" s="766">
        <v>680748</v>
      </c>
      <c r="I12" s="766">
        <v>5327</v>
      </c>
      <c r="J12" s="766"/>
      <c r="K12" s="1791">
        <f>(H12+I12)-J12</f>
        <v>686075</v>
      </c>
      <c r="L12" s="1791">
        <f>F12-K12</f>
        <v>45727</v>
      </c>
    </row>
    <row r="13" spans="1:14" ht="14.25" thickTop="1" thickBot="1" x14ac:dyDescent="0.25">
      <c r="A13" s="849" t="s">
        <v>1184</v>
      </c>
      <c r="B13" s="841">
        <v>252</v>
      </c>
      <c r="C13" s="845">
        <v>1011623</v>
      </c>
      <c r="D13" s="845">
        <v>47619</v>
      </c>
      <c r="E13" s="845"/>
      <c r="F13" s="1782">
        <f>(C13+D13)-E13</f>
        <v>1059242</v>
      </c>
      <c r="G13" s="844">
        <v>5</v>
      </c>
      <c r="H13" s="766">
        <v>930100</v>
      </c>
      <c r="I13" s="766">
        <v>37926</v>
      </c>
      <c r="J13" s="766"/>
      <c r="K13" s="1791">
        <f>(H13+I13)-J13</f>
        <v>968026</v>
      </c>
      <c r="L13" s="1791">
        <f>F13-K13</f>
        <v>91216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6681729</v>
      </c>
      <c r="D16" s="1782">
        <f>SUM(D3,D5:D6,D8:D10,D12:D15)</f>
        <v>200315</v>
      </c>
      <c r="E16" s="1782">
        <f>SUM(E3,E5:E6,E8:E10,E12:E15)</f>
        <v>0</v>
      </c>
      <c r="F16" s="1782">
        <f>SUM(F3,F5:F6,F8:F10,F12:F15)</f>
        <v>6882044</v>
      </c>
      <c r="G16" s="844"/>
      <c r="H16" s="1782">
        <f>SUM(H3,H6,H8:H10,H12:H14,)</f>
        <v>3986013</v>
      </c>
      <c r="I16" s="1782">
        <f>SUM(I3,I6,I8:I10,I12:I14,)</f>
        <v>153135</v>
      </c>
      <c r="J16" s="1782">
        <f>SUM(J3,J6,J8:J10,J12:J14,)</f>
        <v>0</v>
      </c>
      <c r="K16" s="1782">
        <f>(H16+I16)-J16</f>
        <v>4139148</v>
      </c>
      <c r="L16" s="1782">
        <f>F16-K16</f>
        <v>2742896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153135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61" colorId="8" zoomScaleNormal="100" workbookViewId="0"/>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3467605</v>
      </c>
      <c r="G8" s="866"/>
    </row>
    <row r="9" spans="1:7" x14ac:dyDescent="0.2">
      <c r="A9" s="870" t="s">
        <v>480</v>
      </c>
      <c r="B9" s="871" t="s">
        <v>1989</v>
      </c>
      <c r="C9" s="872"/>
      <c r="D9" s="870" t="s">
        <v>522</v>
      </c>
      <c r="E9" s="869"/>
      <c r="F9" s="1935">
        <f>'Expenditures 15-22'!K151</f>
        <v>320234</v>
      </c>
      <c r="G9" s="873"/>
    </row>
    <row r="10" spans="1:7" x14ac:dyDescent="0.2">
      <c r="A10" s="870" t="s">
        <v>520</v>
      </c>
      <c r="B10" s="871" t="s">
        <v>1990</v>
      </c>
      <c r="C10" s="872"/>
      <c r="D10" s="870" t="s">
        <v>522</v>
      </c>
      <c r="E10" s="869"/>
      <c r="F10" s="1935">
        <f>'Expenditures 15-22'!K174</f>
        <v>233392</v>
      </c>
      <c r="G10" s="873"/>
    </row>
    <row r="11" spans="1:7" x14ac:dyDescent="0.2">
      <c r="A11" s="870" t="s">
        <v>481</v>
      </c>
      <c r="B11" s="871" t="s">
        <v>1991</v>
      </c>
      <c r="C11" s="872"/>
      <c r="D11" s="870" t="s">
        <v>522</v>
      </c>
      <c r="E11" s="869"/>
      <c r="F11" s="1935">
        <f>'Expenditures 15-22'!K210</f>
        <v>219752</v>
      </c>
      <c r="G11" s="873"/>
    </row>
    <row r="12" spans="1:7" x14ac:dyDescent="0.2">
      <c r="A12" s="870" t="s">
        <v>482</v>
      </c>
      <c r="B12" s="871" t="s">
        <v>1992</v>
      </c>
      <c r="C12" s="872"/>
      <c r="D12" s="870" t="s">
        <v>522</v>
      </c>
      <c r="E12" s="869"/>
      <c r="F12" s="1935">
        <f>'Expenditures 15-22'!K295</f>
        <v>105477</v>
      </c>
      <c r="G12" s="873"/>
    </row>
    <row r="13" spans="1:7" x14ac:dyDescent="0.2">
      <c r="A13" s="870" t="s">
        <v>108</v>
      </c>
      <c r="B13" s="871" t="s">
        <v>1993</v>
      </c>
      <c r="C13" s="872"/>
      <c r="D13" s="870" t="s">
        <v>522</v>
      </c>
      <c r="E13" s="869"/>
      <c r="F13" s="1935">
        <f>'Expenditures 15-22'!K342</f>
        <v>140496</v>
      </c>
      <c r="G13" s="874"/>
    </row>
    <row r="14" spans="1:7" ht="12" customHeight="1" thickBot="1" x14ac:dyDescent="0.25">
      <c r="A14" s="1792"/>
      <c r="B14" s="1793"/>
      <c r="C14" s="1794"/>
      <c r="D14" s="1795" t="s">
        <v>522</v>
      </c>
      <c r="E14" s="1796" t="s">
        <v>1015</v>
      </c>
      <c r="F14" s="1797">
        <f>SUM(F8:F13)</f>
        <v>4486956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242</v>
      </c>
      <c r="G52" s="866"/>
    </row>
    <row r="53" spans="1:7" x14ac:dyDescent="0.2">
      <c r="A53" s="870" t="s">
        <v>479</v>
      </c>
      <c r="B53" s="870" t="s">
        <v>1551</v>
      </c>
      <c r="C53" s="890">
        <f>'Expenditures 15-22'!B102</f>
        <v>4000</v>
      </c>
      <c r="D53" s="889" t="str">
        <f>'Expenditures 15-22'!A102</f>
        <v>Total Payments to Other Govt Units</v>
      </c>
      <c r="E53" s="869"/>
      <c r="F53" s="1939">
        <f>'Expenditures 15-22'!K102</f>
        <v>390928</v>
      </c>
      <c r="G53" s="866"/>
    </row>
    <row r="54" spans="1:7" x14ac:dyDescent="0.2">
      <c r="A54" s="870" t="s">
        <v>479</v>
      </c>
      <c r="B54" s="870" t="s">
        <v>1552</v>
      </c>
      <c r="C54" s="890" t="s">
        <v>1039</v>
      </c>
      <c r="D54" s="886" t="s">
        <v>1157</v>
      </c>
      <c r="E54" s="869"/>
      <c r="F54" s="1939">
        <f>'Expenditures 15-22'!G114</f>
        <v>71902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16089</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140000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619161</v>
      </c>
      <c r="G76" s="866"/>
    </row>
    <row r="77" spans="1:8" s="894" customFormat="1" ht="12" customHeight="1" thickTop="1" thickBot="1" x14ac:dyDescent="0.25">
      <c r="A77" s="1801"/>
      <c r="B77" s="1798"/>
      <c r="C77" s="1794"/>
      <c r="D77" s="1799" t="s">
        <v>2012</v>
      </c>
      <c r="E77" s="1796"/>
      <c r="F77" s="1802">
        <f>(F14-F76)</f>
        <v>3867795</v>
      </c>
      <c r="G77" s="870"/>
    </row>
    <row r="78" spans="1:8" s="894" customFormat="1" ht="12" customHeight="1" thickTop="1" x14ac:dyDescent="0.2">
      <c r="A78" s="1803"/>
      <c r="B78" s="1798"/>
      <c r="C78" s="1794"/>
      <c r="D78" s="1799" t="s">
        <v>2059</v>
      </c>
      <c r="E78" s="1796"/>
      <c r="F78" s="899">
        <v>359.95</v>
      </c>
      <c r="G78" s="900"/>
      <c r="H78" s="870"/>
    </row>
    <row r="79" spans="1:8" s="894" customFormat="1" ht="12" customHeight="1" thickBot="1" x14ac:dyDescent="0.25">
      <c r="A79" s="1804"/>
      <c r="B79" s="1798"/>
      <c r="C79" s="1794"/>
      <c r="D79" s="1799" t="s">
        <v>2013</v>
      </c>
      <c r="E79" s="1796" t="s">
        <v>1015</v>
      </c>
      <c r="F79" s="1805">
        <f>IF(F78&gt;0,F77/F78," Complete Line 78")</f>
        <v>10745.367412140575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13900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47906</v>
      </c>
      <c r="G94" s="913"/>
    </row>
    <row r="95" spans="1:7" x14ac:dyDescent="0.2">
      <c r="A95" s="909" t="s">
        <v>142</v>
      </c>
      <c r="B95" s="909" t="s">
        <v>177</v>
      </c>
      <c r="C95" s="911">
        <v>1700</v>
      </c>
      <c r="D95" s="919" t="str">
        <f>'Revenues 9-14'!A82</f>
        <v>Total District/School Activity Income</v>
      </c>
      <c r="E95" s="907"/>
      <c r="F95" s="1811">
        <f>SUM('Revenues 9-14'!C82,'Revenues 9-14'!D82)</f>
        <v>16134</v>
      </c>
      <c r="G95" s="913"/>
    </row>
    <row r="96" spans="1:7" x14ac:dyDescent="0.2">
      <c r="A96" s="909" t="s">
        <v>479</v>
      </c>
      <c r="B96" s="909" t="s">
        <v>178</v>
      </c>
      <c r="C96" s="911">
        <f>'Revenues 9-14'!B84</f>
        <v>1811</v>
      </c>
      <c r="D96" s="912" t="str">
        <f>'Revenues 9-14'!A84</f>
        <v>Rentals - Regular Textbooks</v>
      </c>
      <c r="E96" s="907"/>
      <c r="F96" s="1811">
        <f>'Revenues 9-14'!C84</f>
        <v>6981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96202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2007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2047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6022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230950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185499</v>
      </c>
      <c r="G129" s="931"/>
    </row>
    <row r="130" spans="1:7" x14ac:dyDescent="0.2">
      <c r="A130" s="928" t="s">
        <v>689</v>
      </c>
      <c r="B130" s="928" t="s">
        <v>804</v>
      </c>
      <c r="C130" s="933">
        <v>4300</v>
      </c>
      <c r="D130" s="934" t="str">
        <f>'Revenues 9-14'!A211</f>
        <v>Total Title I</v>
      </c>
      <c r="E130" s="907"/>
      <c r="F130" s="1811">
        <f>SUM('Revenues 9-14'!C211,'Revenues 9-14'!D211,'Revenues 9-14'!F211,'Revenues 9-14'!G211)</f>
        <v>79158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1165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9763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6491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704975</v>
      </c>
    </row>
    <row r="179" spans="1:7" ht="12" customHeight="1" x14ac:dyDescent="0.2">
      <c r="A179" s="1792"/>
      <c r="B179" s="1806"/>
      <c r="C179" s="1807"/>
      <c r="D179" s="1808" t="s">
        <v>2015</v>
      </c>
      <c r="E179" s="1809"/>
      <c r="F179" s="1811">
        <f>'PCTC-OEPP 27-28'!F77-F178</f>
        <v>3162820</v>
      </c>
    </row>
    <row r="180" spans="1:7" ht="12" customHeight="1" x14ac:dyDescent="0.2">
      <c r="A180" s="1792"/>
      <c r="B180" s="1806"/>
      <c r="C180" s="1807"/>
      <c r="D180" s="1808" t="s">
        <v>1924</v>
      </c>
      <c r="E180" s="1809"/>
      <c r="F180" s="1811">
        <f>'Cap Outlay Deprec 26'!I18</f>
        <v>153135</v>
      </c>
    </row>
    <row r="181" spans="1:7" ht="12" customHeight="1" x14ac:dyDescent="0.2">
      <c r="A181" s="1792"/>
      <c r="B181" s="1806"/>
      <c r="C181" s="1807"/>
      <c r="D181" s="1808" t="s">
        <v>2016</v>
      </c>
      <c r="E181" s="1809"/>
      <c r="F181" s="1811">
        <f>F179+F180</f>
        <v>3315955</v>
      </c>
    </row>
    <row r="182" spans="1:7" ht="12" customHeight="1" x14ac:dyDescent="0.2">
      <c r="A182" s="1792"/>
      <c r="B182" s="1812"/>
      <c r="C182" s="1807"/>
      <c r="D182" s="1808" t="str">
        <f>D78</f>
        <v>9 Month ADA from District Average Daily Attendance/Prior General State Aid Inquiry 2017-2018</v>
      </c>
      <c r="E182" s="1809"/>
      <c r="F182" s="1813">
        <f>'PCTC-OEPP 27-28'!F78</f>
        <v>359.95</v>
      </c>
      <c r="G182" s="931"/>
    </row>
    <row r="183" spans="1:7" ht="12" customHeight="1" thickBot="1" x14ac:dyDescent="0.25">
      <c r="A183" s="1792"/>
      <c r="B183" s="1812"/>
      <c r="C183" s="1807"/>
      <c r="D183" s="1808" t="s">
        <v>2017</v>
      </c>
      <c r="E183" s="1809" t="s">
        <v>1626</v>
      </c>
      <c r="F183" s="1814">
        <f>F181/F182</f>
        <v>9212.2655924433948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19" sqref="B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2101</v>
      </c>
      <c r="B17" s="1957" t="s">
        <v>2102</v>
      </c>
      <c r="C17" s="1958" t="s">
        <v>2103</v>
      </c>
      <c r="D17" s="1867">
        <v>397.79</v>
      </c>
      <c r="E17" s="1562">
        <f t="shared" ref="E17:E141" si="1">IF(D17&lt;=25000,D17,IF(D17&gt;25000,25000,0))</f>
        <v>397.79</v>
      </c>
      <c r="F17" s="1815">
        <f t="shared" si="0"/>
        <v>0</v>
      </c>
      <c r="G17" s="1816">
        <f>IF(F17=0,0,D17-F17)</f>
        <v>0</v>
      </c>
      <c r="H17" s="1669"/>
    </row>
    <row r="18" spans="1:8" x14ac:dyDescent="0.25">
      <c r="A18" s="1956" t="s">
        <v>2104</v>
      </c>
      <c r="B18" s="1957" t="s">
        <v>2105</v>
      </c>
      <c r="C18" s="1958" t="s">
        <v>2106</v>
      </c>
      <c r="D18" s="1867">
        <f>1256+122+330+122+122</f>
        <v>1952</v>
      </c>
      <c r="E18" s="1562">
        <f t="shared" ref="E18:E140" si="2">IF(D18&lt;=25000,D18,IF(D18&gt;25000,25000,0))</f>
        <v>1952</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2107</v>
      </c>
      <c r="B19" s="1957" t="s">
        <v>2108</v>
      </c>
      <c r="C19" s="1958" t="s">
        <v>2109</v>
      </c>
      <c r="D19" s="1867">
        <v>8500</v>
      </c>
      <c r="E19" s="1562">
        <f t="shared" si="2"/>
        <v>8500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10849.79</v>
      </c>
      <c r="E141" s="1563">
        <f t="shared" si="1"/>
        <v>10849.79</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Normal="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44718</v>
      </c>
      <c r="F8" s="975"/>
      <c r="G8" s="976"/>
      <c r="H8" s="162"/>
      <c r="I8" s="162"/>
    </row>
    <row r="9" spans="1:9" s="669" customFormat="1" ht="12" customHeight="1" x14ac:dyDescent="0.2">
      <c r="A9" s="971" t="s">
        <v>132</v>
      </c>
      <c r="B9" s="972"/>
      <c r="C9" s="972"/>
      <c r="D9" s="973"/>
      <c r="E9" s="974">
        <f>'Expenditures 15-22'!C124+'Expenditures 15-22'!D266</f>
        <v>132834</v>
      </c>
      <c r="F9" s="975"/>
      <c r="G9" s="976"/>
      <c r="H9" s="162"/>
      <c r="I9" s="162"/>
    </row>
    <row r="10" spans="1:9" s="669" customFormat="1" ht="12" customHeight="1" x14ac:dyDescent="0.2">
      <c r="A10" s="971" t="s">
        <v>2076</v>
      </c>
      <c r="B10" s="972"/>
      <c r="C10" s="977"/>
      <c r="D10" s="973"/>
      <c r="E10" s="974">
        <f>'Expenditures 15-22'!C63</f>
        <v>83973</v>
      </c>
      <c r="F10" s="975"/>
      <c r="G10" s="976"/>
      <c r="H10" s="162"/>
      <c r="I10" s="162"/>
    </row>
    <row r="11" spans="1:9" s="669" customFormat="1" ht="22.5" customHeight="1" x14ac:dyDescent="0.2">
      <c r="A11" s="2305" t="s">
        <v>1945</v>
      </c>
      <c r="B11" s="2306"/>
      <c r="C11" s="2306"/>
      <c r="D11" s="2307"/>
      <c r="E11" s="978">
        <v>18621.2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2132080</v>
      </c>
      <c r="F19" s="1822"/>
      <c r="G19" s="1824">
        <f>'Expenditures 15-22'!K33-SUM('Expenditures 15-22'!G33,'Expenditures 15-22'!I33)+'Expenditures 15-22'!D229</f>
        <v>2132080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136036</v>
      </c>
      <c r="F21" s="1825"/>
      <c r="G21" s="1828">
        <f>'Expenditures 15-22'!K42-SUM('Expenditures 15-22'!G42,'Expenditures 15-22'!I42)+'Expenditures 15-22'!K120-SUM('Expenditures 15-22'!G120,'Expenditures 15-22'!I120)+'Expenditures 15-22'!K180-SUM('Expenditures 15-22'!G180,'Expenditures 15-22'!I180)+'Expenditures 15-22'!D238</f>
        <v>136036</v>
      </c>
      <c r="H21" s="988"/>
      <c r="I21" s="162"/>
    </row>
    <row r="22" spans="1:9" s="669" customFormat="1" ht="12" customHeight="1" x14ac:dyDescent="0.2">
      <c r="A22" s="995" t="s">
        <v>585</v>
      </c>
      <c r="B22" s="996"/>
      <c r="C22" s="994">
        <v>2200</v>
      </c>
      <c r="D22" s="1825"/>
      <c r="E22" s="1827">
        <f>'Expenditures 15-22'!K47-SUM('Expenditures 15-22'!G47,'Expenditures 15-22'!I47)+'Expenditures 15-22'!D243</f>
        <v>97038</v>
      </c>
      <c r="F22" s="1825"/>
      <c r="G22" s="1828">
        <f>'Expenditures 15-22'!K47-SUM('Expenditures 15-22'!G47,'Expenditures 15-22'!I47)+'Expenditures 15-22'!D243</f>
        <v>97038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298561</v>
      </c>
      <c r="F23" s="1825"/>
      <c r="G23" s="1827">
        <f>'Expenditures 15-22'!K53-SUM('Expenditures 15-22'!G53,'Expenditures 15-22'!I53)+'Expenditures 15-22'!D257+'Expenditures 15-22'!K330-SUM('Expenditures 15-22'!G330,'Expenditures 15-22'!I330)</f>
        <v>298561</v>
      </c>
      <c r="H23" s="988"/>
      <c r="I23" s="162"/>
    </row>
    <row r="24" spans="1:9" s="669" customFormat="1" ht="12" customHeight="1" x14ac:dyDescent="0.2">
      <c r="A24" s="995" t="s">
        <v>587</v>
      </c>
      <c r="B24" s="996"/>
      <c r="C24" s="994">
        <v>2400</v>
      </c>
      <c r="D24" s="1825"/>
      <c r="E24" s="1827">
        <f>'Expenditures 15-22'!K57-SUM('Expenditures 15-22'!G57,'Expenditures 15-22'!I57)+'Expenditures 15-22'!D261</f>
        <v>276036</v>
      </c>
      <c r="F24" s="1825"/>
      <c r="G24" s="1828">
        <f>'Expenditures 15-22'!K57-SUM('Expenditures 15-22'!G57,'Expenditures 15-22'!I57)+'Expenditures 15-22'!D261</f>
        <v>276036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18114</v>
      </c>
      <c r="E27" s="1827">
        <f>E8</f>
        <v>44718</v>
      </c>
      <c r="F27" s="1827">
        <f>'Expenditures 15-22'!K60-SUM('Expenditures 15-22'!G60,'Expenditures 15-22'!I60)+'Expenditures 15-22'!D264-E8</f>
        <v>18114</v>
      </c>
      <c r="G27" s="1828">
        <f>E8</f>
        <v>44718</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325776</v>
      </c>
      <c r="F28" s="1829">
        <f>'Expenditures 15-22'!K61-SUM('Expenditures 15-22'!G61,'Expenditures 15-22'!I61)+'Expenditures 15-22'!K124-SUM('Expenditures 15-22'!G124,'Expenditures 15-22'!I124)+'Expenditures 15-22'!D266-E9</f>
        <v>192942</v>
      </c>
      <c r="G28" s="1828">
        <f>E9</f>
        <v>132834</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235254</v>
      </c>
      <c r="F29" s="1825"/>
      <c r="G29" s="1828">
        <f>'Expenditures 15-22'!K62-SUM('Expenditures 15-22'!G62,'Expenditures 15-22'!I62)+'Expenditures 15-22'!K125-SUM('Expenditures 15-22'!G125,'Expenditures 15-22'!I125)+'Expenditures 15-22'!K182-SUM('Expenditures 15-22'!G182,'Expenditures 15-22'!I182)+'Expenditures 15-22'!D267</f>
        <v>235254</v>
      </c>
      <c r="H29" s="986"/>
    </row>
    <row r="30" spans="1:9" ht="12" customHeight="1" x14ac:dyDescent="0.2">
      <c r="A30" s="995" t="s">
        <v>102</v>
      </c>
      <c r="B30" s="998"/>
      <c r="C30" s="994">
        <v>2560</v>
      </c>
      <c r="D30" s="1825"/>
      <c r="E30" s="1827">
        <f>'Expenditures 15-22'!K63-SUM('Expenditures 15-22'!G63,'Expenditures 15-22'!I63)+'Expenditures 15-22'!D268-E10</f>
        <v>126817</v>
      </c>
      <c r="F30" s="1825"/>
      <c r="G30" s="1827">
        <f>'Expenditures 15-22'!K63-SUM('Expenditures 15-22'!G63,'Expenditures 15-22'!I63)+'Expenditures 15-22'!D268-E10</f>
        <v>126817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242</v>
      </c>
      <c r="F39" s="1825"/>
      <c r="G39" s="1827">
        <f>'Expenditures 15-22'!K75-SUM('Expenditures 15-22'!G75,'Expenditures 15-22'!I75)+'Expenditures 15-22'!K130-SUM('Expenditures 15-22'!G130,'Expenditures 15-22'!I130)+'Expenditures 15-22'!K185-SUM('Expenditures 15-22'!G185,'Expenditures 15-22'!I185)+'Expenditures 15-22'!D280</f>
        <v>242</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18114</v>
      </c>
      <c r="E41" s="1829">
        <f>SUM(E19:E40)</f>
        <v>3672558</v>
      </c>
      <c r="F41" s="1829">
        <f>SUM(F19:F39)</f>
        <v>211056</v>
      </c>
      <c r="G41" s="1829">
        <f>SUM(G19:G40)</f>
        <v>3479616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18114</v>
      </c>
      <c r="F43" s="1830" t="s">
        <v>495</v>
      </c>
      <c r="G43" s="1831">
        <f>F41</f>
        <v>211056</v>
      </c>
    </row>
    <row r="44" spans="1:7" ht="12" customHeight="1" x14ac:dyDescent="0.2">
      <c r="A44" s="988"/>
      <c r="B44" s="162"/>
      <c r="C44" s="1002"/>
      <c r="D44" s="1830" t="s">
        <v>494</v>
      </c>
      <c r="E44" s="1831">
        <f>E41</f>
        <v>3672558</v>
      </c>
      <c r="F44" s="1830" t="s">
        <v>494</v>
      </c>
      <c r="G44" s="1831">
        <f>G41</f>
        <v>3479616</v>
      </c>
    </row>
    <row r="45" spans="1:7" ht="12" customHeight="1" x14ac:dyDescent="0.2">
      <c r="A45" s="988"/>
      <c r="B45" s="162"/>
      <c r="C45" s="162"/>
      <c r="D45" s="1832" t="s">
        <v>1063</v>
      </c>
      <c r="E45" s="1833">
        <f>(E43/E44)</f>
        <v>4.9322570263015588E-3</v>
      </c>
      <c r="F45" s="1832" t="s">
        <v>1063</v>
      </c>
      <c r="G45" s="1833">
        <f>(G43/G44)</f>
        <v>6.0654968824146116E-2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Elverado CUSD 196</v>
      </c>
      <c r="D6" s="2315"/>
      <c r="E6" s="2315"/>
      <c r="F6" s="1877"/>
    </row>
    <row r="7" spans="1:10" ht="11.25" customHeight="1" thickBot="1" x14ac:dyDescent="0.3">
      <c r="A7" s="1875"/>
      <c r="B7" s="1876"/>
      <c r="C7" s="2316">
        <f>COVER!A13</f>
        <v>30096196026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9" colorId="8" zoomScaleNormal="10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Elverado CUSD 196</v>
      </c>
      <c r="J6" s="2336"/>
      <c r="Q6" s="1686"/>
    </row>
    <row r="7" spans="1:17" x14ac:dyDescent="0.2">
      <c r="A7" s="2337" t="s">
        <v>924</v>
      </c>
      <c r="B7" s="2338"/>
      <c r="C7" s="2338"/>
      <c r="D7" s="2338"/>
      <c r="E7" s="2339"/>
      <c r="F7" s="1018"/>
      <c r="G7" s="1010"/>
      <c r="H7" s="1017" t="s">
        <v>390</v>
      </c>
      <c r="I7" s="2340">
        <f>COVER!A13</f>
        <v>30096196026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133977</v>
      </c>
      <c r="F12" s="1040"/>
      <c r="G12" s="1834">
        <f t="shared" ref="G12:G18" si="0">SUM(E12:F12)</f>
        <v>133977</v>
      </c>
      <c r="H12" s="1041">
        <v>79095</v>
      </c>
      <c r="I12" s="1040"/>
      <c r="J12" s="1834">
        <f t="shared" ref="J12:J18" si="1">SUM(H12:I12)</f>
        <v>79095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133977</v>
      </c>
      <c r="F19" s="1836">
        <f t="shared" si="2"/>
        <v>0</v>
      </c>
      <c r="G19" s="1836">
        <f t="shared" si="2"/>
        <v>133977</v>
      </c>
      <c r="H19" s="1836">
        <f t="shared" si="2"/>
        <v>79095</v>
      </c>
      <c r="I19" s="1836">
        <f t="shared" si="2"/>
        <v>0</v>
      </c>
      <c r="J19" s="1836">
        <f t="shared" si="2"/>
        <v>79095</v>
      </c>
    </row>
    <row r="20" spans="1:10" ht="13.5" thickTop="1" x14ac:dyDescent="0.2">
      <c r="A20" s="1036">
        <v>9</v>
      </c>
      <c r="B20" s="2347" t="s">
        <v>1703</v>
      </c>
      <c r="C20" s="2347"/>
      <c r="D20" s="2348"/>
      <c r="E20" s="1047"/>
      <c r="F20" s="1047"/>
      <c r="G20" s="1047"/>
      <c r="H20" s="1047"/>
      <c r="I20" s="1047"/>
      <c r="J20" s="1837">
        <f>IF(AND(G19&gt;0,J19&gt;0),(((J19-G19)/G19)),"Enter Budget Data")</f>
        <v>-0.40963747508900783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34" zoomScaleNormal="10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c r="B6" s="329" t="s">
        <v>2111</v>
      </c>
    </row>
    <row r="7" spans="1:2" x14ac:dyDescent="0.2">
      <c r="A7" s="1069">
        <v>2</v>
      </c>
    </row>
    <row r="8" spans="1:2" x14ac:dyDescent="0.2">
      <c r="A8" s="1069">
        <v>3</v>
      </c>
    </row>
    <row r="9" spans="1:2" x14ac:dyDescent="0.2">
      <c r="A9" s="1069">
        <v>4</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Elverado CUSD 196</v>
      </c>
    </row>
    <row r="66" spans="1:2" x14ac:dyDescent="0.2">
      <c r="B66" s="1071">
        <f>COVER!A13</f>
        <v>30096196026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28"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476250</xdr:colOff>
                <xdr:row>2</xdr:row>
                <xdr:rowOff>104775</xdr:rowOff>
              </from>
              <to>
                <xdr:col>1</xdr:col>
                <xdr:colOff>1390650</xdr:colOff>
                <xdr:row>6</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2085975</xdr:colOff>
                <xdr:row>3</xdr:row>
                <xdr:rowOff>9525</xdr:rowOff>
              </from>
              <to>
                <xdr:col>1</xdr:col>
                <xdr:colOff>3000375</xdr:colOff>
                <xdr:row>7</xdr:row>
                <xdr:rowOff>133350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23"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3410645</v>
      </c>
      <c r="C8" s="1838">
        <f>'Acct Summary 7-8'!D8</f>
        <v>326162</v>
      </c>
      <c r="D8" s="1838">
        <f>'Acct Summary 7-8'!F8</f>
        <v>288807</v>
      </c>
      <c r="E8" s="1838">
        <f>'Acct Summary 7-8'!I8</f>
        <v>11523</v>
      </c>
      <c r="F8" s="1838">
        <f>SUM(B8:E8)</f>
        <v>4037137</v>
      </c>
    </row>
    <row r="9" spans="1:8" s="1080" customFormat="1" ht="14.25" customHeight="1" thickBot="1" x14ac:dyDescent="0.25">
      <c r="A9" s="1079" t="s">
        <v>1436</v>
      </c>
      <c r="B9" s="1839">
        <f>'Acct Summary 7-8'!C17</f>
        <v>3467605</v>
      </c>
      <c r="C9" s="1839">
        <f>'Acct Summary 7-8'!D17</f>
        <v>320234</v>
      </c>
      <c r="D9" s="1839">
        <f>'Acct Summary 7-8'!F17</f>
        <v>219752</v>
      </c>
      <c r="E9" s="1838"/>
      <c r="F9" s="1838">
        <f>SUM(B9:E9)</f>
        <v>4007591</v>
      </c>
    </row>
    <row r="10" spans="1:8" s="1080" customFormat="1" ht="14.25" thickTop="1" thickBot="1" x14ac:dyDescent="0.25">
      <c r="A10" s="1081" t="s">
        <v>1437</v>
      </c>
      <c r="B10" s="1840">
        <f>(B8-B9)</f>
        <v>-56960</v>
      </c>
      <c r="C10" s="1840">
        <f>(C8-C9)</f>
        <v>5928</v>
      </c>
      <c r="D10" s="1840">
        <f>(D8-D9)</f>
        <v>69055</v>
      </c>
      <c r="E10" s="1839">
        <f>(E8-E9)</f>
        <v>11523</v>
      </c>
      <c r="F10" s="1841">
        <f>SUM(F8-F9)</f>
        <v>29546</v>
      </c>
    </row>
    <row r="11" spans="1:8" s="1080" customFormat="1" ht="14.25" thickTop="1" thickBot="1" x14ac:dyDescent="0.25">
      <c r="A11" s="1082" t="s">
        <v>1785</v>
      </c>
      <c r="B11" s="1842">
        <f>'Acct Summary 7-8'!C81</f>
        <v>593752</v>
      </c>
      <c r="C11" s="1842">
        <f>'Acct Summary 7-8'!D81</f>
        <v>193020</v>
      </c>
      <c r="D11" s="1842">
        <f>'Acct Summary 7-8'!F81</f>
        <v>126423</v>
      </c>
      <c r="E11" s="1842">
        <f>'Acct Summary 7-8'!I81</f>
        <v>22254</v>
      </c>
      <c r="F11" s="1843">
        <f>SUM(B11:E11)</f>
        <v>935449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30096196026</v>
      </c>
    </row>
    <row r="3" spans="1:2" x14ac:dyDescent="0.2">
      <c r="A3" t="s">
        <v>1013</v>
      </c>
      <c r="B3" s="138" t="str">
        <f>COVER!A15</f>
        <v>Jackson</v>
      </c>
    </row>
    <row r="4" spans="1:2" x14ac:dyDescent="0.2">
      <c r="A4" t="s">
        <v>1064</v>
      </c>
      <c r="B4" s="138" t="str">
        <f>COVER!A17</f>
        <v>Elverado CUSD 196</v>
      </c>
    </row>
    <row r="5" spans="1:2" x14ac:dyDescent="0.2">
      <c r="A5" t="s">
        <v>728</v>
      </c>
      <c r="B5" s="138" t="str">
        <f>COVER!A38</f>
        <v>Kevin Spain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v>
      </c>
    </row>
    <row r="19" spans="1:2" x14ac:dyDescent="0.2">
      <c r="A19" t="s">
        <v>941</v>
      </c>
      <c r="B19" s="138" t="str">
        <f>COVER!T25</f>
        <v>kbatteau@kandb-cpa.com</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35796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596694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2942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2942</v>
      </c>
      <c r="C91" s="2" t="s">
        <v>594</v>
      </c>
      <c r="D91" s="2" t="str">
        <f t="shared" si="0"/>
        <v>Error?</v>
      </c>
    </row>
    <row r="92" spans="1:4" x14ac:dyDescent="0.2">
      <c r="A92" s="5">
        <v>31</v>
      </c>
      <c r="B92" s="138">
        <f>'Assets-Liab 5-6'!C39</f>
        <v>593752</v>
      </c>
      <c r="D92" s="2" t="str">
        <f t="shared" si="0"/>
        <v>Error?</v>
      </c>
    </row>
    <row r="93" spans="1:4" x14ac:dyDescent="0.2">
      <c r="A93" s="5">
        <v>32</v>
      </c>
      <c r="B93" s="138">
        <f>'Assets-Liab 5-6'!C41</f>
        <v>596694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193050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30</v>
      </c>
      <c r="C122" s="2" t="s">
        <v>594</v>
      </c>
      <c r="D122" s="2" t="str">
        <f t="shared" si="0"/>
        <v>Error?</v>
      </c>
    </row>
    <row r="123" spans="1:4" x14ac:dyDescent="0.2">
      <c r="A123" s="5">
        <v>62</v>
      </c>
      <c r="B123" s="138">
        <f>'Assets-Liab 5-6'!D39</f>
        <v>193020</v>
      </c>
      <c r="D123" s="2" t="str">
        <f t="shared" si="0"/>
        <v>Error?</v>
      </c>
    </row>
    <row r="124" spans="1:4" x14ac:dyDescent="0.2">
      <c r="A124" s="5">
        <v>63</v>
      </c>
      <c r="B124" s="138">
        <f>'Assets-Liab 5-6'!D41</f>
        <v>193050</v>
      </c>
      <c r="C124" s="2" t="s">
        <v>594</v>
      </c>
      <c r="D124" s="2" t="str">
        <f t="shared" si="0"/>
        <v>Error?</v>
      </c>
    </row>
    <row r="125" spans="1:4" x14ac:dyDescent="0.2">
      <c r="A125" s="10">
        <v>64</v>
      </c>
      <c r="D125" s="2" t="str">
        <f t="shared" si="0"/>
        <v>OK</v>
      </c>
    </row>
    <row r="126" spans="1:4" x14ac:dyDescent="0.2">
      <c r="A126" s="5">
        <v>65</v>
      </c>
      <c r="B126" s="138">
        <f>'Assets-Liab 5-6'!E6</f>
        <v>76811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76811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76811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126450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126450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169583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169583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143489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45000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143489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21500</v>
      </c>
      <c r="D273" s="2" t="str">
        <f t="shared" si="3"/>
        <v>Error?</v>
      </c>
    </row>
    <row r="274" spans="1:4" x14ac:dyDescent="0.2">
      <c r="A274" s="5">
        <v>213</v>
      </c>
      <c r="B274" s="138">
        <f>'Assets-Liab 5-6'!M17</f>
        <v>4786449</v>
      </c>
      <c r="D274" s="2" t="str">
        <f t="shared" si="3"/>
        <v>Error?</v>
      </c>
    </row>
    <row r="275" spans="1:4" x14ac:dyDescent="0.2">
      <c r="A275" s="5">
        <v>214</v>
      </c>
      <c r="B275" s="138">
        <f>'Assets-Liab 5-6'!M18</f>
        <v>283051</v>
      </c>
      <c r="D275" s="2" t="str">
        <f t="shared" si="3"/>
        <v>Error?</v>
      </c>
    </row>
    <row r="276" spans="1:4" x14ac:dyDescent="0.2">
      <c r="A276" s="5">
        <v>215</v>
      </c>
      <c r="B276" s="138">
        <f>'Assets-Liab 5-6'!M19</f>
        <v>1791044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6882044</v>
      </c>
      <c r="C279" s="2" t="s">
        <v>594</v>
      </c>
      <c r="D279" s="2" t="str">
        <f t="shared" si="3"/>
        <v>Error?</v>
      </c>
    </row>
    <row r="280" spans="1:4" x14ac:dyDescent="0.2">
      <c r="A280" s="5">
        <v>219</v>
      </c>
      <c r="B280" s="138">
        <f>'Assets-Liab 5-6'!M40</f>
        <v>6882044</v>
      </c>
      <c r="D280" s="2" t="str">
        <f t="shared" si="3"/>
        <v>Error?</v>
      </c>
    </row>
    <row r="281" spans="1:4" x14ac:dyDescent="0.2">
      <c r="A281" s="5">
        <v>220</v>
      </c>
      <c r="B281" s="138">
        <f>'Assets-Liab 5-6'!M41</f>
        <v>6882044</v>
      </c>
      <c r="C281" s="2" t="s">
        <v>594</v>
      </c>
      <c r="D281" s="2" t="str">
        <f t="shared" si="3"/>
        <v>Error?</v>
      </c>
    </row>
    <row r="282" spans="1:4" x14ac:dyDescent="0.2">
      <c r="A282" s="5">
        <v>221</v>
      </c>
      <c r="B282" s="138">
        <f>'Assets-Liab 5-6'!N21</f>
        <v>76811</v>
      </c>
      <c r="D282" s="2" t="str">
        <f t="shared" si="3"/>
        <v>Error?</v>
      </c>
    </row>
    <row r="283" spans="1:4" x14ac:dyDescent="0.2">
      <c r="A283" s="5">
        <v>222</v>
      </c>
      <c r="B283" s="138">
        <f>'Assets-Liab 5-6'!N22</f>
        <v>1663189</v>
      </c>
      <c r="D283" s="2" t="str">
        <f t="shared" si="3"/>
        <v>Error?</v>
      </c>
    </row>
    <row r="284" spans="1:4" x14ac:dyDescent="0.2">
      <c r="A284" s="5">
        <v>223</v>
      </c>
      <c r="B284" s="138">
        <f>'Assets-Liab 5-6'!N23</f>
        <v>1740000</v>
      </c>
      <c r="C284" s="2" t="s">
        <v>594</v>
      </c>
      <c r="D284" s="2" t="str">
        <f t="shared" si="3"/>
        <v>Error?</v>
      </c>
    </row>
    <row r="285" spans="1:4" x14ac:dyDescent="0.2">
      <c r="A285" s="5">
        <v>224</v>
      </c>
      <c r="B285" s="138">
        <f>'Assets-Liab 5-6'!N36</f>
        <v>1740000</v>
      </c>
      <c r="D285" s="2" t="str">
        <f t="shared" si="3"/>
        <v>Error?</v>
      </c>
    </row>
    <row r="286" spans="1:4" x14ac:dyDescent="0.2">
      <c r="A286" s="10">
        <v>225</v>
      </c>
      <c r="D286" s="2" t="str">
        <f t="shared" si="3"/>
        <v>OK</v>
      </c>
    </row>
    <row r="287" spans="1:4" x14ac:dyDescent="0.2">
      <c r="A287" s="5">
        <v>226</v>
      </c>
      <c r="B287" s="138">
        <f>'Assets-Liab 5-6'!N37</f>
        <v>1740000</v>
      </c>
      <c r="C287" s="2" t="s">
        <v>594</v>
      </c>
      <c r="D287" s="2" t="str">
        <f t="shared" si="3"/>
        <v>Error?</v>
      </c>
    </row>
    <row r="288" spans="1:4" x14ac:dyDescent="0.2">
      <c r="A288" s="5">
        <v>227</v>
      </c>
      <c r="B288" s="138">
        <f>'Assets-Liab 5-6'!N41</f>
        <v>1740000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1157348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48363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1573560</v>
      </c>
      <c r="C720" s="2" t="s">
        <v>594</v>
      </c>
      <c r="D720" s="2" t="str">
        <f t="shared" si="10"/>
        <v>Error?</v>
      </c>
    </row>
    <row r="721" spans="1:4" x14ac:dyDescent="0.2">
      <c r="A721" s="5">
        <v>660</v>
      </c>
      <c r="B721" s="138">
        <f>'Expenditures 15-22'!C36</f>
        <v>35825</v>
      </c>
      <c r="D721" s="2" t="str">
        <f t="shared" si="10"/>
        <v>Error?</v>
      </c>
    </row>
    <row r="722" spans="1:4" x14ac:dyDescent="0.2">
      <c r="A722" s="5">
        <v>661</v>
      </c>
      <c r="B722" s="138">
        <f>'Expenditures 15-22'!C37</f>
        <v>22061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48847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106733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60607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60607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109311</v>
      </c>
      <c r="D733" s="2" t="str">
        <f t="shared" si="10"/>
        <v>Error?</v>
      </c>
    </row>
    <row r="734" spans="1:4" x14ac:dyDescent="0.2">
      <c r="A734" s="5">
        <v>673</v>
      </c>
      <c r="B734" s="138">
        <f>'Expenditures 15-22'!C53</f>
        <v>109311</v>
      </c>
      <c r="C734" s="2" t="s">
        <v>594</v>
      </c>
      <c r="D734" s="2" t="str">
        <f t="shared" si="10"/>
        <v>Error?</v>
      </c>
    </row>
    <row r="735" spans="1:4" x14ac:dyDescent="0.2">
      <c r="A735" s="5">
        <v>674</v>
      </c>
      <c r="B735" s="138">
        <f>'Expenditures 15-22'!C55</f>
        <v>216988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216988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38924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83973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122897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616536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2190096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279494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4285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393061</v>
      </c>
      <c r="C778" s="2" t="s">
        <v>594</v>
      </c>
      <c r="D778" s="2" t="str">
        <f t="shared" si="11"/>
        <v>Error?</v>
      </c>
    </row>
    <row r="779" spans="1:4" x14ac:dyDescent="0.2">
      <c r="A779" s="5">
        <v>718</v>
      </c>
      <c r="B779" s="138">
        <f>'Expenditures 15-22'!D36</f>
        <v>10231</v>
      </c>
      <c r="D779" s="2" t="str">
        <f t="shared" si="11"/>
        <v>Error?</v>
      </c>
    </row>
    <row r="780" spans="1:4" x14ac:dyDescent="0.2">
      <c r="A780" s="5">
        <v>719</v>
      </c>
      <c r="B780" s="138">
        <f>'Expenditures 15-22'!D37</f>
        <v>3250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13149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26630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8844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8844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22262</v>
      </c>
      <c r="D791" s="2" t="str">
        <f t="shared" si="11"/>
        <v>Error?</v>
      </c>
    </row>
    <row r="792" spans="1:4" x14ac:dyDescent="0.2">
      <c r="A792" s="5">
        <v>731</v>
      </c>
      <c r="B792" s="138">
        <f>'Expenditures 15-22'!D53</f>
        <v>22262</v>
      </c>
      <c r="C792" s="2" t="s">
        <v>594</v>
      </c>
      <c r="D792" s="2" t="str">
        <f t="shared" si="11"/>
        <v>Error?</v>
      </c>
    </row>
    <row r="793" spans="1:4" x14ac:dyDescent="0.2">
      <c r="A793" s="5">
        <v>732</v>
      </c>
      <c r="B793" s="138">
        <f>'Expenditures 15-22'!D55</f>
        <v>32581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32581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13893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20794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111111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504172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52059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12855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93246</v>
      </c>
      <c r="C836" s="2" t="s">
        <v>594</v>
      </c>
      <c r="D836" s="2" t="str">
        <f t="shared" si="12"/>
        <v>Error?</v>
      </c>
    </row>
    <row r="837" spans="1:4" x14ac:dyDescent="0.2">
      <c r="A837" s="5">
        <v>776</v>
      </c>
      <c r="B837" s="138">
        <f>'Expenditures 15-22'!E36</f>
        <v>40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328</v>
      </c>
      <c r="C843" s="2" t="s">
        <v>594</v>
      </c>
      <c r="D843" s="2" t="str">
        <f t="shared" si="12"/>
        <v>Error?</v>
      </c>
    </row>
    <row r="844" spans="1:4" x14ac:dyDescent="0.2">
      <c r="A844" s="5">
        <v>783</v>
      </c>
      <c r="B844" s="138">
        <f>'Expenditures 15-22'!E44</f>
        <v>4783</v>
      </c>
      <c r="D844" s="2" t="str">
        <f t="shared" si="12"/>
        <v>Error?</v>
      </c>
    </row>
    <row r="845" spans="1:4" x14ac:dyDescent="0.2">
      <c r="A845" s="5">
        <v>784</v>
      </c>
      <c r="B845" s="138">
        <f>'Expenditures 15-22'!E45</f>
        <v>1984</v>
      </c>
      <c r="D845" s="2" t="str">
        <f t="shared" si="12"/>
        <v>Error?</v>
      </c>
    </row>
    <row r="846" spans="1:4" x14ac:dyDescent="0.2">
      <c r="A846" s="5">
        <v>785</v>
      </c>
      <c r="B846" s="138">
        <f>'Expenditures 15-22'!E46</f>
        <v>10149</v>
      </c>
      <c r="D846" s="2" t="str">
        <f t="shared" si="12"/>
        <v>Error?</v>
      </c>
    </row>
    <row r="847" spans="1:4" x14ac:dyDescent="0.2">
      <c r="A847" s="5">
        <v>786</v>
      </c>
      <c r="B847" s="138">
        <f>'Expenditures 15-22'!E47</f>
        <v>16916</v>
      </c>
      <c r="C847" s="2" t="s">
        <v>594</v>
      </c>
      <c r="D847" s="2" t="str">
        <f t="shared" si="12"/>
        <v>Error?</v>
      </c>
    </row>
    <row r="848" spans="1:4" x14ac:dyDescent="0.2">
      <c r="A848" s="5">
        <v>787</v>
      </c>
      <c r="B848" s="138">
        <f>'Expenditures 15-22'!E49</f>
        <v>17189</v>
      </c>
      <c r="D848" s="2" t="str">
        <f t="shared" si="12"/>
        <v>Error?</v>
      </c>
    </row>
    <row r="849" spans="1:4" x14ac:dyDescent="0.2">
      <c r="A849" s="5">
        <v>788</v>
      </c>
      <c r="B849" s="138">
        <f>'Expenditures 15-22'!E50</f>
        <v>919</v>
      </c>
      <c r="D849" s="2" t="str">
        <f t="shared" si="12"/>
        <v>Error?</v>
      </c>
    </row>
    <row r="850" spans="1:4" x14ac:dyDescent="0.2">
      <c r="A850" s="5">
        <v>789</v>
      </c>
      <c r="B850" s="138">
        <f>'Expenditures 15-22'!E53</f>
        <v>18108</v>
      </c>
      <c r="C850" s="2" t="s">
        <v>594</v>
      </c>
      <c r="D850" s="2" t="str">
        <f t="shared" si="12"/>
        <v>Error?</v>
      </c>
    </row>
    <row r="851" spans="1:4" x14ac:dyDescent="0.2">
      <c r="A851" s="5">
        <v>790</v>
      </c>
      <c r="B851" s="138">
        <f>'Expenditures 15-22'!E55</f>
        <v>5098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5098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5040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7076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47526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141997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31574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35511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848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848</v>
      </c>
      <c r="C901" s="2" t="s">
        <v>594</v>
      </c>
      <c r="D901" s="2" t="str">
        <f t="shared" si="13"/>
        <v>Error?</v>
      </c>
    </row>
    <row r="902" spans="1:4" x14ac:dyDescent="0.2">
      <c r="A902" s="5">
        <v>841</v>
      </c>
      <c r="B902" s="138">
        <f>'Expenditures 15-22'!F44</f>
        <v>800</v>
      </c>
      <c r="D902" s="2" t="str">
        <f t="shared" si="13"/>
        <v>Error?</v>
      </c>
    </row>
    <row r="903" spans="1:4" x14ac:dyDescent="0.2">
      <c r="A903" s="5">
        <v>842</v>
      </c>
      <c r="B903" s="138">
        <f>'Expenditures 15-22'!F45</f>
        <v>545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1345</v>
      </c>
      <c r="C905" s="2" t="s">
        <v>594</v>
      </c>
      <c r="D905" s="2" t="str">
        <f t="shared" si="13"/>
        <v>Error?</v>
      </c>
    </row>
    <row r="906" spans="1:4" x14ac:dyDescent="0.2">
      <c r="A906" s="5">
        <v>845</v>
      </c>
      <c r="B906" s="138">
        <f>'Expenditures 15-22'!F49</f>
        <v>1588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1588</v>
      </c>
      <c r="C908" s="2" t="s">
        <v>594</v>
      </c>
      <c r="D908" s="2" t="str">
        <f t="shared" si="13"/>
        <v>Error?</v>
      </c>
    </row>
    <row r="909" spans="1:4" x14ac:dyDescent="0.2">
      <c r="A909" s="5">
        <v>848</v>
      </c>
      <c r="B909" s="138">
        <f>'Expenditures 15-22'!F55</f>
        <v>9441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9441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11053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97648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108701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121923</v>
      </c>
      <c r="C929" s="2" t="s">
        <v>594</v>
      </c>
      <c r="D929" s="2" t="str">
        <f t="shared" si="13"/>
        <v>Error?</v>
      </c>
    </row>
    <row r="930" spans="1:4" x14ac:dyDescent="0.2">
      <c r="A930" s="5">
        <v>869</v>
      </c>
      <c r="B930" s="138">
        <f>'Expenditures 15-22'!F75</f>
        <v>242</v>
      </c>
      <c r="D930" s="2" t="str">
        <f t="shared" si="13"/>
        <v>Error?</v>
      </c>
    </row>
    <row r="931" spans="1:4" x14ac:dyDescent="0.2">
      <c r="A931" s="5">
        <v>870</v>
      </c>
      <c r="B931" s="138">
        <f>'Expenditures 15-22'!F114</f>
        <v>157676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22330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22330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49572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49572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49572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71902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2206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194</v>
      </c>
      <c r="C1021" s="2" t="s">
        <v>594</v>
      </c>
      <c r="D1021" s="2" t="str">
        <f t="shared" si="14"/>
        <v>Error?</v>
      </c>
    </row>
    <row r="1022" spans="1:4" x14ac:dyDescent="0.2">
      <c r="A1022" s="5">
        <v>961</v>
      </c>
      <c r="B1022" s="138">
        <f>'Expenditures 15-22'!H49</f>
        <v>2957</v>
      </c>
      <c r="D1022" s="2" t="str">
        <f t="shared" si="14"/>
        <v>Error?</v>
      </c>
    </row>
    <row r="1023" spans="1:4" x14ac:dyDescent="0.2">
      <c r="A1023" s="5">
        <v>962</v>
      </c>
      <c r="B1023" s="138">
        <f>'Expenditures 15-22'!H50</f>
        <v>1485</v>
      </c>
      <c r="D1023" s="2" t="str">
        <f t="shared" ref="D1023:D1086" si="15">IF(ISBLANK(B1023),"OK",IF(A1023-B1023=0,"OK","Error?"))</f>
        <v>Error?</v>
      </c>
    </row>
    <row r="1024" spans="1:4" x14ac:dyDescent="0.2">
      <c r="A1024" s="5">
        <v>963</v>
      </c>
      <c r="B1024" s="138">
        <f>'Expenditures 15-22'!H53</f>
        <v>4442</v>
      </c>
      <c r="C1024" s="2" t="s">
        <v>594</v>
      </c>
      <c r="D1024" s="2" t="str">
        <f t="shared" si="15"/>
        <v>Error?</v>
      </c>
    </row>
    <row r="1025" spans="1:4" x14ac:dyDescent="0.2">
      <c r="A1025" s="5">
        <v>964</v>
      </c>
      <c r="B1025" s="138">
        <f>'Expenditures 15-22'!H55</f>
        <v>1537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1537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1114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1274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389703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401762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1545011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71666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2122320</v>
      </c>
      <c r="C1108" s="2" t="s">
        <v>594</v>
      </c>
      <c r="D1108" s="2" t="str">
        <f t="shared" si="16"/>
        <v>Error?</v>
      </c>
    </row>
    <row r="1109" spans="1:4" x14ac:dyDescent="0.2">
      <c r="A1109" s="5">
        <v>1048</v>
      </c>
      <c r="B1109" s="138">
        <f>'Expenditures 15-22'!K36</f>
        <v>46096</v>
      </c>
      <c r="C1109" s="2" t="s">
        <v>594</v>
      </c>
      <c r="D1109" s="2" t="str">
        <f t="shared" si="16"/>
        <v>Error?</v>
      </c>
    </row>
    <row r="1110" spans="1:4" x14ac:dyDescent="0.2">
      <c r="A1110" s="5">
        <v>1049</v>
      </c>
      <c r="B1110" s="138">
        <f>'Expenditures 15-22'!K37</f>
        <v>25311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63132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134539</v>
      </c>
      <c r="C1115" s="2" t="s">
        <v>594</v>
      </c>
      <c r="D1115" s="2" t="str">
        <f t="shared" si="16"/>
        <v>Error?</v>
      </c>
    </row>
    <row r="1116" spans="1:4" x14ac:dyDescent="0.2">
      <c r="A1116" s="5">
        <v>1055</v>
      </c>
      <c r="B1116" s="138">
        <f>'Expenditures 15-22'!K44</f>
        <v>5583</v>
      </c>
      <c r="C1116" s="2" t="s">
        <v>594</v>
      </c>
      <c r="D1116" s="2" t="str">
        <f t="shared" si="16"/>
        <v>Error?</v>
      </c>
    </row>
    <row r="1117" spans="1:4" x14ac:dyDescent="0.2">
      <c r="A1117" s="5">
        <v>1056</v>
      </c>
      <c r="B1117" s="138">
        <f>'Expenditures 15-22'!K45</f>
        <v>72174</v>
      </c>
      <c r="C1117" s="2" t="s">
        <v>594</v>
      </c>
      <c r="D1117" s="2" t="str">
        <f t="shared" si="16"/>
        <v>Error?</v>
      </c>
    </row>
    <row r="1118" spans="1:4" x14ac:dyDescent="0.2">
      <c r="A1118" s="5">
        <v>1057</v>
      </c>
      <c r="B1118" s="138">
        <f>'Expenditures 15-22'!K46</f>
        <v>10149</v>
      </c>
      <c r="C1118" s="2" t="s">
        <v>594</v>
      </c>
      <c r="D1118" s="2" t="str">
        <f t="shared" si="16"/>
        <v>Error?</v>
      </c>
    </row>
    <row r="1119" spans="1:4" x14ac:dyDescent="0.2">
      <c r="A1119" s="5">
        <v>1058</v>
      </c>
      <c r="B1119" s="138">
        <f>'Expenditures 15-22'!K47</f>
        <v>87906</v>
      </c>
      <c r="C1119" s="2" t="s">
        <v>594</v>
      </c>
      <c r="D1119" s="2" t="str">
        <f t="shared" si="16"/>
        <v>Error?</v>
      </c>
    </row>
    <row r="1120" spans="1:4" x14ac:dyDescent="0.2">
      <c r="A1120" s="5">
        <v>1059</v>
      </c>
      <c r="B1120" s="138">
        <f>'Expenditures 15-22'!K49</f>
        <v>21734</v>
      </c>
      <c r="C1120" s="2" t="s">
        <v>594</v>
      </c>
      <c r="D1120" s="2" t="str">
        <f t="shared" si="16"/>
        <v>Error?</v>
      </c>
    </row>
    <row r="1121" spans="1:4" x14ac:dyDescent="0.2">
      <c r="A1121" s="5">
        <v>1060</v>
      </c>
      <c r="B1121" s="138">
        <f>'Expenditures 15-22'!K50</f>
        <v>133977</v>
      </c>
      <c r="C1121" s="2" t="s">
        <v>594</v>
      </c>
      <c r="D1121" s="2" t="str">
        <f t="shared" si="16"/>
        <v>Error?</v>
      </c>
    </row>
    <row r="1122" spans="1:4" x14ac:dyDescent="0.2">
      <c r="A1122" s="5">
        <v>1061</v>
      </c>
      <c r="B1122" s="138">
        <f>'Expenditures 15-22'!K53</f>
        <v>155711</v>
      </c>
      <c r="C1122" s="2" t="s">
        <v>594</v>
      </c>
      <c r="D1122" s="2" t="str">
        <f t="shared" si="16"/>
        <v>Error?</v>
      </c>
    </row>
    <row r="1123" spans="1:4" x14ac:dyDescent="0.2">
      <c r="A1123" s="5">
        <v>1062</v>
      </c>
      <c r="B1123" s="138">
        <f>'Expenditures 15-22'!K55</f>
        <v>265645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265645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57038</v>
      </c>
      <c r="C1127" s="2" t="s">
        <v>594</v>
      </c>
      <c r="D1127" s="2" t="str">
        <f t="shared" si="16"/>
        <v>Error?</v>
      </c>
    </row>
    <row r="1128" spans="1:4" x14ac:dyDescent="0.2">
      <c r="A1128" s="5">
        <v>1067</v>
      </c>
      <c r="B1128" s="138">
        <f>'Expenditures 15-22'!K61</f>
        <v>5040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248236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310314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954115</v>
      </c>
      <c r="C1143" s="2" t="s">
        <v>594</v>
      </c>
      <c r="D1143" s="2" t="str">
        <f t="shared" si="16"/>
        <v>Error?</v>
      </c>
    </row>
    <row r="1144" spans="1:4" x14ac:dyDescent="0.2">
      <c r="A1144" s="5">
        <v>1083</v>
      </c>
      <c r="B1144" s="138">
        <f>'Expenditures 15-22'!K75</f>
        <v>242</v>
      </c>
      <c r="C1144" s="2" t="s">
        <v>594</v>
      </c>
      <c r="D1144" s="2" t="str">
        <f t="shared" si="16"/>
        <v>Error?</v>
      </c>
    </row>
    <row r="1145" spans="1:4" x14ac:dyDescent="0.2">
      <c r="A1145" s="5">
        <v>1084</v>
      </c>
      <c r="B1145" s="138">
        <f>'Expenditures 15-22'!K102</f>
        <v>390928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3467605</v>
      </c>
      <c r="C1152" s="2" t="s">
        <v>594</v>
      </c>
      <c r="D1152" s="2" t="str">
        <f t="shared" si="17"/>
        <v>Error?</v>
      </c>
    </row>
    <row r="1153" spans="1:4" x14ac:dyDescent="0.2">
      <c r="A1153" s="5">
        <v>1092</v>
      </c>
      <c r="B1153" s="138">
        <f>'Expenditures 15-22'!K115</f>
        <v>-56960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116243</v>
      </c>
      <c r="D1221" s="2" t="str">
        <f t="shared" si="18"/>
        <v>Error?</v>
      </c>
    </row>
    <row r="1222" spans="1:4" x14ac:dyDescent="0.2">
      <c r="A1222" s="10">
        <v>1161</v>
      </c>
      <c r="D1222" s="2" t="str">
        <f t="shared" si="18"/>
        <v>OK</v>
      </c>
    </row>
    <row r="1223" spans="1:4" x14ac:dyDescent="0.2">
      <c r="A1223" s="5">
        <v>1162</v>
      </c>
      <c r="B1223" s="138">
        <f>'Expenditures 15-22'!C127</f>
        <v>116243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116243</v>
      </c>
      <c r="C1225" s="2" t="s">
        <v>594</v>
      </c>
      <c r="D1225" s="2" t="str">
        <f t="shared" si="18"/>
        <v>Error?</v>
      </c>
    </row>
    <row r="1226" spans="1:4" x14ac:dyDescent="0.2">
      <c r="A1226" s="5">
        <v>1165</v>
      </c>
      <c r="B1226" s="138">
        <f>'Expenditures 15-22'!C151</f>
        <v>116243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20702</v>
      </c>
      <c r="D1229" s="2" t="str">
        <f t="shared" si="18"/>
        <v>Error?</v>
      </c>
    </row>
    <row r="1230" spans="1:4" x14ac:dyDescent="0.2">
      <c r="A1230" s="10">
        <v>1169</v>
      </c>
      <c r="D1230" s="2" t="str">
        <f t="shared" si="18"/>
        <v>OK</v>
      </c>
    </row>
    <row r="1231" spans="1:4" x14ac:dyDescent="0.2">
      <c r="A1231" s="5">
        <v>1170</v>
      </c>
      <c r="B1231" s="138">
        <f>'Expenditures 15-22'!D127</f>
        <v>20702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20702</v>
      </c>
      <c r="C1233" s="2" t="s">
        <v>594</v>
      </c>
      <c r="D1233" s="2" t="str">
        <f t="shared" si="18"/>
        <v>Error?</v>
      </c>
    </row>
    <row r="1234" spans="1:4" x14ac:dyDescent="0.2">
      <c r="A1234" s="5">
        <v>1173</v>
      </c>
      <c r="B1234" s="138">
        <f>'Expenditures 15-22'!D151</f>
        <v>20702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42137</v>
      </c>
      <c r="D1237" s="2" t="str">
        <f t="shared" si="18"/>
        <v>Error?</v>
      </c>
    </row>
    <row r="1238" spans="1:4" x14ac:dyDescent="0.2">
      <c r="A1238" s="10">
        <v>1177</v>
      </c>
      <c r="D1238" s="2" t="str">
        <f t="shared" si="18"/>
        <v>OK</v>
      </c>
    </row>
    <row r="1239" spans="1:4" x14ac:dyDescent="0.2">
      <c r="A1239" s="5">
        <v>1178</v>
      </c>
      <c r="B1239" s="138">
        <f>'Expenditures 15-22'!E127</f>
        <v>42137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42137</v>
      </c>
      <c r="C1241" s="2" t="s">
        <v>594</v>
      </c>
      <c r="D1241" s="2" t="str">
        <f t="shared" si="18"/>
        <v>Error?</v>
      </c>
    </row>
    <row r="1242" spans="1:4" x14ac:dyDescent="0.2">
      <c r="A1242" s="5">
        <v>1181</v>
      </c>
      <c r="B1242" s="138">
        <f>'Expenditures 15-22'!E151</f>
        <v>42137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124423</v>
      </c>
      <c r="D1245" s="2" t="str">
        <f t="shared" si="18"/>
        <v>Error?</v>
      </c>
    </row>
    <row r="1246" spans="1:4" x14ac:dyDescent="0.2">
      <c r="A1246" s="10">
        <v>1185</v>
      </c>
      <c r="D1246" s="2" t="str">
        <f t="shared" si="18"/>
        <v>OK</v>
      </c>
    </row>
    <row r="1247" spans="1:4" x14ac:dyDescent="0.2">
      <c r="A1247" s="5">
        <v>1186</v>
      </c>
      <c r="B1247" s="138">
        <f>'Expenditures 15-22'!F127</f>
        <v>124423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124423</v>
      </c>
      <c r="C1249" s="2" t="s">
        <v>594</v>
      </c>
      <c r="D1249" s="2" t="str">
        <f t="shared" si="18"/>
        <v>Error?</v>
      </c>
    </row>
    <row r="1250" spans="1:4" x14ac:dyDescent="0.2">
      <c r="A1250" s="5">
        <v>1189</v>
      </c>
      <c r="B1250" s="138">
        <f>'Expenditures 15-22'!F151</f>
        <v>124423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16089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16089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16089</v>
      </c>
      <c r="C1258" s="2" t="s">
        <v>594</v>
      </c>
      <c r="D1258" s="2" t="str">
        <f t="shared" si="18"/>
        <v>Error?</v>
      </c>
    </row>
    <row r="1259" spans="1:4" x14ac:dyDescent="0.2">
      <c r="A1259" s="5">
        <v>1198</v>
      </c>
      <c r="B1259" s="138">
        <f>'Expenditures 15-22'!G151</f>
        <v>16089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640</v>
      </c>
      <c r="D1262" s="2" t="str">
        <f t="shared" si="18"/>
        <v>Error?</v>
      </c>
    </row>
    <row r="1263" spans="1:4" x14ac:dyDescent="0.2">
      <c r="A1263" s="10">
        <v>1202</v>
      </c>
      <c r="D1263" s="2" t="str">
        <f t="shared" si="18"/>
        <v>OK</v>
      </c>
    </row>
    <row r="1264" spans="1:4" x14ac:dyDescent="0.2">
      <c r="A1264" s="5">
        <v>1203</v>
      </c>
      <c r="B1264" s="138">
        <f>'Expenditures 15-22'!H127</f>
        <v>640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640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640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320234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320234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320234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320234</v>
      </c>
      <c r="C1288" s="2" t="s">
        <v>594</v>
      </c>
      <c r="D1288" s="2" t="str">
        <f t="shared" si="19"/>
        <v>Error?</v>
      </c>
    </row>
    <row r="1289" spans="1:4" x14ac:dyDescent="0.2">
      <c r="A1289" s="5">
        <v>1228</v>
      </c>
      <c r="B1289" s="138">
        <f>'Expenditures 15-22'!K152</f>
        <v>5928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93392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233392</v>
      </c>
      <c r="C1317" s="2" t="s">
        <v>594</v>
      </c>
      <c r="D1317" s="2" t="str">
        <f t="shared" si="19"/>
        <v>Error?</v>
      </c>
    </row>
    <row r="1318" spans="1:4" x14ac:dyDescent="0.2">
      <c r="A1318" s="5">
        <v>1257</v>
      </c>
      <c r="B1318" s="138">
        <f>'Expenditures 15-22'!H174</f>
        <v>233392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93392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233392</v>
      </c>
      <c r="C1331" s="2" t="s">
        <v>594</v>
      </c>
      <c r="D1331" s="2" t="str">
        <f t="shared" si="19"/>
        <v>Error?</v>
      </c>
    </row>
    <row r="1332" spans="1:4" x14ac:dyDescent="0.2">
      <c r="A1332" s="5">
        <v>1271</v>
      </c>
      <c r="B1332" s="138">
        <f>'Expenditures 15-22'!K174</f>
        <v>233392</v>
      </c>
      <c r="C1332" s="2" t="s">
        <v>594</v>
      </c>
      <c r="D1332" s="2" t="str">
        <f t="shared" si="19"/>
        <v>Error?</v>
      </c>
    </row>
    <row r="1333" spans="1:4" x14ac:dyDescent="0.2">
      <c r="A1333" s="5">
        <v>1272</v>
      </c>
      <c r="B1333" s="138">
        <f>'Expenditures 15-22'!K175</f>
        <v>33868</v>
      </c>
      <c r="C1333" s="2" t="s">
        <v>594</v>
      </c>
      <c r="D1333" s="2" t="str">
        <f t="shared" si="19"/>
        <v>Error?</v>
      </c>
    </row>
    <row r="1334" spans="1:4" x14ac:dyDescent="0.2">
      <c r="A1334" s="10">
        <v>1273</v>
      </c>
      <c r="D1334" s="2" t="str">
        <f t="shared" si="19"/>
        <v>OK</v>
      </c>
    </row>
    <row r="1335" spans="1:4" x14ac:dyDescent="0.2">
      <c r="A1335" s="5">
        <v>1274</v>
      </c>
      <c r="B1335" s="138">
        <f>'Expenditures 15-22'!C182</f>
        <v>105477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105477</v>
      </c>
      <c r="C1339" s="2" t="s">
        <v>594</v>
      </c>
      <c r="D1339" s="2" t="str">
        <f t="shared" si="19"/>
        <v>Error?</v>
      </c>
    </row>
    <row r="1340" spans="1:4" x14ac:dyDescent="0.2">
      <c r="A1340" s="5">
        <v>1279</v>
      </c>
      <c r="B1340" s="138">
        <f>'Expenditures 15-22'!C210</f>
        <v>105477</v>
      </c>
      <c r="C1340" s="2" t="s">
        <v>594</v>
      </c>
      <c r="D1340" s="2" t="str">
        <f t="shared" si="19"/>
        <v>Error?</v>
      </c>
    </row>
    <row r="1341" spans="1:4" x14ac:dyDescent="0.2">
      <c r="A1341" s="5">
        <v>1280</v>
      </c>
      <c r="B1341" s="138">
        <f>'Expenditures 15-22'!D182</f>
        <v>424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424</v>
      </c>
      <c r="C1345" s="2" t="s">
        <v>594</v>
      </c>
      <c r="D1345" s="2" t="str">
        <f t="shared" si="20"/>
        <v>Error?</v>
      </c>
    </row>
    <row r="1346" spans="1:4" x14ac:dyDescent="0.2">
      <c r="A1346" s="5">
        <v>1285</v>
      </c>
      <c r="B1346" s="138">
        <f>'Expenditures 15-22'!D210</f>
        <v>424</v>
      </c>
      <c r="C1346" s="2" t="s">
        <v>594</v>
      </c>
      <c r="D1346" s="2" t="str">
        <f t="shared" si="20"/>
        <v>Error?</v>
      </c>
    </row>
    <row r="1347" spans="1:4" x14ac:dyDescent="0.2">
      <c r="A1347" s="5">
        <v>1286</v>
      </c>
      <c r="B1347" s="138">
        <f>'Expenditures 15-22'!E182</f>
        <v>74798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74798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74798</v>
      </c>
      <c r="C1353" s="2" t="s">
        <v>594</v>
      </c>
      <c r="D1353" s="2" t="str">
        <f t="shared" si="20"/>
        <v>Error?</v>
      </c>
    </row>
    <row r="1354" spans="1:4" x14ac:dyDescent="0.2">
      <c r="A1354" s="5">
        <v>1293</v>
      </c>
      <c r="B1354" s="138">
        <f>'Expenditures 15-22'!F182</f>
        <v>38769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38769</v>
      </c>
      <c r="C1358" s="2" t="s">
        <v>594</v>
      </c>
      <c r="D1358" s="2" t="str">
        <f t="shared" si="20"/>
        <v>Error?</v>
      </c>
    </row>
    <row r="1359" spans="1:4" x14ac:dyDescent="0.2">
      <c r="A1359" s="5">
        <v>1298</v>
      </c>
      <c r="B1359" s="138">
        <f>'Expenditures 15-22'!F210</f>
        <v>38769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284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284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284</v>
      </c>
      <c r="C1376" s="2" t="s">
        <v>594</v>
      </c>
      <c r="D1376" s="2" t="str">
        <f t="shared" si="20"/>
        <v>Error?</v>
      </c>
    </row>
    <row r="1377" spans="1:4" x14ac:dyDescent="0.2">
      <c r="A1377" s="5">
        <v>1316</v>
      </c>
      <c r="B1377" s="138">
        <f>'Expenditures 15-22'!K182</f>
        <v>219752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219752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219752</v>
      </c>
      <c r="C1388" s="2" t="s">
        <v>594</v>
      </c>
      <c r="D1388" s="2" t="str">
        <f t="shared" si="20"/>
        <v>Error?</v>
      </c>
    </row>
    <row r="1389" spans="1:4" x14ac:dyDescent="0.2">
      <c r="A1389" s="5">
        <v>1328</v>
      </c>
      <c r="B1389" s="138">
        <f>'Expenditures 15-22'!K211</f>
        <v>69055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32090</v>
      </c>
      <c r="C1410" s="2" t="s">
        <v>594</v>
      </c>
      <c r="D1410" s="2" t="str">
        <f t="shared" si="21"/>
        <v>Error?</v>
      </c>
    </row>
    <row r="1411" spans="1:4" x14ac:dyDescent="0.2">
      <c r="A1411" s="5">
        <v>1350</v>
      </c>
      <c r="B1411" s="138">
        <f>'Expenditures 15-22'!D232</f>
        <v>495</v>
      </c>
      <c r="D1411" s="2" t="str">
        <f t="shared" si="21"/>
        <v>Error?</v>
      </c>
    </row>
    <row r="1412" spans="1:4" x14ac:dyDescent="0.2">
      <c r="A1412" s="5">
        <v>1351</v>
      </c>
      <c r="B1412" s="138">
        <f>'Expenditures 15-22'!D233</f>
        <v>320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682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1497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9132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9132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2354</v>
      </c>
      <c r="D1423" s="2" t="str">
        <f t="shared" si="21"/>
        <v>Error?</v>
      </c>
    </row>
    <row r="1424" spans="1:4" x14ac:dyDescent="0.2">
      <c r="A1424" s="5">
        <v>1363</v>
      </c>
      <c r="B1424" s="138">
        <f>'Expenditures 15-22'!D257</f>
        <v>2354</v>
      </c>
      <c r="C1424" s="2" t="s">
        <v>594</v>
      </c>
      <c r="D1424" s="2" t="str">
        <f t="shared" si="21"/>
        <v>Error?</v>
      </c>
    </row>
    <row r="1425" spans="1:4" x14ac:dyDescent="0.2">
      <c r="A1425" s="5">
        <v>1364</v>
      </c>
      <c r="B1425" s="138">
        <f>'Expenditures 15-22'!D259</f>
        <v>10391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10391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16591</v>
      </c>
      <c r="D1431" s="2" t="str">
        <f t="shared" si="21"/>
        <v>Error?</v>
      </c>
    </row>
    <row r="1432" spans="1:4" x14ac:dyDescent="0.2">
      <c r="A1432" s="5">
        <v>1371</v>
      </c>
      <c r="B1432" s="138">
        <f>'Expenditures 15-22'!D267</f>
        <v>15502</v>
      </c>
      <c r="D1432" s="2" t="str">
        <f t="shared" si="21"/>
        <v>Error?</v>
      </c>
    </row>
    <row r="1433" spans="1:4" x14ac:dyDescent="0.2">
      <c r="A1433" s="5">
        <v>1372</v>
      </c>
      <c r="B1433" s="138">
        <f>'Expenditures 15-22'!D268</f>
        <v>12126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50013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73387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105477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32090</v>
      </c>
      <c r="C1474" s="2" t="s">
        <v>594</v>
      </c>
      <c r="D1474" s="2" t="str">
        <f t="shared" si="22"/>
        <v>Error?</v>
      </c>
    </row>
    <row r="1475" spans="1:4" x14ac:dyDescent="0.2">
      <c r="A1475" s="5">
        <v>1414</v>
      </c>
      <c r="B1475" s="138">
        <f>'Expenditures 15-22'!K232</f>
        <v>495</v>
      </c>
      <c r="C1475" s="2" t="s">
        <v>594</v>
      </c>
      <c r="D1475" s="2" t="str">
        <f t="shared" si="22"/>
        <v>Error?</v>
      </c>
    </row>
    <row r="1476" spans="1:4" x14ac:dyDescent="0.2">
      <c r="A1476" s="5">
        <v>1415</v>
      </c>
      <c r="B1476" s="138">
        <f>'Expenditures 15-22'!K233</f>
        <v>320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682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1497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9132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9132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2354</v>
      </c>
      <c r="C1487" s="2" t="s">
        <v>594</v>
      </c>
      <c r="D1487" s="2" t="str">
        <f t="shared" si="22"/>
        <v>Error?</v>
      </c>
    </row>
    <row r="1488" spans="1:4" x14ac:dyDescent="0.2">
      <c r="A1488" s="5">
        <v>1427</v>
      </c>
      <c r="B1488" s="138">
        <f>'Expenditures 15-22'!K257</f>
        <v>2354</v>
      </c>
      <c r="C1488" s="2" t="s">
        <v>594</v>
      </c>
      <c r="D1488" s="2" t="str">
        <f t="shared" si="22"/>
        <v>Error?</v>
      </c>
    </row>
    <row r="1489" spans="1:4" x14ac:dyDescent="0.2">
      <c r="A1489" s="5">
        <v>1428</v>
      </c>
      <c r="B1489" s="138">
        <f>'Expenditures 15-22'!K259</f>
        <v>10391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10391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5794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16591</v>
      </c>
      <c r="C1495" s="2" t="s">
        <v>594</v>
      </c>
      <c r="D1495" s="2" t="str">
        <f t="shared" si="22"/>
        <v>Error?</v>
      </c>
    </row>
    <row r="1496" spans="1:4" x14ac:dyDescent="0.2">
      <c r="A1496" s="5">
        <v>1435</v>
      </c>
      <c r="B1496" s="138">
        <f>'Expenditures 15-22'!K267</f>
        <v>15502</v>
      </c>
      <c r="C1496" s="2" t="s">
        <v>594</v>
      </c>
      <c r="D1496" s="2" t="str">
        <f t="shared" si="22"/>
        <v>Error?</v>
      </c>
    </row>
    <row r="1497" spans="1:4" x14ac:dyDescent="0.2">
      <c r="A1497" s="5">
        <v>1436</v>
      </c>
      <c r="B1497" s="138">
        <f>'Expenditures 15-22'!K268</f>
        <v>12126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50013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73387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105477</v>
      </c>
      <c r="C1517" s="2" t="s">
        <v>594</v>
      </c>
      <c r="D1517" s="2" t="str">
        <f t="shared" si="22"/>
        <v>Error?</v>
      </c>
    </row>
    <row r="1518" spans="1:4" x14ac:dyDescent="0.2">
      <c r="A1518" s="5">
        <v>1457</v>
      </c>
      <c r="B1518" s="138">
        <f>'Expenditures 15-22'!K296</f>
        <v>40658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112324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112324</v>
      </c>
      <c r="C1547" s="2" t="s">
        <v>594</v>
      </c>
      <c r="D1547" s="2" t="str">
        <f t="shared" si="23"/>
        <v>Error?</v>
      </c>
    </row>
    <row r="1548" spans="1:4" x14ac:dyDescent="0.2">
      <c r="A1548" s="5">
        <v>1487</v>
      </c>
      <c r="B1548" s="138">
        <f>'Expenditures 15-22'!G312</f>
        <v>112324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112324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112324</v>
      </c>
      <c r="C1559" s="2" t="s">
        <v>594</v>
      </c>
      <c r="D1559" s="2" t="str">
        <f t="shared" si="23"/>
        <v>Error?</v>
      </c>
    </row>
    <row r="1560" spans="1:4" x14ac:dyDescent="0.2">
      <c r="A1560" s="5">
        <v>1499</v>
      </c>
      <c r="B1560" s="138">
        <f>'Expenditures 15-22'!K312</f>
        <v>112324</v>
      </c>
      <c r="C1560" s="2" t="s">
        <v>594</v>
      </c>
      <c r="D1560" s="2" t="str">
        <f t="shared" si="23"/>
        <v>Error?</v>
      </c>
    </row>
    <row r="1561" spans="1:4" x14ac:dyDescent="0.2">
      <c r="A1561" s="5">
        <v>1500</v>
      </c>
      <c r="B1561" s="138">
        <f>'Expenditures 15-22'!K313</f>
        <v>96114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444344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593752</v>
      </c>
      <c r="C1630" s="2" t="s">
        <v>594</v>
      </c>
      <c r="D1630" s="2" t="str">
        <f t="shared" si="24"/>
        <v>Error?</v>
      </c>
    </row>
    <row r="1631" spans="1:4" x14ac:dyDescent="0.2">
      <c r="A1631" s="5">
        <v>1570</v>
      </c>
      <c r="B1631" s="138">
        <f>'Acct Summary 7-8'!D79</f>
        <v>187092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193020</v>
      </c>
      <c r="C1644" s="2" t="s">
        <v>594</v>
      </c>
      <c r="D1644" s="2" t="str">
        <f t="shared" si="24"/>
        <v>Error?</v>
      </c>
    </row>
    <row r="1645" spans="1:4" x14ac:dyDescent="0.2">
      <c r="A1645" s="5">
        <v>1584</v>
      </c>
      <c r="B1645" s="138">
        <f>'Acct Summary 7-8'!E79</f>
        <v>42943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76811</v>
      </c>
      <c r="C1658" s="2" t="s">
        <v>594</v>
      </c>
      <c r="D1658" s="2" t="str">
        <f t="shared" si="24"/>
        <v>Error?</v>
      </c>
    </row>
    <row r="1659" spans="1:4" x14ac:dyDescent="0.2">
      <c r="A1659" s="5">
        <v>1598</v>
      </c>
      <c r="B1659" s="138">
        <f>'Acct Summary 7-8'!F79</f>
        <v>57368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126423</v>
      </c>
      <c r="C1672" s="2" t="s">
        <v>594</v>
      </c>
      <c r="D1672" s="2" t="str">
        <f t="shared" si="25"/>
        <v>Error?</v>
      </c>
    </row>
    <row r="1673" spans="1:4" x14ac:dyDescent="0.2">
      <c r="A1673" s="5">
        <v>1612</v>
      </c>
      <c r="B1673" s="138">
        <f>'Acct Summary 7-8'!G79</f>
        <v>128925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169583</v>
      </c>
      <c r="C1686" s="2" t="s">
        <v>594</v>
      </c>
      <c r="D1686" s="2" t="str">
        <f t="shared" si="25"/>
        <v>Error?</v>
      </c>
    </row>
    <row r="1687" spans="1:4" x14ac:dyDescent="0.2">
      <c r="A1687" s="5">
        <v>1626</v>
      </c>
      <c r="B1687" s="138">
        <f>'Acct Summary 7-8'!H79</f>
        <v>2375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98489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472212</v>
      </c>
      <c r="C1744" s="2" t="s">
        <v>594</v>
      </c>
      <c r="D1744" s="2" t="str">
        <f t="shared" si="26"/>
        <v>Error?</v>
      </c>
    </row>
    <row r="1745" spans="1:5" x14ac:dyDescent="0.2">
      <c r="A1745" s="5">
        <v>1684</v>
      </c>
      <c r="B1745" s="138">
        <f>'Tax Sched 23'!B5</f>
        <v>104924</v>
      </c>
      <c r="C1745" s="2" t="s">
        <v>594</v>
      </c>
      <c r="D1745" s="2" t="str">
        <f t="shared" si="26"/>
        <v>Error?</v>
      </c>
    </row>
    <row r="1746" spans="1:5" x14ac:dyDescent="0.2">
      <c r="A1746" s="5">
        <v>1685</v>
      </c>
      <c r="B1746" s="138">
        <f>'Tax Sched 23'!B6</f>
        <v>228028</v>
      </c>
      <c r="C1746" s="2" t="s">
        <v>594</v>
      </c>
      <c r="D1746" s="2" t="str">
        <f t="shared" si="26"/>
        <v>Error?</v>
      </c>
    </row>
    <row r="1747" spans="1:5" x14ac:dyDescent="0.2">
      <c r="A1747" s="5">
        <v>1686</v>
      </c>
      <c r="B1747" s="138">
        <f>'Tax Sched 23'!B7</f>
        <v>40650</v>
      </c>
      <c r="C1747" s="2" t="s">
        <v>594</v>
      </c>
      <c r="D1747" s="2" t="str">
        <f t="shared" si="26"/>
        <v>Error?</v>
      </c>
    </row>
    <row r="1748" spans="1:5" x14ac:dyDescent="0.2">
      <c r="A1748" s="5">
        <v>1687</v>
      </c>
      <c r="B1748" s="138">
        <f>'Tax Sched 23'!B8</f>
        <v>92216</v>
      </c>
      <c r="C1748" s="2" t="s">
        <v>594</v>
      </c>
      <c r="D1748" s="2" t="str">
        <f t="shared" si="26"/>
        <v>Error?</v>
      </c>
    </row>
    <row r="1749" spans="1:5" x14ac:dyDescent="0.2">
      <c r="A1749" s="5">
        <v>1688</v>
      </c>
      <c r="B1749" s="138">
        <f>'Tax Sched 23'!B10</f>
        <v>11394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102265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1051689</v>
      </c>
      <c r="C1759" s="2" t="s">
        <v>594</v>
      </c>
      <c r="D1759" s="2" t="str">
        <f t="shared" si="26"/>
        <v>Error?</v>
      </c>
    </row>
    <row r="1760" spans="1:5" x14ac:dyDescent="0.2">
      <c r="A1760" s="5">
        <v>1699</v>
      </c>
      <c r="B1760" s="138">
        <f>'Tax Sched 23'!D4</f>
        <v>472212</v>
      </c>
      <c r="C1760" s="2" t="s">
        <v>594</v>
      </c>
      <c r="D1760" s="2" t="str">
        <f t="shared" si="26"/>
        <v>Error?</v>
      </c>
    </row>
    <row r="1761" spans="1:5" x14ac:dyDescent="0.2">
      <c r="A1761" s="5">
        <v>1700</v>
      </c>
      <c r="B1761" s="138">
        <f>'Tax Sched 23'!D5</f>
        <v>104924</v>
      </c>
      <c r="C1761" s="2" t="s">
        <v>594</v>
      </c>
      <c r="D1761" s="2" t="str">
        <f t="shared" si="26"/>
        <v>Error?</v>
      </c>
    </row>
    <row r="1762" spans="1:5" s="8" customFormat="1" x14ac:dyDescent="0.2">
      <c r="A1762" s="5">
        <v>1701</v>
      </c>
      <c r="B1762" s="138">
        <f>'Tax Sched 23'!D6</f>
        <v>228028</v>
      </c>
      <c r="C1762" s="2" t="s">
        <v>594</v>
      </c>
      <c r="D1762" s="2" t="str">
        <f t="shared" si="26"/>
        <v>Error?</v>
      </c>
      <c r="E1762" s="9"/>
    </row>
    <row r="1763" spans="1:5" x14ac:dyDescent="0.2">
      <c r="A1763" s="5">
        <v>1702</v>
      </c>
      <c r="B1763" s="138">
        <f>'Tax Sched 23'!D7</f>
        <v>40650</v>
      </c>
      <c r="C1763" s="2" t="s">
        <v>594</v>
      </c>
      <c r="D1763" s="2" t="str">
        <f t="shared" si="26"/>
        <v>Error?</v>
      </c>
    </row>
    <row r="1764" spans="1:5" x14ac:dyDescent="0.2">
      <c r="A1764" s="5">
        <v>1703</v>
      </c>
      <c r="B1764" s="138">
        <f>'Tax Sched 23'!D8</f>
        <v>92216</v>
      </c>
      <c r="C1764" s="2" t="s">
        <v>594</v>
      </c>
      <c r="D1764" s="2" t="str">
        <f t="shared" si="26"/>
        <v>Error?</v>
      </c>
    </row>
    <row r="1765" spans="1:5" x14ac:dyDescent="0.2">
      <c r="A1765" s="5">
        <v>1704</v>
      </c>
      <c r="B1765" s="138">
        <f>'Tax Sched 23'!D10</f>
        <v>11394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102265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1051689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495888.59</v>
      </c>
      <c r="C1792" s="2" t="s">
        <v>594</v>
      </c>
      <c r="D1792" s="2" t="str">
        <f t="shared" si="27"/>
        <v>Error?</v>
      </c>
    </row>
    <row r="1793" spans="1:4" x14ac:dyDescent="0.2">
      <c r="A1793" s="5">
        <v>1732</v>
      </c>
      <c r="B1793" s="138">
        <f>'Tax Sched 23'!F5</f>
        <v>113029.01</v>
      </c>
      <c r="C1793" s="2" t="s">
        <v>594</v>
      </c>
      <c r="D1793" s="2" t="str">
        <f t="shared" si="27"/>
        <v>Error?</v>
      </c>
    </row>
    <row r="1794" spans="1:4" x14ac:dyDescent="0.2">
      <c r="A1794" s="5">
        <v>1733</v>
      </c>
      <c r="B1794" s="138">
        <f>'Tax Sched 23'!F6</f>
        <v>233469.27</v>
      </c>
      <c r="C1794" s="2" t="s">
        <v>594</v>
      </c>
      <c r="D1794" s="2" t="str">
        <f t="shared" si="27"/>
        <v>Error?</v>
      </c>
    </row>
    <row r="1795" spans="1:4" x14ac:dyDescent="0.2">
      <c r="A1795" s="5">
        <v>1734</v>
      </c>
      <c r="B1795" s="138">
        <f>'Tax Sched 23'!F7</f>
        <v>43791.92</v>
      </c>
      <c r="C1795" s="2" t="s">
        <v>594</v>
      </c>
      <c r="D1795" s="2" t="str">
        <f t="shared" si="27"/>
        <v>Error?</v>
      </c>
    </row>
    <row r="1796" spans="1:4" x14ac:dyDescent="0.2">
      <c r="A1796" s="5">
        <v>1735</v>
      </c>
      <c r="B1796" s="138">
        <f>'Tax Sched 23'!F8</f>
        <v>99590.78</v>
      </c>
      <c r="C1796" s="2" t="s">
        <v>594</v>
      </c>
      <c r="D1796" s="2" t="str">
        <f t="shared" si="27"/>
        <v>Error?</v>
      </c>
    </row>
    <row r="1797" spans="1:4" x14ac:dyDescent="0.2">
      <c r="A1797" s="5">
        <v>1736</v>
      </c>
      <c r="B1797" s="138">
        <f>'Tax Sched 23'!F10</f>
        <v>12305.92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110166.39999999999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14055.61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1122297.5000000002</v>
      </c>
      <c r="C1807" s="2" t="s">
        <v>594</v>
      </c>
      <c r="D1807" s="2" t="str">
        <f t="shared" si="27"/>
        <v>Error?</v>
      </c>
    </row>
    <row r="1808" spans="1:4" x14ac:dyDescent="0.2">
      <c r="A1808" s="5">
        <v>1747</v>
      </c>
      <c r="B1808" s="138">
        <f>'Tax Sched 23'!E4</f>
        <v>495888.59</v>
      </c>
      <c r="D1808" s="2" t="str">
        <f t="shared" si="27"/>
        <v>Error?</v>
      </c>
    </row>
    <row r="1809" spans="1:4" x14ac:dyDescent="0.2">
      <c r="A1809" s="5">
        <v>1748</v>
      </c>
      <c r="B1809" s="138">
        <f>'Tax Sched 23'!E5</f>
        <v>113029.01</v>
      </c>
      <c r="D1809" s="2" t="str">
        <f t="shared" si="27"/>
        <v>Error?</v>
      </c>
    </row>
    <row r="1810" spans="1:4" x14ac:dyDescent="0.2">
      <c r="A1810" s="5">
        <v>1749</v>
      </c>
      <c r="B1810" s="138">
        <f>'Tax Sched 23'!E6</f>
        <v>233469.27</v>
      </c>
      <c r="D1810" s="2" t="str">
        <f t="shared" si="27"/>
        <v>Error?</v>
      </c>
    </row>
    <row r="1811" spans="1:4" x14ac:dyDescent="0.2">
      <c r="A1811" s="5">
        <v>1750</v>
      </c>
      <c r="B1811" s="138">
        <f>'Tax Sched 23'!E7</f>
        <v>43791.92</v>
      </c>
      <c r="D1811" s="2" t="str">
        <f t="shared" si="27"/>
        <v>Error?</v>
      </c>
    </row>
    <row r="1812" spans="1:4" x14ac:dyDescent="0.2">
      <c r="A1812" s="5">
        <v>1751</v>
      </c>
      <c r="B1812" s="138">
        <f>'Tax Sched 23'!E8</f>
        <v>99590.78</v>
      </c>
      <c r="D1812" s="2" t="str">
        <f t="shared" si="27"/>
        <v>Error?</v>
      </c>
    </row>
    <row r="1813" spans="1:4" x14ac:dyDescent="0.2">
      <c r="A1813" s="5">
        <v>1752</v>
      </c>
      <c r="B1813" s="138">
        <f>'Tax Sched 23'!E10</f>
        <v>12305.92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110166.39999999999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14055.61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1122297.5000000002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13519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13519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13519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21500</v>
      </c>
      <c r="D2008" s="2" t="str">
        <f t="shared" si="30"/>
        <v>Error?</v>
      </c>
    </row>
    <row r="2009" spans="1:4" x14ac:dyDescent="0.2">
      <c r="A2009" s="5">
        <v>1948</v>
      </c>
      <c r="B2009" s="138">
        <f>'Cap Outlay Deprec 26'!C8</f>
        <v>4786449</v>
      </c>
      <c r="D2009" s="2" t="str">
        <f t="shared" si="30"/>
        <v>Error?</v>
      </c>
    </row>
    <row r="2010" spans="1:4" x14ac:dyDescent="0.2">
      <c r="A2010" s="5">
        <v>1949</v>
      </c>
      <c r="B2010" s="138">
        <f>'Cap Outlay Deprec 26'!C10</f>
        <v>179927</v>
      </c>
      <c r="D2010" s="2" t="str">
        <f t="shared" si="30"/>
        <v>Error?</v>
      </c>
    </row>
    <row r="2011" spans="1:4" x14ac:dyDescent="0.2">
      <c r="A2011" s="5">
        <v>1950</v>
      </c>
      <c r="B2011" s="138">
        <f>'Cap Outlay Deprec 26'!C12</f>
        <v>682230</v>
      </c>
      <c r="D2011" s="2" t="str">
        <f t="shared" si="30"/>
        <v>Error?</v>
      </c>
    </row>
    <row r="2012" spans="1:4" x14ac:dyDescent="0.2">
      <c r="A2012" s="5">
        <v>1951</v>
      </c>
      <c r="B2012" s="138">
        <f>'Cap Outlay Deprec 26'!C13</f>
        <v>1011623</v>
      </c>
      <c r="D2012" s="2" t="str">
        <f t="shared" si="30"/>
        <v>Error?</v>
      </c>
    </row>
    <row r="2013" spans="1:4" x14ac:dyDescent="0.2">
      <c r="A2013" s="5">
        <v>1952</v>
      </c>
      <c r="B2013" s="138">
        <f>'Cap Outlay Deprec 26'!C16</f>
        <v>6681729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103124</v>
      </c>
      <c r="D2016" s="2" t="str">
        <f t="shared" si="30"/>
        <v>Error?</v>
      </c>
    </row>
    <row r="2017" spans="1:4" x14ac:dyDescent="0.2">
      <c r="A2017" s="5">
        <v>1956</v>
      </c>
      <c r="B2017" s="138">
        <f>'Cap Outlay Deprec 26'!D12</f>
        <v>49572</v>
      </c>
      <c r="D2017" s="2" t="str">
        <f t="shared" si="30"/>
        <v>Error?</v>
      </c>
    </row>
    <row r="2018" spans="1:4" x14ac:dyDescent="0.2">
      <c r="A2018" s="5">
        <v>1957</v>
      </c>
      <c r="B2018" s="138">
        <f>'Cap Outlay Deprec 26'!D13</f>
        <v>47619</v>
      </c>
      <c r="D2018" s="2" t="str">
        <f t="shared" si="30"/>
        <v>Error?</v>
      </c>
    </row>
    <row r="2019" spans="1:4" x14ac:dyDescent="0.2">
      <c r="A2019" s="5">
        <v>1958</v>
      </c>
      <c r="B2019" s="138">
        <f>'Cap Outlay Deprec 26'!D16</f>
        <v>200315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21500</v>
      </c>
      <c r="C2026" s="2" t="s">
        <v>594</v>
      </c>
      <c r="D2026" s="2" t="str">
        <f t="shared" si="30"/>
        <v>Error?</v>
      </c>
    </row>
    <row r="2027" spans="1:4" x14ac:dyDescent="0.2">
      <c r="A2027" s="5">
        <v>1966</v>
      </c>
      <c r="B2027" s="138">
        <f>'Cap Outlay Deprec 26'!F8</f>
        <v>4786449</v>
      </c>
      <c r="C2027" s="2" t="s">
        <v>594</v>
      </c>
      <c r="D2027" s="2" t="str">
        <f t="shared" si="30"/>
        <v>Error?</v>
      </c>
    </row>
    <row r="2028" spans="1:4" x14ac:dyDescent="0.2">
      <c r="A2028" s="5">
        <v>1967</v>
      </c>
      <c r="B2028" s="138">
        <f>'Cap Outlay Deprec 26'!F10</f>
        <v>283051</v>
      </c>
      <c r="C2028" s="2" t="s">
        <v>594</v>
      </c>
      <c r="D2028" s="2" t="str">
        <f t="shared" si="30"/>
        <v>Error?</v>
      </c>
    </row>
    <row r="2029" spans="1:4" x14ac:dyDescent="0.2">
      <c r="A2029" s="5">
        <v>1968</v>
      </c>
      <c r="B2029" s="138">
        <f>'Cap Outlay Deprec 26'!F12</f>
        <v>731802</v>
      </c>
      <c r="C2029" s="2" t="s">
        <v>594</v>
      </c>
      <c r="D2029" s="2" t="str">
        <f t="shared" si="30"/>
        <v>Error?</v>
      </c>
    </row>
    <row r="2030" spans="1:4" x14ac:dyDescent="0.2">
      <c r="A2030" s="5">
        <v>1969</v>
      </c>
      <c r="B2030" s="138">
        <f>'Cap Outlay Deprec 26'!F13</f>
        <v>1059242</v>
      </c>
      <c r="C2030" s="2" t="s">
        <v>594</v>
      </c>
      <c r="D2030" s="2" t="str">
        <f t="shared" si="30"/>
        <v>Error?</v>
      </c>
    </row>
    <row r="2031" spans="1:4" x14ac:dyDescent="0.2">
      <c r="A2031" s="5">
        <v>1970</v>
      </c>
      <c r="B2031" s="138">
        <f>'Cap Outlay Deprec 26'!F16</f>
        <v>6882044</v>
      </c>
      <c r="C2031" s="2" t="s">
        <v>594</v>
      </c>
      <c r="D2031" s="2" t="str">
        <f t="shared" si="30"/>
        <v>Error?</v>
      </c>
    </row>
    <row r="2032" spans="1:4" x14ac:dyDescent="0.2">
      <c r="A2032" s="10">
        <v>1971</v>
      </c>
      <c r="D2032" s="2" t="str">
        <f t="shared" si="30"/>
        <v>OK</v>
      </c>
    </row>
    <row r="2033" spans="1:4" x14ac:dyDescent="0.2">
      <c r="A2033" s="5">
        <v>1972</v>
      </c>
      <c r="B2033" s="138">
        <f>'Cap Outlay Deprec 26'!H8</f>
        <v>2338309</v>
      </c>
      <c r="D2033" s="2" t="str">
        <f t="shared" si="30"/>
        <v>Error?</v>
      </c>
    </row>
    <row r="2034" spans="1:4" x14ac:dyDescent="0.2">
      <c r="A2034" s="5">
        <v>1973</v>
      </c>
      <c r="B2034" s="138">
        <f>'Cap Outlay Deprec 26'!H10</f>
        <v>36856</v>
      </c>
      <c r="D2034" s="2" t="str">
        <f t="shared" si="30"/>
        <v>Error?</v>
      </c>
    </row>
    <row r="2035" spans="1:4" x14ac:dyDescent="0.2">
      <c r="A2035" s="5">
        <v>1974</v>
      </c>
      <c r="B2035" s="138">
        <f>'Cap Outlay Deprec 26'!H12</f>
        <v>680748</v>
      </c>
      <c r="D2035" s="2" t="str">
        <f t="shared" si="30"/>
        <v>Error?</v>
      </c>
    </row>
    <row r="2036" spans="1:4" x14ac:dyDescent="0.2">
      <c r="A2036" s="5">
        <v>1975</v>
      </c>
      <c r="B2036" s="138">
        <f>'Cap Outlay Deprec 26'!H13</f>
        <v>930100</v>
      </c>
      <c r="D2036" s="2" t="str">
        <f t="shared" si="30"/>
        <v>Error?</v>
      </c>
    </row>
    <row r="2037" spans="1:4" x14ac:dyDescent="0.2">
      <c r="A2037" s="5">
        <v>1976</v>
      </c>
      <c r="B2037" s="138">
        <f>'Cap Outlay Deprec 26'!H16</f>
        <v>3986013</v>
      </c>
      <c r="C2037" s="2" t="s">
        <v>594</v>
      </c>
      <c r="D2037" s="2" t="str">
        <f t="shared" si="30"/>
        <v>Error?</v>
      </c>
    </row>
    <row r="2038" spans="1:4" x14ac:dyDescent="0.2">
      <c r="A2038" s="10">
        <v>1977</v>
      </c>
      <c r="D2038" s="2" t="str">
        <f t="shared" si="30"/>
        <v>OK</v>
      </c>
    </row>
    <row r="2039" spans="1:4" x14ac:dyDescent="0.2">
      <c r="A2039" s="5">
        <v>1978</v>
      </c>
      <c r="B2039" s="138">
        <f>'Cap Outlay Deprec 26'!I8</f>
        <v>95729</v>
      </c>
      <c r="D2039" s="2" t="str">
        <f t="shared" si="30"/>
        <v>Error?</v>
      </c>
    </row>
    <row r="2040" spans="1:4" x14ac:dyDescent="0.2">
      <c r="A2040" s="5">
        <v>1979</v>
      </c>
      <c r="B2040" s="138">
        <f>'Cap Outlay Deprec 26'!I10</f>
        <v>14153</v>
      </c>
      <c r="D2040" s="2" t="str">
        <f t="shared" si="30"/>
        <v>Error?</v>
      </c>
    </row>
    <row r="2041" spans="1:4" x14ac:dyDescent="0.2">
      <c r="A2041" s="5">
        <v>1980</v>
      </c>
      <c r="B2041" s="138">
        <f>'Cap Outlay Deprec 26'!I12</f>
        <v>5327</v>
      </c>
      <c r="D2041" s="2" t="str">
        <f t="shared" si="30"/>
        <v>Error?</v>
      </c>
    </row>
    <row r="2042" spans="1:4" x14ac:dyDescent="0.2">
      <c r="A2042" s="5">
        <v>1981</v>
      </c>
      <c r="B2042" s="138">
        <f>'Cap Outlay Deprec 26'!I13</f>
        <v>37926</v>
      </c>
      <c r="D2042" s="2" t="str">
        <f t="shared" si="30"/>
        <v>Error?</v>
      </c>
    </row>
    <row r="2043" spans="1:4" x14ac:dyDescent="0.2">
      <c r="A2043" s="5">
        <v>1982</v>
      </c>
      <c r="B2043" s="138">
        <f>'Cap Outlay Deprec 26'!I16</f>
        <v>153135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2434038</v>
      </c>
      <c r="C2051" s="2" t="s">
        <v>594</v>
      </c>
      <c r="D2051" s="2" t="str">
        <f t="shared" si="31"/>
        <v>Error?</v>
      </c>
    </row>
    <row r="2052" spans="1:4" x14ac:dyDescent="0.2">
      <c r="A2052" s="5">
        <v>1991</v>
      </c>
      <c r="B2052" s="138">
        <f>'Cap Outlay Deprec 26'!K10</f>
        <v>51009</v>
      </c>
      <c r="C2052" s="2" t="s">
        <v>594</v>
      </c>
      <c r="D2052" s="2" t="str">
        <f t="shared" si="31"/>
        <v>Error?</v>
      </c>
    </row>
    <row r="2053" spans="1:4" x14ac:dyDescent="0.2">
      <c r="A2053" s="5">
        <v>1992</v>
      </c>
      <c r="B2053" s="138">
        <f>'Cap Outlay Deprec 26'!K12</f>
        <v>686075</v>
      </c>
      <c r="C2053" s="2" t="s">
        <v>594</v>
      </c>
      <c r="D2053" s="2" t="str">
        <f t="shared" si="31"/>
        <v>Error?</v>
      </c>
    </row>
    <row r="2054" spans="1:4" x14ac:dyDescent="0.2">
      <c r="A2054" s="5">
        <v>1993</v>
      </c>
      <c r="B2054" s="138">
        <f>'Cap Outlay Deprec 26'!K13</f>
        <v>968026</v>
      </c>
      <c r="C2054" s="2" t="s">
        <v>594</v>
      </c>
      <c r="D2054" s="2" t="str">
        <f t="shared" si="31"/>
        <v>Error?</v>
      </c>
    </row>
    <row r="2055" spans="1:4" x14ac:dyDescent="0.2">
      <c r="A2055" s="5">
        <v>1994</v>
      </c>
      <c r="B2055" s="138">
        <f>'Cap Outlay Deprec 26'!K16</f>
        <v>4139148</v>
      </c>
      <c r="C2055" s="2" t="s">
        <v>594</v>
      </c>
      <c r="D2055" s="2" t="str">
        <f t="shared" si="31"/>
        <v>Error?</v>
      </c>
    </row>
    <row r="2056" spans="1:4" x14ac:dyDescent="0.2">
      <c r="A2056" s="5">
        <v>1995</v>
      </c>
      <c r="B2056" s="138">
        <f>'Cap Outlay Deprec 26'!L5</f>
        <v>21500</v>
      </c>
      <c r="C2056" s="2" t="s">
        <v>594</v>
      </c>
      <c r="D2056" s="2" t="str">
        <f t="shared" si="31"/>
        <v>Error?</v>
      </c>
    </row>
    <row r="2057" spans="1:4" x14ac:dyDescent="0.2">
      <c r="A2057" s="5">
        <v>1996</v>
      </c>
      <c r="B2057" s="138">
        <f>'Cap Outlay Deprec 26'!L8</f>
        <v>2352411</v>
      </c>
      <c r="C2057" s="2" t="s">
        <v>594</v>
      </c>
      <c r="D2057" s="2" t="str">
        <f t="shared" si="31"/>
        <v>Error?</v>
      </c>
    </row>
    <row r="2058" spans="1:4" x14ac:dyDescent="0.2">
      <c r="A2058" s="5">
        <v>1997</v>
      </c>
      <c r="B2058" s="138">
        <f>'Cap Outlay Deprec 26'!L10</f>
        <v>232042</v>
      </c>
      <c r="C2058" s="2" t="s">
        <v>594</v>
      </c>
      <c r="D2058" s="2" t="str">
        <f t="shared" si="31"/>
        <v>Error?</v>
      </c>
    </row>
    <row r="2059" spans="1:4" x14ac:dyDescent="0.2">
      <c r="A2059" s="5">
        <v>1998</v>
      </c>
      <c r="B2059" s="138">
        <f>'Cap Outlay Deprec 26'!L12</f>
        <v>45727</v>
      </c>
      <c r="C2059" s="2" t="s">
        <v>594</v>
      </c>
      <c r="D2059" s="2" t="str">
        <f t="shared" si="31"/>
        <v>Error?</v>
      </c>
    </row>
    <row r="2060" spans="1:4" x14ac:dyDescent="0.2">
      <c r="A2060" s="5">
        <v>1999</v>
      </c>
      <c r="B2060" s="138">
        <f>'Cap Outlay Deprec 26'!L13</f>
        <v>91216</v>
      </c>
      <c r="C2060" s="2" t="s">
        <v>594</v>
      </c>
      <c r="D2060" s="2" t="str">
        <f t="shared" si="31"/>
        <v>Error?</v>
      </c>
    </row>
    <row r="2061" spans="1:4" x14ac:dyDescent="0.2">
      <c r="A2061" s="5">
        <v>2000</v>
      </c>
      <c r="B2061" s="138">
        <f>'Cap Outlay Deprec 26'!L16</f>
        <v>2742896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389703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390928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126423</v>
      </c>
      <c r="D2475" s="2" t="str">
        <f t="shared" si="37"/>
        <v>Error?</v>
      </c>
    </row>
    <row r="2476" spans="1:4" x14ac:dyDescent="0.2">
      <c r="A2476" s="10">
        <v>2415</v>
      </c>
      <c r="D2476" s="2" t="str">
        <f t="shared" si="37"/>
        <v>OK</v>
      </c>
    </row>
    <row r="2477" spans="1:4" x14ac:dyDescent="0.2">
      <c r="A2477" s="5">
        <v>2416</v>
      </c>
      <c r="B2477" s="138">
        <f>'Assets-Liab 5-6'!G38</f>
        <v>169583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76811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98489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706213</v>
      </c>
      <c r="C2551" s="2" t="s">
        <v>594</v>
      </c>
      <c r="D2551" s="2" t="str">
        <f t="shared" si="38"/>
        <v>Error?</v>
      </c>
    </row>
    <row r="2552" spans="1:4" x14ac:dyDescent="0.2">
      <c r="A2552" s="10">
        <v>2491</v>
      </c>
      <c r="D2552" s="2" t="str">
        <f t="shared" si="38"/>
        <v>OK</v>
      </c>
    </row>
    <row r="2553" spans="1:4" x14ac:dyDescent="0.2">
      <c r="A2553" s="5">
        <v>2492</v>
      </c>
      <c r="B2553" s="138">
        <f>'Acct Summary 7-8'!C6</f>
        <v>2407812</v>
      </c>
      <c r="C2553" s="2" t="s">
        <v>594</v>
      </c>
      <c r="D2553" s="2" t="str">
        <f t="shared" si="38"/>
        <v>Error?</v>
      </c>
    </row>
    <row r="2554" spans="1:4" x14ac:dyDescent="0.2">
      <c r="A2554" s="5">
        <v>2493</v>
      </c>
      <c r="B2554" s="138">
        <f>'Acct Summary 7-8'!C7</f>
        <v>296620</v>
      </c>
      <c r="C2554" s="2" t="s">
        <v>594</v>
      </c>
      <c r="D2554" s="2" t="str">
        <f t="shared" si="38"/>
        <v>Error?</v>
      </c>
    </row>
    <row r="2555" spans="1:4" x14ac:dyDescent="0.2">
      <c r="A2555" s="5">
        <v>2494</v>
      </c>
      <c r="B2555" s="138">
        <f>'Acct Summary 7-8'!C8</f>
        <v>3410645</v>
      </c>
      <c r="C2555" s="2" t="s">
        <v>594</v>
      </c>
      <c r="D2555" s="2" t="str">
        <f t="shared" si="38"/>
        <v>Error?</v>
      </c>
    </row>
    <row r="2556" spans="1:4" x14ac:dyDescent="0.2">
      <c r="A2556" s="5">
        <v>2495</v>
      </c>
      <c r="B2556" s="138">
        <f>'Acct Summary 7-8'!C12</f>
        <v>2122320</v>
      </c>
      <c r="C2556" s="2" t="s">
        <v>594</v>
      </c>
      <c r="D2556" s="2" t="str">
        <f t="shared" si="38"/>
        <v>Error?</v>
      </c>
    </row>
    <row r="2557" spans="1:4" x14ac:dyDescent="0.2">
      <c r="A2557" s="5">
        <v>2496</v>
      </c>
      <c r="B2557" s="138">
        <f>'Acct Summary 7-8'!C13</f>
        <v>954115</v>
      </c>
      <c r="C2557" s="2" t="s">
        <v>594</v>
      </c>
      <c r="D2557" s="2" t="str">
        <f t="shared" si="38"/>
        <v>Error?</v>
      </c>
    </row>
    <row r="2558" spans="1:4" x14ac:dyDescent="0.2">
      <c r="A2558" s="5">
        <v>2497</v>
      </c>
      <c r="B2558" s="138">
        <f>'Acct Summary 7-8'!C14</f>
        <v>242</v>
      </c>
      <c r="C2558" s="2" t="s">
        <v>594</v>
      </c>
      <c r="D2558" s="2" t="str">
        <f t="shared" si="38"/>
        <v>Error?</v>
      </c>
    </row>
    <row r="2559" spans="1:4" x14ac:dyDescent="0.2">
      <c r="A2559" s="5">
        <v>2498</v>
      </c>
      <c r="B2559" s="138">
        <f>'Acct Summary 7-8'!C15</f>
        <v>390928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3467605</v>
      </c>
      <c r="C2561" s="2" t="s">
        <v>594</v>
      </c>
      <c r="D2561" s="2" t="str">
        <f t="shared" si="39"/>
        <v>Error?</v>
      </c>
    </row>
    <row r="2562" spans="1:4" x14ac:dyDescent="0.2">
      <c r="A2562" s="5">
        <v>2501</v>
      </c>
      <c r="B2562" s="138">
        <f>'Acct Summary 7-8'!C20</f>
        <v>-56960</v>
      </c>
      <c r="C2562" s="2" t="s">
        <v>594</v>
      </c>
      <c r="D2562" s="2" t="str">
        <f t="shared" si="39"/>
        <v>Error?</v>
      </c>
    </row>
    <row r="2563" spans="1:4" x14ac:dyDescent="0.2">
      <c r="A2563" s="5">
        <v>2502</v>
      </c>
      <c r="B2563" s="138">
        <f>'Acct Summary 7-8'!C80</f>
        <v>206368</v>
      </c>
      <c r="D2563" s="2" t="str">
        <f t="shared" si="39"/>
        <v>Error?</v>
      </c>
    </row>
    <row r="2564" spans="1:4" x14ac:dyDescent="0.2">
      <c r="A2564" s="5">
        <v>2503</v>
      </c>
      <c r="B2564" s="138">
        <f>'Acct Summary 7-8'!D4</f>
        <v>106162</v>
      </c>
      <c r="C2564" s="2" t="s">
        <v>594</v>
      </c>
      <c r="D2564" s="2" t="str">
        <f t="shared" si="39"/>
        <v>Error?</v>
      </c>
    </row>
    <row r="2565" spans="1:4" x14ac:dyDescent="0.2">
      <c r="A2565" s="10">
        <v>2504</v>
      </c>
      <c r="D2565" s="2" t="str">
        <f t="shared" si="39"/>
        <v>OK</v>
      </c>
    </row>
    <row r="2566" spans="1:4" x14ac:dyDescent="0.2">
      <c r="A2566" s="5">
        <v>2505</v>
      </c>
      <c r="B2566" s="138">
        <f>'Acct Summary 7-8'!D6</f>
        <v>220000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326162</v>
      </c>
      <c r="C2568" s="2" t="s">
        <v>594</v>
      </c>
      <c r="D2568" s="2" t="str">
        <f t="shared" si="39"/>
        <v>Error?</v>
      </c>
    </row>
    <row r="2569" spans="1:4" x14ac:dyDescent="0.2">
      <c r="A2569" s="5">
        <v>2508</v>
      </c>
      <c r="B2569" s="138">
        <f>'Acct Summary 7-8'!D13</f>
        <v>320234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320234</v>
      </c>
      <c r="C2573" s="2" t="s">
        <v>594</v>
      </c>
      <c r="D2573" s="2" t="str">
        <f t="shared" si="39"/>
        <v>Error?</v>
      </c>
    </row>
    <row r="2574" spans="1:4" x14ac:dyDescent="0.2">
      <c r="A2574" s="5">
        <v>2513</v>
      </c>
      <c r="B2574" s="138">
        <f>'Acct Summary 7-8'!D20</f>
        <v>5928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57857</v>
      </c>
      <c r="C2591" s="2" t="s">
        <v>594</v>
      </c>
      <c r="D2591" s="2" t="str">
        <f t="shared" si="39"/>
        <v>Error?</v>
      </c>
    </row>
    <row r="2592" spans="1:4" x14ac:dyDescent="0.2">
      <c r="A2592" s="10">
        <v>2531</v>
      </c>
      <c r="D2592" s="2" t="str">
        <f t="shared" si="39"/>
        <v>OK</v>
      </c>
    </row>
    <row r="2593" spans="1:4" x14ac:dyDescent="0.2">
      <c r="A2593" s="5">
        <v>2532</v>
      </c>
      <c r="B2593" s="138">
        <f>'Acct Summary 7-8'!F6</f>
        <v>230950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288807</v>
      </c>
      <c r="C2595" s="2" t="s">
        <v>594</v>
      </c>
      <c r="D2595" s="2" t="str">
        <f t="shared" si="39"/>
        <v>Error?</v>
      </c>
    </row>
    <row r="2596" spans="1:4" x14ac:dyDescent="0.2">
      <c r="A2596" s="5">
        <v>2535</v>
      </c>
      <c r="B2596" s="138">
        <f>'Acct Summary 7-8'!F13</f>
        <v>219752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219752</v>
      </c>
      <c r="C2600" s="2" t="s">
        <v>594</v>
      </c>
      <c r="D2600" s="2" t="str">
        <f t="shared" si="39"/>
        <v>Error?</v>
      </c>
    </row>
    <row r="2601" spans="1:4" x14ac:dyDescent="0.2">
      <c r="A2601" s="5">
        <v>2540</v>
      </c>
      <c r="B2601" s="138">
        <f>'Acct Summary 7-8'!F20</f>
        <v>69055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93260</v>
      </c>
      <c r="C2603" s="2" t="s">
        <v>594</v>
      </c>
      <c r="D2603" s="2" t="str">
        <f t="shared" si="39"/>
        <v>Error?</v>
      </c>
    </row>
    <row r="2604" spans="1:4" x14ac:dyDescent="0.2">
      <c r="A2604" s="5">
        <v>2543</v>
      </c>
      <c r="B2604" s="138">
        <f>'Acct Summary 7-8'!G6</f>
        <v>52875</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146135</v>
      </c>
      <c r="C2606" s="2" t="s">
        <v>594</v>
      </c>
      <c r="D2606" s="2" t="str">
        <f t="shared" si="39"/>
        <v>Error?</v>
      </c>
    </row>
    <row r="2607" spans="1:4" x14ac:dyDescent="0.2">
      <c r="A2607" s="5">
        <v>2546</v>
      </c>
      <c r="B2607" s="138">
        <f>'Acct Summary 7-8'!G12</f>
        <v>32090</v>
      </c>
      <c r="C2607" s="2" t="s">
        <v>594</v>
      </c>
      <c r="D2607" s="2" t="str">
        <f t="shared" si="39"/>
        <v>Error?</v>
      </c>
    </row>
    <row r="2608" spans="1:4" x14ac:dyDescent="0.2">
      <c r="A2608" s="5">
        <v>2547</v>
      </c>
      <c r="B2608" s="138">
        <f>'Acct Summary 7-8'!G13</f>
        <v>73387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105477</v>
      </c>
      <c r="C2612" s="2" t="s">
        <v>594</v>
      </c>
      <c r="D2612" s="2" t="str">
        <f t="shared" si="39"/>
        <v>Error?</v>
      </c>
    </row>
    <row r="2613" spans="1:4" x14ac:dyDescent="0.2">
      <c r="A2613" s="5">
        <v>2552</v>
      </c>
      <c r="B2613" s="138">
        <f>'Acct Summary 7-8'!G20</f>
        <v>40658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230610</v>
      </c>
      <c r="C2630" s="2" t="s">
        <v>594</v>
      </c>
      <c r="D2630" s="2" t="str">
        <f t="shared" si="40"/>
        <v>Error?</v>
      </c>
    </row>
    <row r="2631" spans="1:4" x14ac:dyDescent="0.2">
      <c r="A2631" s="5">
        <v>2570</v>
      </c>
      <c r="B2631" s="138">
        <f>'Acct Summary 7-8'!E6</f>
        <v>36650</v>
      </c>
      <c r="C2631" s="2" t="s">
        <v>594</v>
      </c>
      <c r="D2631" s="2" t="str">
        <f t="shared" si="40"/>
        <v>Error?</v>
      </c>
    </row>
    <row r="2632" spans="1:4" x14ac:dyDescent="0.2">
      <c r="A2632" s="5">
        <v>2571</v>
      </c>
      <c r="B2632" s="138">
        <f>'Acct Summary 7-8'!E8</f>
        <v>267260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233392</v>
      </c>
      <c r="C2634" s="2" t="s">
        <v>594</v>
      </c>
      <c r="D2634" s="2" t="str">
        <f t="shared" si="40"/>
        <v>Error?</v>
      </c>
    </row>
    <row r="2635" spans="1:4" x14ac:dyDescent="0.2">
      <c r="A2635" s="5">
        <v>2574</v>
      </c>
      <c r="B2635" s="138">
        <f>'Acct Summary 7-8'!E17</f>
        <v>233392</v>
      </c>
      <c r="C2635" s="2" t="s">
        <v>594</v>
      </c>
      <c r="D2635" s="2" t="str">
        <f t="shared" si="40"/>
        <v>Error?</v>
      </c>
    </row>
    <row r="2636" spans="1:4" x14ac:dyDescent="0.2">
      <c r="A2636" s="5">
        <v>2575</v>
      </c>
      <c r="B2636" s="138">
        <f>'Acct Summary 7-8'!E20</f>
        <v>33868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208438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208438</v>
      </c>
      <c r="C2658" s="2" t="s">
        <v>594</v>
      </c>
      <c r="D2658" s="2" t="str">
        <f t="shared" si="40"/>
        <v>Error?</v>
      </c>
    </row>
    <row r="2659" spans="1:4" x14ac:dyDescent="0.2">
      <c r="A2659" s="5">
        <v>2598</v>
      </c>
      <c r="B2659" s="138">
        <f>'Acct Summary 7-8'!H13</f>
        <v>112324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112324</v>
      </c>
      <c r="C2661" s="2" t="s">
        <v>594</v>
      </c>
      <c r="D2661" s="2" t="str">
        <f t="shared" si="40"/>
        <v>Error?</v>
      </c>
    </row>
    <row r="2662" spans="1:4" x14ac:dyDescent="0.2">
      <c r="A2662" s="5">
        <v>2601</v>
      </c>
      <c r="B2662" s="138">
        <f>'Acct Summary 7-8'!H20</f>
        <v>96114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1225</v>
      </c>
      <c r="C2789" s="2" t="s">
        <v>594</v>
      </c>
      <c r="D2789" s="2" t="str">
        <f t="shared" si="42"/>
        <v>Error?</v>
      </c>
    </row>
    <row r="2790" spans="1:4" x14ac:dyDescent="0.2">
      <c r="A2790" s="5">
        <v>2729</v>
      </c>
      <c r="B2790" s="138">
        <f>'Expenditures 15-22'!E102</f>
        <v>1225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44718</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132834</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22254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79686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22254</v>
      </c>
      <c r="D2912" s="2" t="str">
        <f t="shared" si="44"/>
        <v>Error?</v>
      </c>
    </row>
    <row r="2913" spans="1:4" x14ac:dyDescent="0.2">
      <c r="A2913" s="5">
        <v>2852</v>
      </c>
      <c r="B2913" s="138">
        <f>'Assets-Liab 5-6'!I41</f>
        <v>22254</v>
      </c>
      <c r="C2913" s="2" t="s">
        <v>594</v>
      </c>
      <c r="D2913" s="2" t="str">
        <f t="shared" si="44"/>
        <v>Error?</v>
      </c>
    </row>
    <row r="2914" spans="1:4" x14ac:dyDescent="0.2">
      <c r="A2914" s="5">
        <v>2853</v>
      </c>
      <c r="B2914" s="138">
        <f>'Assets-Liab 5-6'!L33</f>
        <v>79686</v>
      </c>
      <c r="D2914" s="2" t="str">
        <f t="shared" si="44"/>
        <v>Error?</v>
      </c>
    </row>
    <row r="2915" spans="1:4" x14ac:dyDescent="0.2">
      <c r="A2915" s="10">
        <v>2854</v>
      </c>
      <c r="D2915" s="2" t="str">
        <f t="shared" si="44"/>
        <v>OK</v>
      </c>
    </row>
    <row r="2916" spans="1:4" x14ac:dyDescent="0.2">
      <c r="A2916" s="5">
        <v>2855</v>
      </c>
      <c r="B2916" s="138">
        <f>'Assets-Liab 5-6'!L34</f>
        <v>79686</v>
      </c>
      <c r="C2916" s="2" t="s">
        <v>594</v>
      </c>
      <c r="D2916" s="2" t="str">
        <f t="shared" si="44"/>
        <v>Error?</v>
      </c>
    </row>
    <row r="2917" spans="1:4" x14ac:dyDescent="0.2">
      <c r="A2917" s="5">
        <v>2856</v>
      </c>
      <c r="B2917" s="138">
        <f>'Assets-Liab 5-6'!L41</f>
        <v>79686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1225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244927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144776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1225</v>
      </c>
      <c r="C2973" s="2" t="s">
        <v>594</v>
      </c>
      <c r="D2973" s="2" t="str">
        <f t="shared" si="45"/>
        <v>Error?</v>
      </c>
    </row>
    <row r="2974" spans="1:4" x14ac:dyDescent="0.2">
      <c r="A2974" s="5">
        <v>2913</v>
      </c>
      <c r="B2974" s="138">
        <f>'Expenditures 15-22'!K79</f>
        <v>244927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144776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108817</v>
      </c>
      <c r="D3055" s="2" t="str">
        <f t="shared" si="46"/>
        <v>Error?</v>
      </c>
    </row>
    <row r="3056" spans="1:4" x14ac:dyDescent="0.2">
      <c r="A3056" s="5">
        <v>2995</v>
      </c>
      <c r="B3056" s="138">
        <f>'Expenditures 15-22'!D10</f>
        <v>38515</v>
      </c>
      <c r="D3056" s="2" t="str">
        <f t="shared" si="46"/>
        <v>Error?</v>
      </c>
    </row>
    <row r="3057" spans="1:4" x14ac:dyDescent="0.2">
      <c r="A3057" s="5">
        <v>2996</v>
      </c>
      <c r="B3057" s="138">
        <f>'Expenditures 15-22'!E10</f>
        <v>18481</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165813</v>
      </c>
      <c r="C3062" s="2" t="s">
        <v>594</v>
      </c>
      <c r="D3062" s="2" t="str">
        <f t="shared" si="46"/>
        <v>Error?</v>
      </c>
    </row>
    <row r="3063" spans="1:4" x14ac:dyDescent="0.2">
      <c r="A3063" s="10">
        <v>3002</v>
      </c>
      <c r="D3063" s="2" t="str">
        <f t="shared" si="46"/>
        <v>OK</v>
      </c>
    </row>
    <row r="3064" spans="1:4" x14ac:dyDescent="0.2">
      <c r="A3064" s="5">
        <v>3003</v>
      </c>
      <c r="B3064" s="138">
        <f>'Expenditures 15-22'!D219</f>
        <v>3479</v>
      </c>
      <c r="D3064" s="2" t="str">
        <f t="shared" si="46"/>
        <v>Error?</v>
      </c>
    </row>
    <row r="3065" spans="1:4" x14ac:dyDescent="0.2">
      <c r="A3065" s="5">
        <v>3004</v>
      </c>
      <c r="B3065" s="138">
        <f>'Expenditures 15-22'!K219</f>
        <v>3479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11523</v>
      </c>
      <c r="C3225" s="2" t="s">
        <v>594</v>
      </c>
      <c r="D3225" s="2" t="str">
        <f t="shared" si="49"/>
        <v>Error?</v>
      </c>
    </row>
    <row r="3226" spans="1:4" x14ac:dyDescent="0.2">
      <c r="A3226" s="5">
        <v>3165</v>
      </c>
      <c r="B3226" s="138">
        <f>'Acct Summary 7-8'!I8</f>
        <v>11523</v>
      </c>
      <c r="C3226" s="2" t="s">
        <v>594</v>
      </c>
      <c r="D3226" s="2" t="str">
        <f t="shared" si="49"/>
        <v>Error?</v>
      </c>
    </row>
    <row r="3227" spans="1:4" x14ac:dyDescent="0.2">
      <c r="A3227" s="5">
        <v>3166</v>
      </c>
      <c r="B3227" s="138">
        <f>'Acct Summary 7-8'!I20</f>
        <v>11523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-56960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5928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69055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40658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33868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96114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11523</v>
      </c>
      <c r="C3320" s="2" t="s">
        <v>594</v>
      </c>
      <c r="D3320" s="2" t="str">
        <f t="shared" si="50"/>
        <v>Error?</v>
      </c>
    </row>
    <row r="3321" spans="1:4" x14ac:dyDescent="0.2">
      <c r="A3321" s="5">
        <v>3260</v>
      </c>
      <c r="B3321" s="138">
        <f>'Acct Summary 7-8'!I79</f>
        <v>10731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22254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242129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65149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307458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21561</v>
      </c>
      <c r="D3387" s="2" t="str">
        <f t="shared" si="51"/>
        <v>Error?</v>
      </c>
    </row>
    <row r="3388" spans="1:4" x14ac:dyDescent="0.2">
      <c r="A3388" s="5">
        <v>3327</v>
      </c>
      <c r="B3388" s="138">
        <f>'Expenditures 15-22'!D217</f>
        <v>4688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21561</v>
      </c>
      <c r="C3390" s="2" t="s">
        <v>594</v>
      </c>
      <c r="D3390" s="2" t="str">
        <f t="shared" si="51"/>
        <v>Error?</v>
      </c>
    </row>
    <row r="3391" spans="1:4" x14ac:dyDescent="0.2">
      <c r="A3391" s="5">
        <v>3330</v>
      </c>
      <c r="B3391" s="138">
        <f>'Expenditures 15-22'!K217</f>
        <v>4688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596694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148050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126450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169583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143489</v>
      </c>
      <c r="D3425" s="2" t="str">
        <f t="shared" si="52"/>
        <v>Error?</v>
      </c>
    </row>
    <row r="3426" spans="1:4" x14ac:dyDescent="0.2">
      <c r="A3426" s="10">
        <v>3365</v>
      </c>
      <c r="D3426" s="2" t="str">
        <f t="shared" si="52"/>
        <v>OK</v>
      </c>
    </row>
    <row r="3427" spans="1:4" x14ac:dyDescent="0.2">
      <c r="A3427" s="5">
        <v>3366</v>
      </c>
      <c r="B3427" s="138">
        <f>'Assets-Liab 5-6'!I4</f>
        <v>22254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79686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148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148</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83973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217090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3627735</v>
      </c>
      <c r="C4122" s="2" t="s">
        <v>594</v>
      </c>
      <c r="D4122" s="2" t="str">
        <f t="shared" si="63"/>
        <v>Error?</v>
      </c>
    </row>
    <row r="4123" spans="1:4" x14ac:dyDescent="0.2">
      <c r="A4123" s="5">
        <v>4062</v>
      </c>
      <c r="B4123" s="138">
        <f>'Acct Summary 7-8'!D10</f>
        <v>326162</v>
      </c>
      <c r="C4123" s="2" t="s">
        <v>594</v>
      </c>
      <c r="D4123" s="2" t="str">
        <f t="shared" si="63"/>
        <v>Error?</v>
      </c>
    </row>
    <row r="4124" spans="1:4" x14ac:dyDescent="0.2">
      <c r="A4124" s="5">
        <v>4063</v>
      </c>
      <c r="B4124" s="138">
        <f>'Acct Summary 7-8'!E10</f>
        <v>267260</v>
      </c>
      <c r="C4124" s="2" t="s">
        <v>594</v>
      </c>
      <c r="D4124" s="2" t="str">
        <f t="shared" si="63"/>
        <v>Error?</v>
      </c>
    </row>
    <row r="4125" spans="1:4" x14ac:dyDescent="0.2">
      <c r="A4125" s="5">
        <v>4064</v>
      </c>
      <c r="B4125" s="138">
        <f>'Acct Summary 7-8'!F10</f>
        <v>288807</v>
      </c>
      <c r="C4125" s="2" t="s">
        <v>594</v>
      </c>
      <c r="D4125" s="2" t="str">
        <f t="shared" si="63"/>
        <v>Error?</v>
      </c>
    </row>
    <row r="4126" spans="1:4" x14ac:dyDescent="0.2">
      <c r="A4126" s="5">
        <v>4065</v>
      </c>
      <c r="B4126" s="138">
        <f>'Acct Summary 7-8'!G10</f>
        <v>146135</v>
      </c>
      <c r="C4126" s="2" t="s">
        <v>594</v>
      </c>
      <c r="D4126" s="2" t="str">
        <f t="shared" si="63"/>
        <v>Error?</v>
      </c>
    </row>
    <row r="4127" spans="1:4" x14ac:dyDescent="0.2">
      <c r="A4127" s="5">
        <v>4066</v>
      </c>
      <c r="B4127" s="138">
        <f>'Acct Summary 7-8'!H10</f>
        <v>208438</v>
      </c>
      <c r="C4127" s="2" t="s">
        <v>594</v>
      </c>
      <c r="D4127" s="2" t="str">
        <f t="shared" si="63"/>
        <v>Error?</v>
      </c>
    </row>
    <row r="4128" spans="1:4" x14ac:dyDescent="0.2">
      <c r="A4128" s="5">
        <v>4067</v>
      </c>
      <c r="B4128" s="138">
        <f>'Acct Summary 7-8'!I10</f>
        <v>11523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217090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3684695</v>
      </c>
      <c r="C4136" s="2" t="s">
        <v>594</v>
      </c>
      <c r="D4136" s="2" t="str">
        <f t="shared" si="63"/>
        <v>Error?</v>
      </c>
    </row>
    <row r="4137" spans="1:4" x14ac:dyDescent="0.2">
      <c r="A4137" s="5">
        <v>4076</v>
      </c>
      <c r="B4137" s="138">
        <f>'Acct Summary 7-8'!D19</f>
        <v>320234</v>
      </c>
      <c r="C4137" s="2" t="s">
        <v>594</v>
      </c>
      <c r="D4137" s="2" t="str">
        <f t="shared" si="63"/>
        <v>Error?</v>
      </c>
    </row>
    <row r="4138" spans="1:4" x14ac:dyDescent="0.2">
      <c r="A4138" s="5">
        <v>4077</v>
      </c>
      <c r="B4138" s="138">
        <f>'Acct Summary 7-8'!E19</f>
        <v>233392</v>
      </c>
      <c r="C4138" s="2" t="s">
        <v>594</v>
      </c>
      <c r="D4138" s="2" t="str">
        <f t="shared" si="63"/>
        <v>Error?</v>
      </c>
    </row>
    <row r="4139" spans="1:4" x14ac:dyDescent="0.2">
      <c r="A4139" s="5">
        <v>4078</v>
      </c>
      <c r="B4139" s="138">
        <f>'Acct Summary 7-8'!F19</f>
        <v>219752</v>
      </c>
      <c r="C4139" s="2" t="s">
        <v>594</v>
      </c>
      <c r="D4139" s="2" t="str">
        <f t="shared" si="63"/>
        <v>Error?</v>
      </c>
    </row>
    <row r="4140" spans="1:4" x14ac:dyDescent="0.2">
      <c r="A4140" s="5">
        <v>4079</v>
      </c>
      <c r="B4140" s="138">
        <f>'Acct Summary 7-8'!G19</f>
        <v>105477</v>
      </c>
      <c r="C4140" s="2" t="s">
        <v>594</v>
      </c>
      <c r="D4140" s="2" t="str">
        <f t="shared" si="63"/>
        <v>Error?</v>
      </c>
    </row>
    <row r="4141" spans="1:4" x14ac:dyDescent="0.2">
      <c r="A4141" s="5">
        <v>4080</v>
      </c>
      <c r="B4141" s="138">
        <f>'Acct Summary 7-8'!H19</f>
        <v>112324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1740000</v>
      </c>
      <c r="C4171" s="2" t="s">
        <v>594</v>
      </c>
      <c r="D4171" s="2" t="str">
        <f t="shared" si="64"/>
        <v>Error?</v>
      </c>
    </row>
    <row r="4172" spans="1:4" x14ac:dyDescent="0.2">
      <c r="A4172" s="5">
        <v>4111</v>
      </c>
      <c r="B4172" s="138">
        <f>'Short-Term Long-Term Debt 24'!J49</f>
        <v>1663189</v>
      </c>
      <c r="C4172" s="2" t="s">
        <v>594</v>
      </c>
      <c r="D4172" s="2" t="str">
        <f t="shared" si="64"/>
        <v>Error?</v>
      </c>
    </row>
    <row r="4173" spans="1:4" x14ac:dyDescent="0.2">
      <c r="A4173" s="5">
        <v>4112</v>
      </c>
      <c r="B4173" s="138">
        <f>'Short-Term Long-Term Debt 24'!H49</f>
        <v>140000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1791.19</v>
      </c>
      <c r="C4265" s="2" t="s">
        <v>594</v>
      </c>
      <c r="D4265" s="2" t="str">
        <f t="shared" si="65"/>
        <v>Error?</v>
      </c>
      <c r="E4265" s="128"/>
    </row>
    <row r="4266" spans="1:5" x14ac:dyDescent="0.2">
      <c r="A4266" s="12">
        <v>4205</v>
      </c>
      <c r="B4266" s="138">
        <f>('FP Info 3'!F10)*100000</f>
        <v>408.27</v>
      </c>
      <c r="C4266" s="2" t="s">
        <v>594</v>
      </c>
      <c r="D4266" s="2" t="str">
        <f t="shared" si="65"/>
        <v>Error?</v>
      </c>
      <c r="E4266" s="128"/>
    </row>
    <row r="4267" spans="1:5" x14ac:dyDescent="0.2">
      <c r="A4267" s="12">
        <v>4206</v>
      </c>
      <c r="B4267" s="138">
        <f>('FP Info 3'!H10)*100000</f>
        <v>158.18</v>
      </c>
      <c r="C4267" s="2" t="s">
        <v>594</v>
      </c>
      <c r="D4267" s="2" t="str">
        <f t="shared" si="65"/>
        <v>Error?</v>
      </c>
      <c r="E4267" s="128"/>
    </row>
    <row r="4268" spans="1:5" x14ac:dyDescent="0.2">
      <c r="A4268" s="12">
        <v>4207</v>
      </c>
      <c r="B4268" s="138">
        <f>('FP Info 3'!J10)*100000</f>
        <v>2358</v>
      </c>
      <c r="C4268" s="2" t="s">
        <v>594</v>
      </c>
      <c r="D4268" s="2" t="str">
        <f t="shared" si="65"/>
        <v>Error?</v>
      </c>
    </row>
    <row r="4269" spans="1:5" x14ac:dyDescent="0.2">
      <c r="A4269" s="12">
        <v>4208</v>
      </c>
      <c r="B4269" s="138">
        <f>'FP Info 3'!J16</f>
        <v>935449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49572</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6491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9763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14544</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27081817</v>
      </c>
      <c r="D4995" s="2" t="str">
        <f t="shared" si="77"/>
        <v>Error?</v>
      </c>
    </row>
    <row r="4996" spans="1:4" x14ac:dyDescent="0.2">
      <c r="A4996" s="12">
        <v>4935</v>
      </c>
      <c r="B4996" s="138">
        <f>'FP Info 3'!H31</f>
        <v>3737290.7460000003</v>
      </c>
      <c r="D4996" s="2" t="str">
        <f t="shared" si="77"/>
        <v>Error?</v>
      </c>
    </row>
    <row r="4997" spans="1:4" x14ac:dyDescent="0.2">
      <c r="A4997" s="12">
        <v>4936</v>
      </c>
      <c r="B4997" s="138">
        <f>'FP Info 3'!H37</f>
        <v>1740000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472212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472212</v>
      </c>
      <c r="C5066" s="2" t="s">
        <v>594</v>
      </c>
      <c r="D5066" s="2" t="str">
        <f t="shared" si="78"/>
        <v>Error?</v>
      </c>
    </row>
    <row r="5067" spans="1:4" x14ac:dyDescent="0.2">
      <c r="A5067" s="5">
        <v>5006</v>
      </c>
      <c r="B5067" s="138">
        <f>'Revenues 9-14'!C14</f>
        <v>5347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68375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73722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1204</v>
      </c>
      <c r="C5090" s="2" t="s">
        <v>594</v>
      </c>
      <c r="D5090" s="2" t="str">
        <f t="shared" si="78"/>
        <v>Error?</v>
      </c>
    </row>
    <row r="5091" spans="1:4" x14ac:dyDescent="0.2">
      <c r="A5091" s="5">
        <v>5030</v>
      </c>
      <c r="B5091" s="138">
        <f>'Revenues 9-14'!C70</f>
        <v>204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549</v>
      </c>
      <c r="D5093" s="2" t="str">
        <f t="shared" si="78"/>
        <v>Error?</v>
      </c>
    </row>
    <row r="5094" spans="1:4" x14ac:dyDescent="0.2">
      <c r="A5094" s="5">
        <v>5033</v>
      </c>
      <c r="B5094" s="138">
        <f>'Revenues 9-14'!C73</f>
        <v>4992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47906</v>
      </c>
      <c r="C5096" s="2" t="s">
        <v>594</v>
      </c>
      <c r="D5096" s="2" t="str">
        <f t="shared" si="78"/>
        <v>Error?</v>
      </c>
    </row>
    <row r="5097" spans="1:4" x14ac:dyDescent="0.2">
      <c r="A5097" s="5">
        <v>5036</v>
      </c>
      <c r="B5097" s="138">
        <f>'Revenues 9-14'!C77</f>
        <v>9367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5920</v>
      </c>
      <c r="D5101" s="2" t="str">
        <f t="shared" si="78"/>
        <v>Error?</v>
      </c>
    </row>
    <row r="5102" spans="1:4" x14ac:dyDescent="0.2">
      <c r="A5102" s="5">
        <v>5041</v>
      </c>
      <c r="B5102" s="138">
        <f>'Revenues 9-14'!C82</f>
        <v>16134</v>
      </c>
      <c r="C5102" s="2" t="s">
        <v>594</v>
      </c>
      <c r="D5102" s="2" t="str">
        <f t="shared" si="78"/>
        <v>Error?</v>
      </c>
    </row>
    <row r="5103" spans="1:4" x14ac:dyDescent="0.2">
      <c r="A5103" s="5">
        <v>5042</v>
      </c>
      <c r="B5103" s="138">
        <f>'Revenues 9-14'!C84</f>
        <v>6981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6981</v>
      </c>
      <c r="C5112" s="2" t="s">
        <v>594</v>
      </c>
      <c r="D5112" s="2" t="str">
        <f t="shared" si="78"/>
        <v>Error?</v>
      </c>
    </row>
    <row r="5113" spans="1:4" x14ac:dyDescent="0.2">
      <c r="A5113" s="5">
        <v>5052</v>
      </c>
      <c r="B5113" s="138">
        <f>'Revenues 9-14'!C95</f>
        <v>750</v>
      </c>
      <c r="D5113" s="2" t="str">
        <f t="shared" si="78"/>
        <v>Error?</v>
      </c>
    </row>
    <row r="5114" spans="1:4" x14ac:dyDescent="0.2">
      <c r="A5114" s="5">
        <v>5053</v>
      </c>
      <c r="B5114" s="138">
        <f>'Revenues 9-14'!C96</f>
        <v>144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87160</v>
      </c>
      <c r="D5119" s="2" t="str">
        <f t="shared" ref="D5119:D5182" si="79">IF(ISBLANK(B5119),"OK",IF(A5119-B5119=0,"OK","Error?"))</f>
        <v>Error?</v>
      </c>
    </row>
    <row r="5120" spans="1:4" x14ac:dyDescent="0.2">
      <c r="A5120" s="5">
        <v>5059</v>
      </c>
      <c r="B5120" s="138">
        <f>'Revenues 9-14'!C108</f>
        <v>88054</v>
      </c>
      <c r="C5120" s="2" t="s">
        <v>594</v>
      </c>
      <c r="D5120" s="2" t="str">
        <f t="shared" si="79"/>
        <v>Error?</v>
      </c>
    </row>
    <row r="5121" spans="1:4" x14ac:dyDescent="0.2">
      <c r="A5121" s="5">
        <v>5060</v>
      </c>
      <c r="B5121" s="138">
        <f>'Revenues 9-14'!C109</f>
        <v>706213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2301534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2301534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31169</v>
      </c>
      <c r="D5134" s="2" t="str">
        <f t="shared" si="79"/>
        <v>Error?</v>
      </c>
    </row>
    <row r="5135" spans="1:4" x14ac:dyDescent="0.2">
      <c r="A5135" s="5">
        <v>5074</v>
      </c>
      <c r="B5135" s="138">
        <f>'Revenues 9-14'!C126</f>
        <v>33392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30940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701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96202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2007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2047</v>
      </c>
      <c r="D5167" s="2" t="str">
        <f t="shared" si="79"/>
        <v>Error?</v>
      </c>
    </row>
    <row r="5168" spans="1:4" x14ac:dyDescent="0.2">
      <c r="A5168" s="5">
        <v>5107</v>
      </c>
      <c r="B5168" s="138">
        <f>'Revenues 9-14'!C147</f>
        <v>6022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106278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2407812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14544</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93216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42711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185499</v>
      </c>
      <c r="C5246" s="2" t="s">
        <v>594</v>
      </c>
      <c r="D5246" s="2" t="str">
        <f t="shared" si="80"/>
        <v>Error?</v>
      </c>
    </row>
    <row r="5247" spans="1:4" x14ac:dyDescent="0.2">
      <c r="A5247" s="5">
        <v>5186</v>
      </c>
      <c r="B5247" s="138">
        <f>'Revenues 9-14'!C203</f>
        <v>79158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79158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1165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282076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296620</v>
      </c>
      <c r="C5326" s="2" t="s">
        <v>594</v>
      </c>
      <c r="D5326" s="2" t="str">
        <f t="shared" si="82"/>
        <v>Error?</v>
      </c>
    </row>
    <row r="5327" spans="1:4" x14ac:dyDescent="0.2">
      <c r="A5327" s="5">
        <v>5266</v>
      </c>
      <c r="B5327" s="138">
        <f>'Revenues 9-14'!C275</f>
        <v>3410645</v>
      </c>
      <c r="C5327" s="2" t="s">
        <v>594</v>
      </c>
      <c r="D5327" s="2" t="str">
        <f t="shared" si="82"/>
        <v>Error?</v>
      </c>
    </row>
    <row r="5328" spans="1:4" x14ac:dyDescent="0.2">
      <c r="A5328" s="5">
        <v>5267</v>
      </c>
      <c r="B5328" s="138">
        <f>'Revenues 9-14'!D5</f>
        <v>104924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104924</v>
      </c>
      <c r="C5334" s="2" t="s">
        <v>594</v>
      </c>
      <c r="D5334" s="2" t="str">
        <f t="shared" si="82"/>
        <v>Error?</v>
      </c>
    </row>
    <row r="5335" spans="1:4" x14ac:dyDescent="0.2">
      <c r="A5335" s="5">
        <v>5274</v>
      </c>
      <c r="B5335" s="138">
        <f>'Revenues 9-14'!D14</f>
        <v>1188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1188</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v>
      </c>
      <c r="D5354" s="2" t="str">
        <f t="shared" si="82"/>
        <v>Error?</v>
      </c>
    </row>
    <row r="5355" spans="1:4" x14ac:dyDescent="0.2">
      <c r="A5355" s="5">
        <v>5294</v>
      </c>
      <c r="B5355" s="138">
        <f>'Revenues 9-14'!D108</f>
        <v>50</v>
      </c>
      <c r="C5355" s="2" t="s">
        <v>594</v>
      </c>
      <c r="D5355" s="2" t="str">
        <f t="shared" si="82"/>
        <v>Error?</v>
      </c>
    </row>
    <row r="5356" spans="1:4" x14ac:dyDescent="0.2">
      <c r="A5356" s="5">
        <v>5295</v>
      </c>
      <c r="B5356" s="138">
        <f>'Revenues 9-14'!D109</f>
        <v>106162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220000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220000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326162</v>
      </c>
      <c r="C5508" s="2" t="s">
        <v>594</v>
      </c>
      <c r="D5508" s="2" t="str">
        <f t="shared" si="85"/>
        <v>Error?</v>
      </c>
    </row>
    <row r="5509" spans="1:4" x14ac:dyDescent="0.2">
      <c r="A5509" s="5">
        <v>5448</v>
      </c>
      <c r="B5509" s="138">
        <f>'Revenues 9-14'!E5</f>
        <v>228028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228028</v>
      </c>
      <c r="C5513" s="2" t="s">
        <v>594</v>
      </c>
      <c r="D5513" s="2" t="str">
        <f t="shared" si="85"/>
        <v>Error?</v>
      </c>
    </row>
    <row r="5514" spans="1:4" x14ac:dyDescent="0.2">
      <c r="A5514" s="5">
        <v>5453</v>
      </c>
      <c r="B5514" s="138">
        <f>'Revenues 9-14'!E14</f>
        <v>2582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2582</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230610</v>
      </c>
      <c r="C5527" s="2" t="s">
        <v>594</v>
      </c>
      <c r="D5527" s="2" t="str">
        <f t="shared" si="85"/>
        <v>Error?</v>
      </c>
    </row>
    <row r="5528" spans="1:4" x14ac:dyDescent="0.2">
      <c r="A5528" s="5">
        <v>5467</v>
      </c>
      <c r="B5528" s="138">
        <f>'Revenues 9-14'!E117</f>
        <v>36650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36650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36650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267260</v>
      </c>
      <c r="C5552" s="2" t="s">
        <v>594</v>
      </c>
      <c r="D5552" s="2" t="str">
        <f t="shared" si="85"/>
        <v>Error?</v>
      </c>
    </row>
    <row r="5553" spans="1:4" x14ac:dyDescent="0.2">
      <c r="A5553" s="5">
        <v>5492</v>
      </c>
      <c r="B5553" s="138">
        <f>'Revenues 9-14'!F5</f>
        <v>40650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40650</v>
      </c>
      <c r="C5557" s="2" t="s">
        <v>594</v>
      </c>
      <c r="D5557" s="2" t="str">
        <f t="shared" si="85"/>
        <v>Error?</v>
      </c>
    </row>
    <row r="5558" spans="1:4" x14ac:dyDescent="0.2">
      <c r="A5558" s="5">
        <v>5497</v>
      </c>
      <c r="B5558" s="138">
        <f>'Revenues 9-14'!F14</f>
        <v>460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13900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13900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2847</v>
      </c>
      <c r="D5586" s="2" t="str">
        <f t="shared" si="86"/>
        <v>Error?</v>
      </c>
    </row>
    <row r="5587" spans="1:4" x14ac:dyDescent="0.2">
      <c r="A5587" s="5">
        <v>5526</v>
      </c>
      <c r="B5587" s="138">
        <f>'Revenues 9-14'!F108</f>
        <v>2847</v>
      </c>
      <c r="C5587" s="2" t="s">
        <v>594</v>
      </c>
      <c r="D5587" s="2" t="str">
        <f t="shared" si="86"/>
        <v>Error?</v>
      </c>
    </row>
    <row r="5588" spans="1:4" x14ac:dyDescent="0.2">
      <c r="A5588" s="5">
        <v>5527</v>
      </c>
      <c r="B5588" s="138">
        <f>'Revenues 9-14'!F109</f>
        <v>57857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143259</v>
      </c>
      <c r="D5615" s="2" t="str">
        <f t="shared" si="86"/>
        <v>Error?</v>
      </c>
    </row>
    <row r="5616" spans="1:4" x14ac:dyDescent="0.2">
      <c r="A5616" s="10">
        <v>5555</v>
      </c>
      <c r="D5616" s="2" t="str">
        <f t="shared" si="86"/>
        <v>OK</v>
      </c>
    </row>
    <row r="5617" spans="1:4" x14ac:dyDescent="0.2">
      <c r="A5617" s="5">
        <v>5556</v>
      </c>
      <c r="B5617" s="138">
        <f>'Revenues 9-14'!F152</f>
        <v>87691</v>
      </c>
      <c r="D5617" s="2" t="str">
        <f t="shared" si="86"/>
        <v>Error?</v>
      </c>
    </row>
    <row r="5618" spans="1:4" x14ac:dyDescent="0.2">
      <c r="A5618" s="5">
        <v>5557</v>
      </c>
      <c r="B5618" s="138">
        <f>'Revenues 9-14'!F154</f>
        <v>230950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230950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230950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288807</v>
      </c>
      <c r="C5720" s="2" t="s">
        <v>594</v>
      </c>
      <c r="D5720" s="2" t="str">
        <f t="shared" si="88"/>
        <v>Error?</v>
      </c>
    </row>
    <row r="5721" spans="1:4" x14ac:dyDescent="0.2">
      <c r="A5721" s="5">
        <v>5660</v>
      </c>
      <c r="B5721" s="138">
        <f>'Revenues 9-14'!G5</f>
        <v>92216</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92216</v>
      </c>
      <c r="C5725" s="2" t="s">
        <v>594</v>
      </c>
      <c r="D5725" s="2" t="str">
        <f t="shared" si="88"/>
        <v>Error?</v>
      </c>
    </row>
    <row r="5726" spans="1:4" x14ac:dyDescent="0.2">
      <c r="A5726" s="5">
        <v>5665</v>
      </c>
      <c r="B5726" s="138">
        <f>'Revenues 9-14'!G14</f>
        <v>1044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1044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52875</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52875</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52875</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146135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208438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208438</v>
      </c>
      <c r="C5915" s="2" t="s">
        <v>594</v>
      </c>
      <c r="D5915" s="2" t="str">
        <f t="shared" si="91"/>
        <v>Error?</v>
      </c>
    </row>
    <row r="5916" spans="1:4" x14ac:dyDescent="0.2">
      <c r="A5916" s="5">
        <v>5855</v>
      </c>
      <c r="B5916" s="138">
        <f>'Revenues 9-14'!I5</f>
        <v>11394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11394</v>
      </c>
      <c r="C5918" s="2" t="s">
        <v>594</v>
      </c>
      <c r="D5918" s="2" t="str">
        <f t="shared" si="91"/>
        <v>Error?</v>
      </c>
    </row>
    <row r="5919" spans="1:4" x14ac:dyDescent="0.2">
      <c r="A5919" s="5">
        <v>5858</v>
      </c>
      <c r="B5919" s="138">
        <f>'Revenues 9-14'!I14</f>
        <v>129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129</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11523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93260</v>
      </c>
      <c r="C6024" s="2" t="s">
        <v>594</v>
      </c>
      <c r="D6024" s="2" t="str">
        <f t="shared" si="93"/>
        <v>Error?</v>
      </c>
    </row>
    <row r="6025" spans="1:5" x14ac:dyDescent="0.2">
      <c r="A6025" s="5">
        <v>5964</v>
      </c>
      <c r="B6025" s="138">
        <f>'Revenues 9-14'!H109</f>
        <v>208438</v>
      </c>
      <c r="C6025" s="2" t="s">
        <v>594</v>
      </c>
      <c r="D6025" s="2" t="str">
        <f t="shared" si="93"/>
        <v>Error?</v>
      </c>
    </row>
    <row r="6026" spans="1:5" x14ac:dyDescent="0.2">
      <c r="A6026" s="5">
        <v>5965</v>
      </c>
      <c r="B6026" s="138">
        <f>'Revenues 9-14'!I109</f>
        <v>11523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42161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18621.2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359.95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45000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11575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45000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11575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11575</v>
      </c>
      <c r="D6216" s="2" t="str">
        <f t="shared" si="96"/>
        <v>Error?</v>
      </c>
      <c r="E6216" s="2" t="s">
        <v>199</v>
      </c>
    </row>
    <row r="6217" spans="1:5" x14ac:dyDescent="0.2">
      <c r="A6217">
        <v>6156</v>
      </c>
      <c r="B6217" s="138">
        <f>'Assets-Liab 5-6'!J4</f>
        <v>11575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103423</v>
      </c>
      <c r="D6220" s="2" t="str">
        <f t="shared" si="96"/>
        <v>Error?</v>
      </c>
      <c r="E6220" s="2" t="s">
        <v>199</v>
      </c>
    </row>
    <row r="6221" spans="1:5" x14ac:dyDescent="0.2">
      <c r="A6221">
        <v>6160</v>
      </c>
      <c r="B6221" s="138">
        <f>'Acct Summary 7-8'!J6</f>
        <v>45417</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148840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148840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140496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140496</v>
      </c>
      <c r="D6229" s="2" t="str">
        <f t="shared" si="96"/>
        <v>Error?</v>
      </c>
      <c r="E6229" s="2" t="s">
        <v>199</v>
      </c>
    </row>
    <row r="6230" spans="1:5" x14ac:dyDescent="0.2">
      <c r="A6230">
        <v>6169</v>
      </c>
      <c r="B6230" s="138">
        <f>'Acct Summary 7-8'!J20</f>
        <v>8344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8344</v>
      </c>
      <c r="D6263" s="2" t="str">
        <f t="shared" si="96"/>
        <v>Error?</v>
      </c>
      <c r="E6263" s="2" t="s">
        <v>199</v>
      </c>
    </row>
    <row r="6264" spans="1:5" x14ac:dyDescent="0.2">
      <c r="A6264">
        <v>6203</v>
      </c>
      <c r="B6264" s="138">
        <f>'Acct Summary 7-8'!J79</f>
        <v>3231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11575</v>
      </c>
      <c r="D6266" s="2" t="str">
        <f t="shared" si="96"/>
        <v>Error?</v>
      </c>
      <c r="E6266" s="2" t="s">
        <v>199</v>
      </c>
    </row>
    <row r="6267" spans="1:5" x14ac:dyDescent="0.2">
      <c r="A6267">
        <v>6206</v>
      </c>
      <c r="B6267" s="138">
        <f>'Acct Summary 7-8'!C82</f>
        <v>149408</v>
      </c>
      <c r="D6267" s="2" t="str">
        <f t="shared" si="96"/>
        <v>Error?</v>
      </c>
      <c r="E6267" s="2" t="s">
        <v>199</v>
      </c>
    </row>
    <row r="6268" spans="1:5" x14ac:dyDescent="0.2">
      <c r="A6268">
        <v>6207</v>
      </c>
      <c r="B6268" s="138">
        <f>'Acct Summary 7-8'!D82</f>
        <v>5928</v>
      </c>
      <c r="D6268" s="2" t="str">
        <f t="shared" si="96"/>
        <v>Error?</v>
      </c>
      <c r="E6268" s="2" t="s">
        <v>199</v>
      </c>
    </row>
    <row r="6269" spans="1:5" x14ac:dyDescent="0.2">
      <c r="A6269">
        <v>6208</v>
      </c>
      <c r="B6269" s="138">
        <f>'Acct Summary 7-8'!E82</f>
        <v>33868</v>
      </c>
      <c r="D6269" s="2" t="str">
        <f t="shared" si="96"/>
        <v>Error?</v>
      </c>
      <c r="E6269" s="2" t="s">
        <v>199</v>
      </c>
    </row>
    <row r="6270" spans="1:5" x14ac:dyDescent="0.2">
      <c r="A6270">
        <v>6209</v>
      </c>
      <c r="B6270" s="138">
        <f>'Acct Summary 7-8'!F82</f>
        <v>69055</v>
      </c>
      <c r="D6270" s="2" t="str">
        <f t="shared" si="96"/>
        <v>Error?</v>
      </c>
      <c r="E6270" s="2" t="s">
        <v>199</v>
      </c>
    </row>
    <row r="6271" spans="1:5" x14ac:dyDescent="0.2">
      <c r="A6271">
        <v>6210</v>
      </c>
      <c r="B6271" s="138">
        <f>'Acct Summary 7-8'!G82</f>
        <v>40658</v>
      </c>
      <c r="D6271" s="2" t="str">
        <f t="shared" ref="D6271:D6334" si="97">IF(ISBLANK(B6271),"OK",IF(A6271-B6271=0,"OK","Error?"))</f>
        <v>Error?</v>
      </c>
      <c r="E6271" s="2" t="s">
        <v>199</v>
      </c>
    </row>
    <row r="6272" spans="1:5" x14ac:dyDescent="0.2">
      <c r="A6272">
        <v>6211</v>
      </c>
      <c r="B6272" s="138">
        <f>'Acct Summary 7-8'!H82</f>
        <v>96114</v>
      </c>
      <c r="D6272" s="2" t="str">
        <f t="shared" si="97"/>
        <v>Error?</v>
      </c>
      <c r="E6272" s="2" t="s">
        <v>199</v>
      </c>
    </row>
    <row r="6273" spans="1:5" x14ac:dyDescent="0.2">
      <c r="A6273">
        <v>6212</v>
      </c>
      <c r="B6273" s="138">
        <f>'Acct Summary 7-8'!I82</f>
        <v>11523</v>
      </c>
      <c r="D6273" s="2" t="str">
        <f t="shared" si="97"/>
        <v>Error?</v>
      </c>
      <c r="E6273" s="2" t="s">
        <v>199</v>
      </c>
    </row>
    <row r="6274" spans="1:5" x14ac:dyDescent="0.2">
      <c r="A6274">
        <v>6213</v>
      </c>
      <c r="B6274" s="138">
        <f>'Acct Summary 7-8'!J82</f>
        <v>8344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0.25163367870760855</v>
      </c>
      <c r="D6276" s="2" t="str">
        <f t="shared" si="97"/>
        <v>Error?</v>
      </c>
      <c r="E6276" s="2" t="s">
        <v>199</v>
      </c>
    </row>
    <row r="6277" spans="1:5" x14ac:dyDescent="0.2">
      <c r="A6277">
        <v>6216</v>
      </c>
      <c r="B6277" s="138">
        <f>'Acct Summary 7-8'!D83</f>
        <v>3.0711843332297172E-2</v>
      </c>
      <c r="D6277" s="2" t="str">
        <f t="shared" si="97"/>
        <v>Error?</v>
      </c>
      <c r="E6277" s="2" t="s">
        <v>199</v>
      </c>
    </row>
    <row r="6278" spans="1:5" x14ac:dyDescent="0.2">
      <c r="A6278">
        <v>6217</v>
      </c>
      <c r="B6278" s="138">
        <f>'Acct Summary 7-8'!E83</f>
        <v>0.4409264298082306</v>
      </c>
      <c r="D6278" s="2" t="str">
        <f t="shared" si="97"/>
        <v>Error?</v>
      </c>
      <c r="E6278" s="2" t="s">
        <v>199</v>
      </c>
    </row>
    <row r="6279" spans="1:5" x14ac:dyDescent="0.2">
      <c r="A6279">
        <v>6218</v>
      </c>
      <c r="B6279" s="138">
        <f>'Acct Summary 7-8'!F83</f>
        <v>0.54622181090466138</v>
      </c>
      <c r="D6279" s="2" t="str">
        <f t="shared" si="97"/>
        <v>Error?</v>
      </c>
      <c r="E6279" s="2" t="s">
        <v>199</v>
      </c>
    </row>
    <row r="6280" spans="1:5" x14ac:dyDescent="0.2">
      <c r="A6280">
        <v>6219</v>
      </c>
      <c r="B6280" s="138">
        <f>'Acct Summary 7-8'!G83</f>
        <v>0.23975280541091973</v>
      </c>
      <c r="D6280" s="2" t="str">
        <f t="shared" si="97"/>
        <v>Error?</v>
      </c>
      <c r="E6280" s="2" t="s">
        <v>199</v>
      </c>
    </row>
    <row r="6281" spans="1:5" x14ac:dyDescent="0.2">
      <c r="A6281">
        <v>6220</v>
      </c>
      <c r="B6281" s="138">
        <f>'Acct Summary 7-8'!H83</f>
        <v>0.9758856318979785</v>
      </c>
      <c r="D6281" s="2" t="str">
        <f t="shared" si="97"/>
        <v>Error?</v>
      </c>
      <c r="E6281" s="2" t="s">
        <v>199</v>
      </c>
    </row>
    <row r="6282" spans="1:5" x14ac:dyDescent="0.2">
      <c r="A6282">
        <v>6221</v>
      </c>
      <c r="B6282" s="138">
        <f>'Acct Summary 7-8'!I83</f>
        <v>0.51779455378808303</v>
      </c>
      <c r="D6282" s="2" t="str">
        <f t="shared" si="97"/>
        <v>Error?</v>
      </c>
      <c r="E6282" s="2" t="s">
        <v>199</v>
      </c>
    </row>
    <row r="6283" spans="1:5" x14ac:dyDescent="0.2">
      <c r="A6283">
        <v>6222</v>
      </c>
      <c r="B6283" s="138">
        <f>'Acct Summary 7-8'!J83</f>
        <v>0.72086393088552914</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102265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102265</v>
      </c>
      <c r="D6301" s="2" t="str">
        <f t="shared" si="97"/>
        <v>Error?</v>
      </c>
      <c r="E6301" s="2" t="s">
        <v>199</v>
      </c>
    </row>
    <row r="6302" spans="1:5" x14ac:dyDescent="0.2">
      <c r="A6302">
        <v>6241</v>
      </c>
      <c r="B6302" s="138">
        <f>'Revenues 9-14'!J14</f>
        <v>1158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1158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103423</v>
      </c>
      <c r="D6352" s="2" t="str">
        <f t="shared" si="98"/>
        <v>Error?</v>
      </c>
      <c r="E6352" s="2" t="s">
        <v>199</v>
      </c>
    </row>
    <row r="6353" spans="1:5" x14ac:dyDescent="0.2">
      <c r="A6353">
        <v>6292</v>
      </c>
      <c r="B6353" s="138">
        <f>'Revenues 9-14'!J117</f>
        <v>45417</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45417</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2007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45417</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32372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140496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148840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232</v>
      </c>
      <c r="D7079" s="2" t="str">
        <f t="shared" si="109"/>
        <v>Error?</v>
      </c>
    </row>
    <row r="7080" spans="1:4" x14ac:dyDescent="0.2">
      <c r="A7080">
        <v>7019</v>
      </c>
      <c r="B7080" s="138">
        <f>'Expenditures 15-22'!K226</f>
        <v>232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113800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113800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26696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26696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140496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140496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140496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140496</v>
      </c>
      <c r="D7224" s="2" t="str">
        <f t="shared" si="111"/>
        <v>Error?</v>
      </c>
    </row>
    <row r="7225" spans="1:4" x14ac:dyDescent="0.2">
      <c r="A7225">
        <v>7164</v>
      </c>
      <c r="B7225" s="138">
        <f>'Expenditures 15-22'!K343</f>
        <v>8344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16903</v>
      </c>
      <c r="D7263" s="2" t="str">
        <f t="shared" si="112"/>
        <v>Error?</v>
      </c>
    </row>
    <row r="7264" spans="1:4" x14ac:dyDescent="0.2">
      <c r="A7264">
        <f t="shared" si="113"/>
        <v>7203</v>
      </c>
      <c r="B7264" s="138">
        <f>'Expenditures 15-22'!D17</f>
        <v>5618</v>
      </c>
      <c r="D7264" s="2" t="str">
        <f t="shared" si="112"/>
        <v>Error?</v>
      </c>
    </row>
    <row r="7265" spans="1:5" x14ac:dyDescent="0.2">
      <c r="A7265">
        <f t="shared" si="113"/>
        <v>7204</v>
      </c>
      <c r="B7265" s="138">
        <f>'Expenditures 15-22'!E17</f>
        <v>9851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153135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13519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208438</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10849.79</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Elverado CUSD 196</v>
      </c>
      <c r="B7" s="2422"/>
      <c r="C7" s="2422"/>
      <c r="D7" s="2423"/>
      <c r="E7" s="2424">
        <f>COVER!A13</f>
        <v>30096196026</v>
      </c>
      <c r="F7" s="2425"/>
      <c r="G7" s="2431">
        <f>COVER!T23</f>
        <v>65.028419999999997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Kujawa &amp; Batteau, P.C.</v>
      </c>
      <c r="H9" s="2437"/>
      <c r="I9" s="2437"/>
      <c r="J9" s="2437"/>
      <c r="K9" s="2437"/>
      <c r="L9" s="2438"/>
    </row>
    <row r="10" spans="1:29" ht="13.5" customHeight="1" x14ac:dyDescent="0.2">
      <c r="A10" s="2411" t="str">
        <f>COVER!A38</f>
        <v>Kevin Spain</v>
      </c>
      <c r="B10" s="2412"/>
      <c r="C10" s="2412"/>
      <c r="D10" s="2412"/>
      <c r="E10" s="2412"/>
      <c r="F10" s="2413"/>
      <c r="G10" s="2405" t="str">
        <f>COVER!T17</f>
        <v>309 S. Walnut St.</v>
      </c>
      <c r="H10" s="2406"/>
      <c r="I10" s="2406"/>
      <c r="J10" s="2406"/>
      <c r="K10" s="2406"/>
      <c r="L10" s="2407"/>
    </row>
    <row r="11" spans="1:29" ht="13.5" customHeight="1" x14ac:dyDescent="0.2">
      <c r="A11" s="1185" t="s">
        <v>1599</v>
      </c>
      <c r="B11" s="1186"/>
      <c r="C11" s="1187"/>
      <c r="D11" s="1192"/>
      <c r="E11" s="1187"/>
      <c r="F11" s="1191"/>
      <c r="G11" s="2405" t="str">
        <f>COVER!T19</f>
        <v>Pinckneyville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kbatteau@kandb-cpa.com</v>
      </c>
      <c r="J13" s="2418"/>
      <c r="K13" s="2418"/>
      <c r="L13" s="2419"/>
    </row>
    <row r="14" spans="1:29" ht="13.5" customHeight="1" x14ac:dyDescent="0.2">
      <c r="A14" s="2405" t="str">
        <f>COVER!A19</f>
        <v>114 South 8th St.</v>
      </c>
      <c r="B14" s="2406"/>
      <c r="C14" s="2406"/>
      <c r="D14" s="2406"/>
      <c r="E14" s="2406"/>
      <c r="F14" s="2407"/>
      <c r="G14" s="1196" t="s">
        <v>1247</v>
      </c>
      <c r="H14" s="1194"/>
      <c r="I14" s="1194"/>
      <c r="J14" s="1194"/>
      <c r="K14" s="1194"/>
      <c r="L14" s="1195"/>
    </row>
    <row r="15" spans="1:29" ht="13.5" customHeight="1" x14ac:dyDescent="0.2">
      <c r="A15" s="2405" t="str">
        <f>COVER!A21</f>
        <v>Elkville</v>
      </c>
      <c r="B15" s="2406"/>
      <c r="C15" s="2406"/>
      <c r="D15" s="2406"/>
      <c r="E15" s="2406"/>
      <c r="F15" s="2407"/>
      <c r="G15" s="2402" t="str">
        <f>COVER!T15</f>
        <v>Kevin Batteau</v>
      </c>
      <c r="H15" s="2403"/>
      <c r="I15" s="2403"/>
      <c r="J15" s="2403"/>
      <c r="K15" s="2403"/>
      <c r="L15" s="2404"/>
    </row>
    <row r="16" spans="1:29" ht="12.2" customHeight="1" x14ac:dyDescent="0.2">
      <c r="A16" s="2427">
        <f>COVER!A25</f>
        <v>62932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618-357-3000</v>
      </c>
      <c r="H18" s="2422"/>
      <c r="I18" s="2422"/>
      <c r="J18" s="2422"/>
      <c r="K18" s="2421" t="str">
        <f>COVER!X21</f>
        <v>618-357-3654</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4" zoomScaleNormal="100"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Elverado CUSD 196</v>
      </c>
      <c r="B1" s="2420"/>
      <c r="C1" s="2420"/>
      <c r="D1" s="2420"/>
    </row>
    <row r="2" spans="1:11" s="1215" customFormat="1" ht="12.75" x14ac:dyDescent="0.2">
      <c r="A2" s="2444">
        <f>'Single Audit Cover'!E7</f>
        <v>30096196026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oddFooter>&amp;L"The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Elverado CUSD 196</v>
      </c>
      <c r="B1" s="2447"/>
      <c r="C1" s="2447"/>
      <c r="D1" s="2447"/>
      <c r="E1" s="2447"/>
    </row>
    <row r="2" spans="1:5" x14ac:dyDescent="0.2">
      <c r="A2" s="2448">
        <f>'Single Audit Cover'!E7</f>
        <v>30096196026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296620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18621.2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315241.2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2112</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315241.2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315241.2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Normal="10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Elverado CUSD 196</v>
      </c>
      <c r="B1" s="2460"/>
      <c r="C1" s="2460"/>
      <c r="D1" s="2460"/>
      <c r="E1" s="2460"/>
      <c r="F1" s="2460"/>
    </row>
    <row r="2" spans="1:7" ht="13.5" customHeight="1" x14ac:dyDescent="0.2">
      <c r="A2" s="2461">
        <f>'Single Audit Cover'!E7</f>
        <v>30096196026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2112</v>
      </c>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2"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Elverado CUSD 196</v>
      </c>
      <c r="C1" s="2464"/>
      <c r="D1" s="2464"/>
      <c r="E1" s="2464"/>
      <c r="F1" s="2464"/>
      <c r="G1" s="2464"/>
      <c r="H1" s="2464"/>
      <c r="I1" s="2464"/>
      <c r="J1" s="2464"/>
      <c r="K1" s="2464"/>
      <c r="L1" s="2464"/>
      <c r="M1" s="2464"/>
    </row>
    <row r="2" spans="2:14" ht="15" x14ac:dyDescent="0.2">
      <c r="B2" s="2461">
        <f>'Single Audit Cover'!E7</f>
        <v>30096196026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t="s">
        <v>2112</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35796</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Footer>&amp;L"The notes are an integral part of these statements"</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Elverado CUSD 196</v>
      </c>
      <c r="C1" s="2479"/>
      <c r="D1" s="2479"/>
      <c r="E1" s="2479"/>
      <c r="F1" s="2479"/>
      <c r="G1" s="2479"/>
      <c r="H1" s="2479"/>
      <c r="I1" s="2479"/>
      <c r="J1" s="1422"/>
    </row>
    <row r="2" spans="2:10" s="317" customFormat="1" ht="12.75" customHeight="1" x14ac:dyDescent="0.2">
      <c r="B2" s="2480">
        <f>'Single Audit Cover'!E7</f>
        <v>30096196026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2112</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&amp;L"The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Elverado CUSD 196</v>
      </c>
      <c r="C1" s="2478"/>
      <c r="D1" s="2478"/>
      <c r="E1" s="2478"/>
      <c r="F1" s="2478"/>
      <c r="G1" s="2478"/>
      <c r="H1" s="2478"/>
      <c r="I1" s="2478"/>
      <c r="J1" s="2478"/>
      <c r="K1" s="2478"/>
      <c r="L1" s="1374"/>
      <c r="M1" s="1374"/>
    </row>
    <row r="2" spans="1:13" ht="12" customHeight="1" x14ac:dyDescent="0.2">
      <c r="B2" s="2480">
        <f>'Single Audit Cover'!E7</f>
        <v>30096196026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2112</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Elverado CUSD 196</v>
      </c>
      <c r="C1" s="2501"/>
      <c r="D1" s="2501"/>
      <c r="E1" s="2501"/>
      <c r="F1" s="2501"/>
      <c r="G1" s="2501"/>
      <c r="H1" s="2501"/>
      <c r="I1" s="2501"/>
      <c r="J1" s="2501"/>
      <c r="K1" s="2501"/>
      <c r="L1" s="1465"/>
    </row>
    <row r="2" spans="1:12" ht="12.75" customHeight="1" x14ac:dyDescent="0.2">
      <c r="B2" s="2502">
        <f>'Single Audit Cover'!E7</f>
        <v>30096196026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2112</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Elverado CUSD 196</v>
      </c>
      <c r="C1" s="2478"/>
      <c r="D1" s="2478"/>
      <c r="E1" s="1491"/>
    </row>
    <row r="2" spans="2:5" s="1282" customFormat="1" ht="12.75" customHeight="1" x14ac:dyDescent="0.2">
      <c r="B2" s="2480">
        <f>'Single Audit Cover'!E7</f>
        <v>30096196026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2112</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27081817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1.7911900000000001E-2</v>
      </c>
      <c r="E10" s="356" t="s">
        <v>1062</v>
      </c>
      <c r="F10" s="355">
        <v>4.0826999999999999E-3</v>
      </c>
      <c r="G10" s="356" t="s">
        <v>1062</v>
      </c>
      <c r="H10" s="355">
        <v>1.5818E-3</v>
      </c>
      <c r="I10" s="356" t="s">
        <v>1063</v>
      </c>
      <c r="J10" s="1754">
        <f>ROUND(D10+F10+H10,5)</f>
        <v>2.358E-2</v>
      </c>
      <c r="K10" s="222"/>
      <c r="L10" s="355">
        <v>4.4450000000000002E-4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4037137</v>
      </c>
      <c r="E16" s="356"/>
      <c r="F16" s="1755">
        <f>SUM('Acct Summary 7-8'!C17,'Acct Summary 7-8'!D17,'Acct Summary 7-8'!F17)</f>
        <v>4007591</v>
      </c>
      <c r="G16" s="356"/>
      <c r="H16" s="1755">
        <f>SUM(D16-F16)</f>
        <v>29546</v>
      </c>
      <c r="I16" s="222"/>
      <c r="J16" s="1755">
        <f>SUM('Acct Summary 7-8'!C81,'Acct Summary 7-8'!D81,'Acct Summary 7-8'!F81,'Acct Summary 7-8'!I81)</f>
        <v>935449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3737290.7460000003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1740000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0"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Elverado CUSD 196</v>
      </c>
      <c r="E7" s="391"/>
      <c r="G7" s="252"/>
      <c r="H7" s="387"/>
      <c r="I7" s="387"/>
      <c r="J7" s="387"/>
      <c r="K7" s="387"/>
      <c r="L7" s="329"/>
      <c r="M7" s="329"/>
      <c r="N7" s="329"/>
      <c r="O7" s="329"/>
      <c r="P7" s="329"/>
    </row>
    <row r="8" spans="1:18" ht="12.75" x14ac:dyDescent="0.2">
      <c r="A8" s="329"/>
      <c r="B8" s="329"/>
      <c r="C8" s="389" t="s">
        <v>1187</v>
      </c>
      <c r="D8" s="392">
        <f>COVER!A13</f>
        <v>30096196026</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935449</v>
      </c>
      <c r="I12" s="404"/>
      <c r="J12" s="404"/>
      <c r="K12" s="405">
        <f>TRUNC((H12/H13*100000),5)/100000</f>
        <v>0.23171098720000002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4037137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4007591</v>
      </c>
      <c r="I17" s="404"/>
      <c r="J17" s="416"/>
      <c r="K17" s="405">
        <f>TRUNC((H17/H18*100000),5)/100000</f>
        <v>0.99268144719999996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4037137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893448</v>
      </c>
      <c r="I24" s="422"/>
      <c r="J24" s="422"/>
      <c r="K24" s="423">
        <f>TRUNC(((H24/H25*100000)/100000),2)</f>
        <v>80.25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11132.19722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542800.85812999995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1740000</v>
      </c>
      <c r="I32" s="420"/>
      <c r="J32" s="420"/>
      <c r="K32" s="423">
        <f>TRUNC(100-((((H32/H33*100))*100)/100),2)</f>
        <v>53.44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3737290.7460000003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3"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87500+2451+1245+2828+49323+238994+787+213566</f>
        <v>596694</v>
      </c>
      <c r="D4" s="466">
        <f>579+147471</f>
        <v>148050</v>
      </c>
      <c r="E4" s="466"/>
      <c r="F4" s="466">
        <f>4894+121556</f>
        <v>126450</v>
      </c>
      <c r="G4" s="466">
        <f>-27+43095+126515</f>
        <v>169583</v>
      </c>
      <c r="H4" s="466">
        <v>143489</v>
      </c>
      <c r="I4" s="466">
        <f>500+21754</f>
        <v>22254</v>
      </c>
      <c r="J4" s="467">
        <f>49+11526</f>
        <v>11575</v>
      </c>
      <c r="K4" s="466">
        <f>48+100</f>
        <v>148</v>
      </c>
      <c r="L4" s="466">
        <v>79686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v>76811</v>
      </c>
      <c r="F6" s="466"/>
      <c r="G6" s="471"/>
      <c r="H6" s="471"/>
      <c r="I6" s="466"/>
      <c r="J6" s="474"/>
      <c r="K6" s="471"/>
      <c r="L6" s="475"/>
      <c r="M6" s="468"/>
      <c r="N6" s="469"/>
    </row>
    <row r="7" spans="1:14" ht="13.5" customHeight="1" x14ac:dyDescent="0.2">
      <c r="A7" s="473" t="s">
        <v>438</v>
      </c>
      <c r="B7" s="470">
        <v>140</v>
      </c>
      <c r="C7" s="476"/>
      <c r="D7" s="467">
        <v>45000</v>
      </c>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596694</v>
      </c>
      <c r="D13" s="1759">
        <f t="shared" ref="D13:L13" si="0">SUM(D4:D12)</f>
        <v>193050</v>
      </c>
      <c r="E13" s="1759">
        <f t="shared" si="0"/>
        <v>76811</v>
      </c>
      <c r="F13" s="1759">
        <f t="shared" si="0"/>
        <v>126450</v>
      </c>
      <c r="G13" s="1759">
        <f t="shared" si="0"/>
        <v>169583</v>
      </c>
      <c r="H13" s="1759">
        <f t="shared" si="0"/>
        <v>143489</v>
      </c>
      <c r="I13" s="1759">
        <f t="shared" si="0"/>
        <v>22254</v>
      </c>
      <c r="J13" s="1759">
        <f t="shared" si="0"/>
        <v>11575</v>
      </c>
      <c r="K13" s="1759">
        <f t="shared" si="0"/>
        <v>148</v>
      </c>
      <c r="L13" s="1759">
        <f t="shared" si="0"/>
        <v>79686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21500</v>
      </c>
      <c r="N16" s="484"/>
    </row>
    <row r="17" spans="1:14" s="485" customFormat="1" ht="12.75" customHeight="1" x14ac:dyDescent="0.2">
      <c r="A17" s="482" t="s">
        <v>1470</v>
      </c>
      <c r="B17" s="483">
        <v>230</v>
      </c>
      <c r="C17" s="477"/>
      <c r="D17" s="477"/>
      <c r="E17" s="477"/>
      <c r="F17" s="477"/>
      <c r="G17" s="477"/>
      <c r="H17" s="477"/>
      <c r="I17" s="477"/>
      <c r="J17" s="477"/>
      <c r="K17" s="477"/>
      <c r="L17" s="477"/>
      <c r="M17" s="467">
        <v>4786449</v>
      </c>
      <c r="N17" s="484"/>
    </row>
    <row r="18" spans="1:14" s="485" customFormat="1" ht="12.75" customHeight="1" x14ac:dyDescent="0.2">
      <c r="A18" s="482" t="s">
        <v>1471</v>
      </c>
      <c r="B18" s="483">
        <v>240</v>
      </c>
      <c r="C18" s="477"/>
      <c r="D18" s="477"/>
      <c r="E18" s="477"/>
      <c r="F18" s="477"/>
      <c r="G18" s="477"/>
      <c r="H18" s="477"/>
      <c r="I18" s="477"/>
      <c r="J18" s="477"/>
      <c r="K18" s="477"/>
      <c r="L18" s="477"/>
      <c r="M18" s="467">
        <v>283051</v>
      </c>
      <c r="N18" s="484"/>
    </row>
    <row r="19" spans="1:14" s="485" customFormat="1" ht="12.75" customHeight="1" x14ac:dyDescent="0.2">
      <c r="A19" s="482" t="s">
        <v>1472</v>
      </c>
      <c r="B19" s="483">
        <v>250</v>
      </c>
      <c r="C19" s="477"/>
      <c r="D19" s="477"/>
      <c r="E19" s="477"/>
      <c r="F19" s="477"/>
      <c r="G19" s="477"/>
      <c r="H19" s="477"/>
      <c r="I19" s="477"/>
      <c r="J19" s="477"/>
      <c r="K19" s="477"/>
      <c r="L19" s="477"/>
      <c r="M19" s="467">
        <f>731802+1059242</f>
        <v>1791044</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76811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1663189</v>
      </c>
    </row>
    <row r="23" spans="1:14" ht="13.5" customHeight="1" thickBot="1" x14ac:dyDescent="0.25">
      <c r="A23" s="1758" t="s">
        <v>664</v>
      </c>
      <c r="B23" s="1763"/>
      <c r="C23" s="468"/>
      <c r="D23" s="468"/>
      <c r="E23" s="468"/>
      <c r="F23" s="468"/>
      <c r="G23" s="468"/>
      <c r="H23" s="468"/>
      <c r="I23" s="468"/>
      <c r="J23" s="468"/>
      <c r="K23" s="468"/>
      <c r="L23" s="468"/>
      <c r="M23" s="1710">
        <f>SUM(M15:M22)</f>
        <v>6882044</v>
      </c>
      <c r="N23" s="1710">
        <f>SUM(N21:N22)</f>
        <v>1740000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v>45000</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f>-818+835+60+14+277+44+710-1493+3313</f>
        <v>2942</v>
      </c>
      <c r="D31" s="467">
        <v>30</v>
      </c>
      <c r="E31" s="467"/>
      <c r="F31" s="466">
        <v>27</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79686</v>
      </c>
      <c r="M33" s="468"/>
      <c r="N33" s="469"/>
    </row>
    <row r="34" spans="1:14" ht="13.5" customHeight="1" thickBot="1" x14ac:dyDescent="0.25">
      <c r="A34" s="1760" t="s">
        <v>675</v>
      </c>
      <c r="B34" s="1761"/>
      <c r="C34" s="1762">
        <f>SUM(C25:C33)</f>
        <v>2942</v>
      </c>
      <c r="D34" s="1762">
        <f t="shared" ref="D34:K34" si="1">SUM(D25:D33)</f>
        <v>30</v>
      </c>
      <c r="E34" s="1762">
        <f t="shared" si="1"/>
        <v>0</v>
      </c>
      <c r="F34" s="1762">
        <f t="shared" si="1"/>
        <v>27</v>
      </c>
      <c r="G34" s="1762">
        <f t="shared" si="1"/>
        <v>0</v>
      </c>
      <c r="H34" s="1762">
        <f t="shared" si="1"/>
        <v>45000</v>
      </c>
      <c r="I34" s="1762">
        <f t="shared" si="1"/>
        <v>0</v>
      </c>
      <c r="J34" s="1762">
        <f t="shared" si="1"/>
        <v>0</v>
      </c>
      <c r="K34" s="1762">
        <f t="shared" si="1"/>
        <v>0</v>
      </c>
      <c r="L34" s="1743">
        <f>SUM(L33)</f>
        <v>79686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1740000</v>
      </c>
    </row>
    <row r="37" spans="1:14" ht="13.5" thickBot="1" x14ac:dyDescent="0.25">
      <c r="A37" s="1758" t="s">
        <v>674</v>
      </c>
      <c r="B37" s="1763"/>
      <c r="C37" s="477"/>
      <c r="D37" s="477"/>
      <c r="E37" s="477"/>
      <c r="F37" s="477"/>
      <c r="G37" s="477"/>
      <c r="H37" s="477"/>
      <c r="I37" s="477"/>
      <c r="J37" s="477"/>
      <c r="K37" s="477"/>
      <c r="L37" s="480"/>
      <c r="M37" s="468"/>
      <c r="N37" s="1710">
        <f>SUM(N36:N36)</f>
        <v>1740000</v>
      </c>
    </row>
    <row r="38" spans="1:14" s="329" customFormat="1" ht="13.5" customHeight="1" thickTop="1" x14ac:dyDescent="0.2">
      <c r="A38" s="496" t="s">
        <v>440</v>
      </c>
      <c r="B38" s="483">
        <v>714</v>
      </c>
      <c r="C38" s="466"/>
      <c r="D38" s="466"/>
      <c r="E38" s="466">
        <f>'Acct Summary 7-8'!E81</f>
        <v>76811</v>
      </c>
      <c r="F38" s="466">
        <f>'Acct Summary 7-8'!F81</f>
        <v>126423</v>
      </c>
      <c r="G38" s="466">
        <f>'Acct Summary 7-8'!G81</f>
        <v>169583</v>
      </c>
      <c r="H38" s="466">
        <f>'Acct Summary 7-8'!H81</f>
        <v>98489</v>
      </c>
      <c r="I38" s="466"/>
      <c r="J38" s="467">
        <f>'Acct Summary 7-8'!J81</f>
        <v>11575</v>
      </c>
      <c r="K38" s="466">
        <f>'Acct Summary 7-8'!K79</f>
        <v>148</v>
      </c>
      <c r="L38" s="481"/>
      <c r="M38" s="497"/>
      <c r="N38" s="497"/>
    </row>
    <row r="39" spans="1:14" s="329" customFormat="1" ht="13.5" customHeight="1" x14ac:dyDescent="0.2">
      <c r="A39" s="496" t="s">
        <v>360</v>
      </c>
      <c r="B39" s="483">
        <v>730</v>
      </c>
      <c r="C39" s="466">
        <f>'Acct Summary 7-8'!C81</f>
        <v>593752</v>
      </c>
      <c r="D39" s="466">
        <f>'Acct Summary 7-8'!D81</f>
        <v>193020</v>
      </c>
      <c r="E39" s="466"/>
      <c r="F39" s="466"/>
      <c r="G39" s="466"/>
      <c r="H39" s="466"/>
      <c r="I39" s="466">
        <f>'Acct Summary 7-8'!I81</f>
        <v>22254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6882044</v>
      </c>
      <c r="N40" s="497"/>
    </row>
    <row r="41" spans="1:14" ht="13.5" customHeight="1" thickBot="1" x14ac:dyDescent="0.25">
      <c r="A41" s="1758" t="s">
        <v>676</v>
      </c>
      <c r="B41" s="1728"/>
      <c r="C41" s="1710">
        <f>(SUM(C34,C37,C38,C39))</f>
        <v>596694</v>
      </c>
      <c r="D41" s="1710">
        <f t="shared" ref="D41:L41" si="2">SUM(D34,D37,D38:D39)</f>
        <v>193050</v>
      </c>
      <c r="E41" s="1710">
        <f t="shared" si="2"/>
        <v>76811</v>
      </c>
      <c r="F41" s="1710">
        <f t="shared" si="2"/>
        <v>126450</v>
      </c>
      <c r="G41" s="1710">
        <f t="shared" si="2"/>
        <v>169583</v>
      </c>
      <c r="H41" s="1710">
        <f t="shared" si="2"/>
        <v>143489</v>
      </c>
      <c r="I41" s="1710">
        <f t="shared" si="2"/>
        <v>22254</v>
      </c>
      <c r="J41" s="1710">
        <f t="shared" si="2"/>
        <v>11575</v>
      </c>
      <c r="K41" s="1710">
        <f t="shared" si="2"/>
        <v>148</v>
      </c>
      <c r="L41" s="1710">
        <f t="shared" si="2"/>
        <v>79686</v>
      </c>
      <c r="M41" s="1710">
        <f>SUM(M40)</f>
        <v>6882044</v>
      </c>
      <c r="N41" s="1710">
        <f>SUM(N37)</f>
        <v>1740000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22" colorId="8" zoomScaleNormal="100" zoomScaleSheetLayoutView="100" workbookViewId="0"/>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706213</v>
      </c>
      <c r="D4" s="1764">
        <f>'Revenues 9-14'!D109</f>
        <v>106162</v>
      </c>
      <c r="E4" s="1764">
        <f>'Revenues 9-14'!E109</f>
        <v>230610</v>
      </c>
      <c r="F4" s="1764">
        <f>'Revenues 9-14'!F109</f>
        <v>57857</v>
      </c>
      <c r="G4" s="1764">
        <f>'Revenues 9-14'!G109</f>
        <v>93260</v>
      </c>
      <c r="H4" s="1764">
        <f>'Revenues 9-14'!H109</f>
        <v>208438</v>
      </c>
      <c r="I4" s="1764">
        <f>'Revenues 9-14'!I109</f>
        <v>11523</v>
      </c>
      <c r="J4" s="1764">
        <f>'Revenues 9-14'!J109</f>
        <v>103423</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2407812</v>
      </c>
      <c r="D6" s="1765">
        <f>'Revenues 9-14'!D173</f>
        <v>220000</v>
      </c>
      <c r="E6" s="1765">
        <f>'Revenues 9-14'!E173</f>
        <v>36650</v>
      </c>
      <c r="F6" s="1765">
        <f>'Revenues 9-14'!F173</f>
        <v>230950</v>
      </c>
      <c r="G6" s="1765">
        <f>'Revenues 9-14'!G173</f>
        <v>52875</v>
      </c>
      <c r="H6" s="1765">
        <f>'Revenues 9-14'!H173</f>
        <v>0</v>
      </c>
      <c r="I6" s="1765">
        <f>'Revenues 9-14'!I173</f>
        <v>0</v>
      </c>
      <c r="J6" s="1765">
        <f>'Revenues 9-14'!J173</f>
        <v>45417</v>
      </c>
      <c r="K6" s="1765">
        <f>'Revenues 9-14'!K173</f>
        <v>0</v>
      </c>
      <c r="L6" s="347"/>
      <c r="M6" s="513"/>
    </row>
    <row r="7" spans="1:13" ht="15.75" customHeight="1" x14ac:dyDescent="0.2">
      <c r="A7" s="1598" t="s">
        <v>1582</v>
      </c>
      <c r="B7" s="1600">
        <v>4000</v>
      </c>
      <c r="C7" s="1765">
        <f>'Revenues 9-14'!C274</f>
        <v>296620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3410645</v>
      </c>
      <c r="D8" s="1710">
        <f t="shared" ref="D8:K8" si="0">SUM(D4:D7)</f>
        <v>326162</v>
      </c>
      <c r="E8" s="1710">
        <f t="shared" si="0"/>
        <v>267260</v>
      </c>
      <c r="F8" s="1710">
        <f t="shared" si="0"/>
        <v>288807</v>
      </c>
      <c r="G8" s="1710">
        <f t="shared" si="0"/>
        <v>146135</v>
      </c>
      <c r="H8" s="1710">
        <f t="shared" si="0"/>
        <v>208438</v>
      </c>
      <c r="I8" s="1710">
        <f t="shared" si="0"/>
        <v>11523</v>
      </c>
      <c r="J8" s="1710">
        <f t="shared" si="0"/>
        <v>148840</v>
      </c>
      <c r="K8" s="1710">
        <f t="shared" si="0"/>
        <v>0</v>
      </c>
      <c r="L8" s="347"/>
    </row>
    <row r="9" spans="1:13" ht="15.75" thickTop="1" x14ac:dyDescent="0.2">
      <c r="A9" s="514" t="s">
        <v>1752</v>
      </c>
      <c r="B9" s="515">
        <v>3998</v>
      </c>
      <c r="C9" s="481">
        <v>217090</v>
      </c>
      <c r="D9" s="516"/>
      <c r="E9" s="481"/>
      <c r="F9" s="481"/>
      <c r="G9" s="517"/>
      <c r="H9" s="481"/>
      <c r="I9" s="509" t="s">
        <v>1231</v>
      </c>
      <c r="J9" s="478"/>
      <c r="K9" s="481"/>
      <c r="L9" s="347"/>
    </row>
    <row r="10" spans="1:13" s="519" customFormat="1" ht="13.5" thickBot="1" x14ac:dyDescent="0.25">
      <c r="A10" s="1758" t="s">
        <v>1235</v>
      </c>
      <c r="B10" s="1731"/>
      <c r="C10" s="1710">
        <f>SUM(C8:C9)</f>
        <v>3627735</v>
      </c>
      <c r="D10" s="1710">
        <f t="shared" ref="D10:K10" si="1">SUM(D8:D9)</f>
        <v>326162</v>
      </c>
      <c r="E10" s="1710">
        <f t="shared" si="1"/>
        <v>267260</v>
      </c>
      <c r="F10" s="1710">
        <f t="shared" si="1"/>
        <v>288807</v>
      </c>
      <c r="G10" s="1710">
        <f t="shared" si="1"/>
        <v>146135</v>
      </c>
      <c r="H10" s="1710">
        <f t="shared" si="1"/>
        <v>208438</v>
      </c>
      <c r="I10" s="1710">
        <f t="shared" si="1"/>
        <v>11523</v>
      </c>
      <c r="J10" s="1710">
        <f t="shared" si="1"/>
        <v>148840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2122320</v>
      </c>
      <c r="D12" s="520" t="s">
        <v>1231</v>
      </c>
      <c r="E12" s="468" t="s">
        <v>1231</v>
      </c>
      <c r="F12" s="468" t="s">
        <v>1231</v>
      </c>
      <c r="G12" s="1764">
        <f>'Expenditures 15-22'!K229</f>
        <v>32090</v>
      </c>
      <c r="H12" s="521"/>
      <c r="I12" s="468" t="s">
        <v>1231</v>
      </c>
      <c r="J12" s="468" t="s">
        <v>1231</v>
      </c>
      <c r="K12" s="521" t="s">
        <v>1231</v>
      </c>
      <c r="L12" s="347"/>
    </row>
    <row r="13" spans="1:13" ht="15.75" customHeight="1" x14ac:dyDescent="0.2">
      <c r="A13" s="1598" t="s">
        <v>477</v>
      </c>
      <c r="B13" s="1600">
        <v>2000</v>
      </c>
      <c r="C13" s="1765">
        <f>'Expenditures 15-22'!K74</f>
        <v>954115</v>
      </c>
      <c r="D13" s="1765">
        <f>'Expenditures 15-22'!K129</f>
        <v>320234</v>
      </c>
      <c r="E13" s="469" t="s">
        <v>1231</v>
      </c>
      <c r="F13" s="1765">
        <f>'Expenditures 15-22'!K184</f>
        <v>219752</v>
      </c>
      <c r="G13" s="1765">
        <f>'Expenditures 15-22'!K279</f>
        <v>73387</v>
      </c>
      <c r="H13" s="1765">
        <f>'Expenditures 15-22'!K303</f>
        <v>112324</v>
      </c>
      <c r="I13" s="468" t="s">
        <v>1231</v>
      </c>
      <c r="J13" s="1765">
        <f>'Expenditures 15-22'!K330</f>
        <v>140496</v>
      </c>
      <c r="K13" s="1769">
        <f>'Expenditures 15-22'!K352</f>
        <v>0</v>
      </c>
      <c r="L13" s="347"/>
    </row>
    <row r="14" spans="1:13" ht="15.75" customHeight="1" x14ac:dyDescent="0.2">
      <c r="A14" s="1598" t="s">
        <v>469</v>
      </c>
      <c r="B14" s="1600">
        <v>3000</v>
      </c>
      <c r="C14" s="1765">
        <f>'Expenditures 15-22'!K75</f>
        <v>242</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390928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233392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3467605</v>
      </c>
      <c r="D17" s="1710">
        <f t="shared" si="2"/>
        <v>320234</v>
      </c>
      <c r="E17" s="1710">
        <f t="shared" si="2"/>
        <v>233392</v>
      </c>
      <c r="F17" s="1710">
        <f t="shared" si="2"/>
        <v>219752</v>
      </c>
      <c r="G17" s="1710">
        <f t="shared" si="2"/>
        <v>105477</v>
      </c>
      <c r="H17" s="1710">
        <f t="shared" si="2"/>
        <v>112324</v>
      </c>
      <c r="I17" s="468"/>
      <c r="J17" s="1710">
        <f>SUM(J12:J16)</f>
        <v>140496</v>
      </c>
      <c r="K17" s="1710">
        <f>SUM(K12:K16)</f>
        <v>0</v>
      </c>
      <c r="L17" s="347"/>
    </row>
    <row r="18" spans="1:12" ht="15" customHeight="1" thickTop="1" x14ac:dyDescent="0.2">
      <c r="A18" s="1766" t="s">
        <v>1753</v>
      </c>
      <c r="B18" s="1767">
        <v>4180</v>
      </c>
      <c r="C18" s="1764">
        <f t="shared" ref="C18:H18" si="3">C9</f>
        <v>217090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3684695</v>
      </c>
      <c r="D19" s="1710">
        <f t="shared" si="4"/>
        <v>320234</v>
      </c>
      <c r="E19" s="1710">
        <f t="shared" si="4"/>
        <v>233392</v>
      </c>
      <c r="F19" s="1710">
        <f t="shared" si="4"/>
        <v>219752</v>
      </c>
      <c r="G19" s="1710">
        <f t="shared" si="4"/>
        <v>105477</v>
      </c>
      <c r="H19" s="1710">
        <f t="shared" si="4"/>
        <v>112324</v>
      </c>
      <c r="I19" s="468"/>
      <c r="J19" s="1710">
        <f>SUM(J17:J18)</f>
        <v>140496</v>
      </c>
      <c r="K19" s="1710">
        <f>SUM(K17:K18)</f>
        <v>0</v>
      </c>
      <c r="L19" s="347"/>
    </row>
    <row r="20" spans="1:12" ht="16.5" thickTop="1" thickBot="1" x14ac:dyDescent="0.25">
      <c r="A20" s="2144" t="s">
        <v>1754</v>
      </c>
      <c r="B20" s="2145"/>
      <c r="C20" s="1768">
        <f>C8-C17</f>
        <v>-56960</v>
      </c>
      <c r="D20" s="1768">
        <f t="shared" ref="D20:K20" si="5">D8-D17</f>
        <v>5928</v>
      </c>
      <c r="E20" s="1768">
        <f t="shared" si="5"/>
        <v>33868</v>
      </c>
      <c r="F20" s="1768">
        <f t="shared" si="5"/>
        <v>69055</v>
      </c>
      <c r="G20" s="1768">
        <f t="shared" si="5"/>
        <v>40658</v>
      </c>
      <c r="H20" s="1768">
        <f t="shared" si="5"/>
        <v>96114</v>
      </c>
      <c r="I20" s="1768">
        <f t="shared" si="5"/>
        <v>11523</v>
      </c>
      <c r="J20" s="1768">
        <f t="shared" si="5"/>
        <v>8344</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-56960</v>
      </c>
      <c r="D78" s="1724">
        <f t="shared" si="9"/>
        <v>5928</v>
      </c>
      <c r="E78" s="1724">
        <f t="shared" si="9"/>
        <v>33868</v>
      </c>
      <c r="F78" s="1724">
        <f t="shared" si="9"/>
        <v>69055</v>
      </c>
      <c r="G78" s="1724">
        <f t="shared" si="9"/>
        <v>40658</v>
      </c>
      <c r="H78" s="1724">
        <f t="shared" si="9"/>
        <v>96114</v>
      </c>
      <c r="I78" s="1724">
        <f t="shared" si="9"/>
        <v>11523</v>
      </c>
      <c r="J78" s="1724">
        <f t="shared" si="9"/>
        <v>8344</v>
      </c>
      <c r="K78" s="1724">
        <f t="shared" si="9"/>
        <v>0</v>
      </c>
      <c r="L78" s="533"/>
    </row>
    <row r="79" spans="1:12" ht="13.5" thickTop="1" x14ac:dyDescent="0.2">
      <c r="A79" s="1516" t="s">
        <v>2073</v>
      </c>
      <c r="B79" s="534"/>
      <c r="C79" s="478">
        <v>444344</v>
      </c>
      <c r="D79" s="535">
        <v>187092</v>
      </c>
      <c r="E79" s="535">
        <v>42943</v>
      </c>
      <c r="F79" s="535">
        <v>57368</v>
      </c>
      <c r="G79" s="535">
        <v>128925</v>
      </c>
      <c r="H79" s="535">
        <v>2375</v>
      </c>
      <c r="I79" s="535">
        <v>10731</v>
      </c>
      <c r="J79" s="535">
        <v>3231</v>
      </c>
      <c r="K79" s="535">
        <v>148</v>
      </c>
      <c r="L79" s="347"/>
    </row>
    <row r="80" spans="1:12" x14ac:dyDescent="0.2">
      <c r="A80" s="2146" t="s">
        <v>1898</v>
      </c>
      <c r="B80" s="2147"/>
      <c r="C80" s="467">
        <f>213566-7198</f>
        <v>206368</v>
      </c>
      <c r="D80" s="467"/>
      <c r="E80" s="467"/>
      <c r="F80" s="467"/>
      <c r="G80" s="467"/>
      <c r="H80" s="467"/>
      <c r="I80" s="467"/>
      <c r="J80" s="467"/>
      <c r="K80" s="467"/>
      <c r="L80" s="347"/>
    </row>
    <row r="81" spans="1:12" ht="13.5" thickBot="1" x14ac:dyDescent="0.25">
      <c r="A81" s="2138" t="s">
        <v>2074</v>
      </c>
      <c r="B81" s="2139"/>
      <c r="C81" s="1710">
        <f>(SUM(C78:C80))</f>
        <v>593752</v>
      </c>
      <c r="D81" s="1710">
        <f>SUM(D78:D80)</f>
        <v>193020</v>
      </c>
      <c r="E81" s="1710">
        <f t="shared" ref="E81:K81" si="10">SUM(E78:E80)</f>
        <v>76811</v>
      </c>
      <c r="F81" s="1710">
        <f t="shared" si="10"/>
        <v>126423</v>
      </c>
      <c r="G81" s="1710">
        <f t="shared" si="10"/>
        <v>169583</v>
      </c>
      <c r="H81" s="1710">
        <f t="shared" si="10"/>
        <v>98489</v>
      </c>
      <c r="I81" s="1710">
        <f t="shared" si="10"/>
        <v>22254</v>
      </c>
      <c r="J81" s="1710">
        <f t="shared" si="10"/>
        <v>11575</v>
      </c>
      <c r="K81" s="1710">
        <f t="shared" si="10"/>
        <v>148</v>
      </c>
      <c r="L81" s="347"/>
    </row>
    <row r="82" spans="1:12" ht="0.75" customHeight="1" thickTop="1" thickBot="1" x14ac:dyDescent="0.25">
      <c r="A82" s="536" t="s">
        <v>361</v>
      </c>
      <c r="B82" s="537"/>
      <c r="C82" s="538">
        <f>(C81-C79)</f>
        <v>149408</v>
      </c>
      <c r="D82" s="538">
        <f t="shared" ref="D82:K82" si="11">(D81-D79)</f>
        <v>5928</v>
      </c>
      <c r="E82" s="538">
        <f t="shared" si="11"/>
        <v>33868</v>
      </c>
      <c r="F82" s="538">
        <f t="shared" si="11"/>
        <v>69055</v>
      </c>
      <c r="G82" s="538">
        <f t="shared" si="11"/>
        <v>40658</v>
      </c>
      <c r="H82" s="538">
        <f t="shared" si="11"/>
        <v>96114</v>
      </c>
      <c r="I82" s="538">
        <f t="shared" si="11"/>
        <v>11523</v>
      </c>
      <c r="J82" s="538">
        <f t="shared" si="11"/>
        <v>8344</v>
      </c>
      <c r="K82" s="538">
        <f t="shared" si="11"/>
        <v>0</v>
      </c>
    </row>
    <row r="83" spans="1:12" ht="14.25" hidden="1" thickTop="1" thickBot="1" x14ac:dyDescent="0.25">
      <c r="A83" s="539" t="s">
        <v>362</v>
      </c>
      <c r="B83" s="464"/>
      <c r="C83" s="540">
        <f>C82/C81</f>
        <v>0.25163367870760855</v>
      </c>
      <c r="D83" s="540">
        <f t="shared" ref="D83:K83" si="12">D82/D81</f>
        <v>3.0711843332297172E-2</v>
      </c>
      <c r="E83" s="540">
        <f t="shared" si="12"/>
        <v>0.4409264298082306</v>
      </c>
      <c r="F83" s="540">
        <f t="shared" si="12"/>
        <v>0.54622181090466138</v>
      </c>
      <c r="G83" s="540">
        <f t="shared" si="12"/>
        <v>0.23975280541091973</v>
      </c>
      <c r="H83" s="540">
        <f t="shared" si="12"/>
        <v>0.9758856318979785</v>
      </c>
      <c r="I83" s="540">
        <f t="shared" si="12"/>
        <v>0.51779455378808303</v>
      </c>
      <c r="J83" s="540">
        <f t="shared" si="12"/>
        <v>0.72086393088552914</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sqref="A1:A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472212</f>
        <v>472212</v>
      </c>
      <c r="D5" s="481">
        <v>104924</v>
      </c>
      <c r="E5" s="466">
        <v>228028</v>
      </c>
      <c r="F5" s="548">
        <v>40650</v>
      </c>
      <c r="G5" s="466">
        <v>92216</v>
      </c>
      <c r="H5" s="466"/>
      <c r="I5" s="466">
        <v>11394</v>
      </c>
      <c r="J5" s="467">
        <v>102265</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472212</v>
      </c>
      <c r="D12" s="1729">
        <f t="shared" si="0"/>
        <v>104924</v>
      </c>
      <c r="E12" s="1729">
        <f t="shared" si="0"/>
        <v>228028</v>
      </c>
      <c r="F12" s="1729">
        <f t="shared" si="0"/>
        <v>40650</v>
      </c>
      <c r="G12" s="1729">
        <f t="shared" si="0"/>
        <v>92216</v>
      </c>
      <c r="H12" s="1729">
        <f t="shared" si="0"/>
        <v>0</v>
      </c>
      <c r="I12" s="1729">
        <f t="shared" si="0"/>
        <v>11394</v>
      </c>
      <c r="J12" s="1729">
        <f t="shared" si="0"/>
        <v>102265</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5347</v>
      </c>
      <c r="D14" s="466">
        <v>1188</v>
      </c>
      <c r="E14" s="466">
        <v>2582</v>
      </c>
      <c r="F14" s="466">
        <v>460</v>
      </c>
      <c r="G14" s="466">
        <v>1044</v>
      </c>
      <c r="H14" s="466"/>
      <c r="I14" s="466">
        <v>129</v>
      </c>
      <c r="J14" s="467">
        <v>1158</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68375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73722</v>
      </c>
      <c r="D18" s="1732">
        <f t="shared" ref="D18:K18" si="1">SUM(D14:D17)</f>
        <v>1188</v>
      </c>
      <c r="E18" s="1732">
        <f t="shared" si="1"/>
        <v>2582</v>
      </c>
      <c r="F18" s="1732">
        <f t="shared" si="1"/>
        <v>460</v>
      </c>
      <c r="G18" s="1732">
        <f t="shared" si="1"/>
        <v>1044</v>
      </c>
      <c r="H18" s="1732">
        <f t="shared" si="1"/>
        <v>0</v>
      </c>
      <c r="I18" s="1732">
        <f t="shared" si="1"/>
        <v>129</v>
      </c>
      <c r="J18" s="1732">
        <f t="shared" si="1"/>
        <v>1158</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13900</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13900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1204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1204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19143+23018</f>
        <v>42161</v>
      </c>
      <c r="D69" s="468"/>
      <c r="E69" s="468"/>
      <c r="F69" s="468"/>
      <c r="G69" s="468"/>
      <c r="H69" s="468"/>
      <c r="I69" s="468"/>
      <c r="J69" s="468"/>
      <c r="K69" s="468"/>
    </row>
    <row r="70" spans="1:11" ht="12.75" customHeight="1" x14ac:dyDescent="0.2">
      <c r="A70" s="463" t="s">
        <v>1054</v>
      </c>
      <c r="B70" s="470">
        <v>1612</v>
      </c>
      <c r="C70" s="551">
        <f>29+175</f>
        <v>204</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549</v>
      </c>
      <c r="D72" s="468"/>
      <c r="E72" s="468"/>
      <c r="F72" s="468"/>
      <c r="G72" s="468"/>
      <c r="H72" s="468"/>
      <c r="I72" s="468"/>
      <c r="J72" s="468"/>
      <c r="K72" s="468"/>
    </row>
    <row r="73" spans="1:11" ht="12.75" customHeight="1" x14ac:dyDescent="0.2">
      <c r="A73" s="463" t="s">
        <v>1055</v>
      </c>
      <c r="B73" s="470">
        <v>1620</v>
      </c>
      <c r="C73" s="551">
        <f>2685+2217+64+26</f>
        <v>4992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47906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3484+5883</f>
        <v>9367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847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2375+3545</f>
        <v>5920</v>
      </c>
      <c r="D81" s="466"/>
      <c r="E81" s="468"/>
      <c r="F81" s="468"/>
      <c r="G81" s="468"/>
      <c r="H81" s="468"/>
      <c r="I81" s="468"/>
      <c r="J81" s="468"/>
      <c r="K81" s="468"/>
    </row>
    <row r="82" spans="1:11" ht="12.75" customHeight="1" thickBot="1" x14ac:dyDescent="0.25">
      <c r="A82" s="1730" t="s">
        <v>259</v>
      </c>
      <c r="B82" s="1731"/>
      <c r="C82" s="1729">
        <f>SUM(C77:C81)</f>
        <v>16134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1000+1377+1300+3254+50</f>
        <v>6981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6981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750</v>
      </c>
      <c r="D95" s="551"/>
      <c r="E95" s="521"/>
      <c r="F95" s="521"/>
      <c r="G95" s="521"/>
      <c r="H95" s="521"/>
      <c r="I95" s="521"/>
      <c r="J95" s="521"/>
      <c r="K95" s="521"/>
    </row>
    <row r="96" spans="1:11" ht="12.75" customHeight="1" x14ac:dyDescent="0.2">
      <c r="A96" s="463" t="s">
        <v>409</v>
      </c>
      <c r="B96" s="470">
        <v>1920</v>
      </c>
      <c r="C96" s="551">
        <v>144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f>208428+10</f>
        <v>208438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87156+4</f>
        <v>87160</v>
      </c>
      <c r="D107" s="466">
        <v>50</v>
      </c>
      <c r="E107" s="466"/>
      <c r="F107" s="466">
        <v>2847</v>
      </c>
      <c r="G107" s="466"/>
      <c r="H107" s="466"/>
      <c r="I107" s="466"/>
      <c r="J107" s="467"/>
      <c r="K107" s="466"/>
    </row>
    <row r="108" spans="1:12" ht="12.75" customHeight="1" thickBot="1" x14ac:dyDescent="0.25">
      <c r="A108" s="1730" t="s">
        <v>508</v>
      </c>
      <c r="B108" s="1734"/>
      <c r="C108" s="1729">
        <f>SUM(C95:C107)</f>
        <v>88054</v>
      </c>
      <c r="D108" s="1729">
        <f t="shared" ref="D108:K108" si="3">SUM(D95:D107)</f>
        <v>50</v>
      </c>
      <c r="E108" s="1729">
        <f t="shared" si="3"/>
        <v>0</v>
      </c>
      <c r="F108" s="1729">
        <f t="shared" si="3"/>
        <v>2847</v>
      </c>
      <c r="G108" s="1729">
        <f t="shared" si="3"/>
        <v>0</v>
      </c>
      <c r="H108" s="1729">
        <f t="shared" si="3"/>
        <v>208438</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706213</v>
      </c>
      <c r="D109" s="1737">
        <f t="shared" si="4"/>
        <v>106162</v>
      </c>
      <c r="E109" s="1737">
        <f t="shared" si="4"/>
        <v>230610</v>
      </c>
      <c r="F109" s="1737">
        <f t="shared" si="4"/>
        <v>57857</v>
      </c>
      <c r="G109" s="1737">
        <f t="shared" si="4"/>
        <v>93260</v>
      </c>
      <c r="H109" s="1737">
        <f t="shared" si="4"/>
        <v>208438</v>
      </c>
      <c r="I109" s="1737">
        <f t="shared" si="4"/>
        <v>11523</v>
      </c>
      <c r="J109" s="1737">
        <f t="shared" si="4"/>
        <v>103423</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2301534</v>
      </c>
      <c r="D117" s="481">
        <v>220000</v>
      </c>
      <c r="E117" s="466">
        <v>36650</v>
      </c>
      <c r="F117" s="481"/>
      <c r="G117" s="481">
        <v>52875</v>
      </c>
      <c r="H117" s="466"/>
      <c r="I117" s="468"/>
      <c r="J117" s="467">
        <v>45417</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2301534</v>
      </c>
      <c r="D121" s="1729">
        <f t="shared" si="5"/>
        <v>220000</v>
      </c>
      <c r="E121" s="1729">
        <f t="shared" si="5"/>
        <v>36650</v>
      </c>
      <c r="F121" s="1729">
        <f t="shared" si="5"/>
        <v>0</v>
      </c>
      <c r="G121" s="1729">
        <f t="shared" si="5"/>
        <v>52875</v>
      </c>
      <c r="H121" s="1729">
        <f t="shared" si="5"/>
        <v>0</v>
      </c>
      <c r="I121" s="468"/>
      <c r="J121" s="1729">
        <f>SUM(J117:J120)</f>
        <v>45417</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31169</v>
      </c>
      <c r="D125" s="561"/>
      <c r="E125" s="468"/>
      <c r="F125" s="466"/>
      <c r="G125" s="468"/>
      <c r="H125" s="468"/>
      <c r="I125" s="468"/>
      <c r="J125" s="468"/>
      <c r="K125" s="468"/>
    </row>
    <row r="126" spans="1:11" ht="12.75" customHeight="1" x14ac:dyDescent="0.2">
      <c r="A126" s="463" t="s">
        <v>922</v>
      </c>
      <c r="B126" s="562">
        <v>3110</v>
      </c>
      <c r="C126" s="551">
        <v>33392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v>30940</v>
      </c>
      <c r="D128" s="561"/>
      <c r="E128" s="468"/>
      <c r="F128" s="466"/>
      <c r="G128" s="468"/>
      <c r="H128" s="468"/>
      <c r="I128" s="468"/>
      <c r="J128" s="468"/>
      <c r="K128" s="468"/>
    </row>
    <row r="129" spans="1:11" ht="12.75" customHeight="1" x14ac:dyDescent="0.2">
      <c r="A129" s="463" t="s">
        <v>139</v>
      </c>
      <c r="B129" s="562">
        <v>3145</v>
      </c>
      <c r="C129" s="466">
        <v>701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96202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2007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2007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2047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6022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143259</v>
      </c>
      <c r="G151" s="467"/>
      <c r="H151" s="468"/>
      <c r="I151" s="468"/>
      <c r="J151" s="468"/>
      <c r="K151" s="468"/>
    </row>
    <row r="152" spans="1:11" ht="12.75" customHeight="1" x14ac:dyDescent="0.2">
      <c r="A152" s="463" t="s">
        <v>1117</v>
      </c>
      <c r="B152" s="562">
        <v>3510</v>
      </c>
      <c r="C152" s="551"/>
      <c r="D152" s="466"/>
      <c r="E152" s="561"/>
      <c r="F152" s="466">
        <f>71086+16605</f>
        <v>87691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230950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106278</v>
      </c>
      <c r="D172" s="1744">
        <f t="shared" si="6"/>
        <v>0</v>
      </c>
      <c r="E172" s="1744">
        <f t="shared" si="6"/>
        <v>0</v>
      </c>
      <c r="F172" s="1744">
        <f t="shared" si="6"/>
        <v>230950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2407812</v>
      </c>
      <c r="D173" s="1737">
        <f>SUM(D121,D172)</f>
        <v>220000</v>
      </c>
      <c r="E173" s="1737">
        <f>SUM(E121,E172)</f>
        <v>36650</v>
      </c>
      <c r="F173" s="1737">
        <f t="shared" ref="F173:K173" si="7">SUM(F121,F172)</f>
        <v>230950</v>
      </c>
      <c r="G173" s="1737">
        <f t="shared" si="7"/>
        <v>52875</v>
      </c>
      <c r="H173" s="1737">
        <f t="shared" si="7"/>
        <v>0</v>
      </c>
      <c r="I173" s="1737">
        <f t="shared" si="7"/>
        <v>0</v>
      </c>
      <c r="J173" s="1737">
        <f t="shared" si="7"/>
        <v>45417</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14544</v>
      </c>
      <c r="D177" s="466"/>
      <c r="E177" s="467"/>
      <c r="F177" s="466"/>
      <c r="G177" s="466"/>
      <c r="H177" s="467"/>
      <c r="I177" s="467"/>
      <c r="J177" s="467"/>
      <c r="K177" s="467"/>
    </row>
    <row r="178" spans="1:11" ht="13.5" thickBot="1" x14ac:dyDescent="0.25">
      <c r="A178" s="2168" t="s">
        <v>1764</v>
      </c>
      <c r="B178" s="2169"/>
      <c r="C178" s="1729">
        <f>SUM(C176:C177)</f>
        <v>14544</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93216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42711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49572</v>
      </c>
      <c r="D200" s="468"/>
      <c r="E200" s="561"/>
      <c r="F200" s="468"/>
      <c r="G200" s="585"/>
      <c r="H200" s="468"/>
      <c r="I200" s="468"/>
      <c r="J200" s="468"/>
      <c r="K200" s="468"/>
    </row>
    <row r="201" spans="1:11" ht="12.75" customHeight="1" thickBot="1" x14ac:dyDescent="0.25">
      <c r="A201" s="1730" t="s">
        <v>569</v>
      </c>
      <c r="B201" s="1731"/>
      <c r="C201" s="1710">
        <f>SUM(C193:C200)</f>
        <v>185499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79158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79158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1165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1165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9763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6491</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282076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296620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3410645</v>
      </c>
      <c r="D275" s="1737">
        <f t="shared" si="12"/>
        <v>326162</v>
      </c>
      <c r="E275" s="1737">
        <f t="shared" si="12"/>
        <v>267260</v>
      </c>
      <c r="F275" s="1737">
        <f t="shared" si="12"/>
        <v>288807</v>
      </c>
      <c r="G275" s="1737">
        <f t="shared" si="12"/>
        <v>146135</v>
      </c>
      <c r="H275" s="1737">
        <f t="shared" si="12"/>
        <v>208438</v>
      </c>
      <c r="I275" s="1737">
        <f t="shared" si="12"/>
        <v>11523</v>
      </c>
      <c r="J275" s="1737">
        <f t="shared" si="12"/>
        <v>148840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97" colorId="8" zoomScaleNormal="100" workbookViewId="0"/>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189064+262148+223743+338099+5500+12055+3059+1055+17393+6058+27426+14368+14121+12656+8440+9133+12544+486</f>
        <v>1157348</v>
      </c>
      <c r="D5" s="466">
        <f>1645+670+19734+27909+23054+35014+1192+1799+1490+2272+29051+36649+27617+43110+227+243+205+363+6382+6382+5277+8032+59+1056+48+3+11</f>
        <v>279494</v>
      </c>
      <c r="E5" s="466">
        <f>376+285+798+586+264+48440+1310</f>
        <v>52059</v>
      </c>
      <c r="F5" s="466">
        <f>283+6243+2891+2950+4367+15855+14609+915+707+1491+1673+855+1065-22330</f>
        <v>31574</v>
      </c>
      <c r="G5" s="466">
        <v>22330</v>
      </c>
      <c r="H5" s="466">
        <f>177+120+170+1739</f>
        <v>2206</v>
      </c>
      <c r="I5" s="467"/>
      <c r="J5" s="467"/>
      <c r="K5" s="1693">
        <f>SUM(C5:J5)</f>
        <v>1545011</v>
      </c>
      <c r="L5" s="466">
        <v>1512744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f>33540+80662+34339+83437+1551+8600</f>
        <v>242129</v>
      </c>
      <c r="D8" s="466">
        <f>3300+8045+3405+8270+213+518+219+533+6176+14873+13729+36+78+62+72+755+1841+779+1893+352</f>
        <v>65149</v>
      </c>
      <c r="E8" s="466"/>
      <c r="F8" s="466">
        <v>180</v>
      </c>
      <c r="G8" s="466"/>
      <c r="H8" s="466"/>
      <c r="I8" s="467"/>
      <c r="J8" s="467"/>
      <c r="K8" s="1693">
        <f t="shared" si="0"/>
        <v>307458</v>
      </c>
      <c r="L8" s="466">
        <v>326180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f>14491+64416+12830+2735+14345</f>
        <v>108817</v>
      </c>
      <c r="D10" s="466">
        <f>8432+7513+484+1316+11425+12+68+1720+1911+1702+110+572+2860+390</f>
        <v>38515</v>
      </c>
      <c r="E10" s="466">
        <f>17481+1000</f>
        <v>18481</v>
      </c>
      <c r="F10" s="466"/>
      <c r="G10" s="466"/>
      <c r="H10" s="466"/>
      <c r="I10" s="467"/>
      <c r="J10" s="467"/>
      <c r="K10" s="1693">
        <f t="shared" si="0"/>
        <v>165813</v>
      </c>
      <c r="L10" s="466">
        <v>190740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f>16413+27707+4243</f>
        <v>48363</v>
      </c>
      <c r="D14" s="466">
        <f>826+2039+448+53+132+29+189+466+103</f>
        <v>4285</v>
      </c>
      <c r="E14" s="466">
        <f>12699+55+101</f>
        <v>12855</v>
      </c>
      <c r="F14" s="466">
        <f>725+1669+146+339+229+12+111+164+318+40+4</f>
        <v>3757</v>
      </c>
      <c r="G14" s="466"/>
      <c r="H14" s="466">
        <f>963+1443</f>
        <v>2406</v>
      </c>
      <c r="I14" s="467"/>
      <c r="J14" s="467"/>
      <c r="K14" s="1693">
        <f t="shared" si="0"/>
        <v>71666</v>
      </c>
      <c r="L14" s="466">
        <v>75590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f>16903</f>
        <v>16903</v>
      </c>
      <c r="D17" s="467">
        <f>1676+108+3432+18+384</f>
        <v>5618</v>
      </c>
      <c r="E17" s="467">
        <f>7577+2274</f>
        <v>9851</v>
      </c>
      <c r="F17" s="467"/>
      <c r="G17" s="467"/>
      <c r="H17" s="467"/>
      <c r="I17" s="467"/>
      <c r="J17" s="467"/>
      <c r="K17" s="1693">
        <f t="shared" si="0"/>
        <v>32372</v>
      </c>
      <c r="L17" s="466">
        <v>30255</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1573560</v>
      </c>
      <c r="D33" s="1692">
        <f t="shared" ref="D33:L33" si="1">SUM(D5:D32)</f>
        <v>393061</v>
      </c>
      <c r="E33" s="1692">
        <f t="shared" si="1"/>
        <v>93246</v>
      </c>
      <c r="F33" s="1692">
        <f t="shared" si="1"/>
        <v>35511</v>
      </c>
      <c r="G33" s="1692">
        <f t="shared" si="1"/>
        <v>22330</v>
      </c>
      <c r="H33" s="1692">
        <f t="shared" si="1"/>
        <v>4612</v>
      </c>
      <c r="I33" s="1692">
        <f t="shared" si="1"/>
        <v>0</v>
      </c>
      <c r="J33" s="1692">
        <f t="shared" si="1"/>
        <v>0</v>
      </c>
      <c r="K33" s="1692">
        <f t="shared" si="1"/>
        <v>2122320</v>
      </c>
      <c r="L33" s="1692">
        <f t="shared" si="1"/>
        <v>2135509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35825</v>
      </c>
      <c r="D36" s="481">
        <f>3465+223+5720+30+793</f>
        <v>10231</v>
      </c>
      <c r="E36" s="481">
        <v>40</v>
      </c>
      <c r="F36" s="481"/>
      <c r="G36" s="481"/>
      <c r="H36" s="481"/>
      <c r="I36" s="467"/>
      <c r="J36" s="467"/>
      <c r="K36" s="1693">
        <f t="shared" ref="K36:K41" si="2">SUM(C36:J36)</f>
        <v>46096</v>
      </c>
      <c r="L36" s="466">
        <v>47165</v>
      </c>
    </row>
    <row r="37" spans="1:14" x14ac:dyDescent="0.2">
      <c r="A37" s="1526" t="s">
        <v>1151</v>
      </c>
      <c r="B37" s="615">
        <v>2120</v>
      </c>
      <c r="C37" s="466">
        <v>22061</v>
      </c>
      <c r="D37" s="466">
        <f>2497+161+20+572</f>
        <v>3250</v>
      </c>
      <c r="E37" s="466"/>
      <c r="F37" s="466"/>
      <c r="G37" s="466"/>
      <c r="H37" s="466"/>
      <c r="I37" s="467"/>
      <c r="J37" s="467"/>
      <c r="K37" s="1693">
        <f t="shared" si="2"/>
        <v>25311</v>
      </c>
      <c r="L37" s="466">
        <v>42658</v>
      </c>
    </row>
    <row r="38" spans="1:14" x14ac:dyDescent="0.2">
      <c r="A38" s="1526" t="s">
        <v>207</v>
      </c>
      <c r="B38" s="615">
        <v>2130</v>
      </c>
      <c r="C38" s="466"/>
      <c r="D38" s="466"/>
      <c r="E38" s="466"/>
      <c r="F38" s="466"/>
      <c r="G38" s="466"/>
      <c r="H38" s="466"/>
      <c r="I38" s="467"/>
      <c r="J38" s="467"/>
      <c r="K38" s="1693">
        <f t="shared" si="2"/>
        <v>0</v>
      </c>
      <c r="L38" s="466">
        <v>600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48847</v>
      </c>
      <c r="D40" s="466">
        <f>4831+311+6865+36+1106</f>
        <v>13149</v>
      </c>
      <c r="E40" s="466">
        <v>288</v>
      </c>
      <c r="F40" s="466">
        <v>848</v>
      </c>
      <c r="G40" s="466"/>
      <c r="H40" s="466"/>
      <c r="I40" s="467"/>
      <c r="J40" s="467"/>
      <c r="K40" s="1693">
        <f t="shared" si="2"/>
        <v>63132</v>
      </c>
      <c r="L40" s="466">
        <v>30999</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106733</v>
      </c>
      <c r="D42" s="1692">
        <f t="shared" ref="D42:L42" si="3">SUM(D36:D41)</f>
        <v>26630</v>
      </c>
      <c r="E42" s="1692">
        <f t="shared" si="3"/>
        <v>328</v>
      </c>
      <c r="F42" s="1692">
        <f t="shared" si="3"/>
        <v>848</v>
      </c>
      <c r="G42" s="1692">
        <f t="shared" si="3"/>
        <v>0</v>
      </c>
      <c r="H42" s="1692">
        <f t="shared" si="3"/>
        <v>0</v>
      </c>
      <c r="I42" s="1692">
        <f t="shared" si="3"/>
        <v>0</v>
      </c>
      <c r="J42" s="1692">
        <f t="shared" si="3"/>
        <v>0</v>
      </c>
      <c r="K42" s="1692">
        <f t="shared" si="3"/>
        <v>134539</v>
      </c>
      <c r="L42" s="1692">
        <f t="shared" si="3"/>
        <v>121422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f>1084+1590+2109</f>
        <v>4783</v>
      </c>
      <c r="F44" s="481">
        <v>800</v>
      </c>
      <c r="G44" s="481"/>
      <c r="H44" s="481"/>
      <c r="I44" s="467"/>
      <c r="J44" s="467"/>
      <c r="K44" s="1694">
        <f>SUM(C44:J44)</f>
        <v>5583</v>
      </c>
      <c r="L44" s="481">
        <v>2900</v>
      </c>
    </row>
    <row r="45" spans="1:14" x14ac:dyDescent="0.2">
      <c r="A45" s="1526" t="s">
        <v>869</v>
      </c>
      <c r="B45" s="615">
        <v>2220</v>
      </c>
      <c r="C45" s="466">
        <f>12256+48351</f>
        <v>60607</v>
      </c>
      <c r="D45" s="466">
        <f>1907+6865+36+36</f>
        <v>8844</v>
      </c>
      <c r="E45" s="466">
        <v>1984</v>
      </c>
      <c r="F45" s="466">
        <v>545</v>
      </c>
      <c r="G45" s="466"/>
      <c r="H45" s="466">
        <v>194</v>
      </c>
      <c r="I45" s="467"/>
      <c r="J45" s="467"/>
      <c r="K45" s="1694">
        <f>SUM(C45:J45)</f>
        <v>72174</v>
      </c>
      <c r="L45" s="466">
        <v>69996</v>
      </c>
    </row>
    <row r="46" spans="1:14" x14ac:dyDescent="0.2">
      <c r="A46" s="1526" t="s">
        <v>870</v>
      </c>
      <c r="B46" s="615">
        <v>2230</v>
      </c>
      <c r="C46" s="466"/>
      <c r="D46" s="466"/>
      <c r="E46" s="466">
        <f>10149</f>
        <v>10149</v>
      </c>
      <c r="F46" s="466"/>
      <c r="G46" s="466"/>
      <c r="H46" s="466"/>
      <c r="I46" s="467"/>
      <c r="J46" s="467"/>
      <c r="K46" s="1694">
        <f>SUM(C46:J46)</f>
        <v>10149</v>
      </c>
      <c r="L46" s="466">
        <v>14141</v>
      </c>
    </row>
    <row r="47" spans="1:14" ht="12.75" customHeight="1" thickBot="1" x14ac:dyDescent="0.25">
      <c r="A47" s="1690" t="s">
        <v>582</v>
      </c>
      <c r="B47" s="1691" t="s">
        <v>32</v>
      </c>
      <c r="C47" s="1692">
        <f>SUM(C44:C46)</f>
        <v>60607</v>
      </c>
      <c r="D47" s="1692">
        <f t="shared" ref="D47:K47" si="4">SUM(D44:D46)</f>
        <v>8844</v>
      </c>
      <c r="E47" s="1692">
        <f t="shared" si="4"/>
        <v>16916</v>
      </c>
      <c r="F47" s="1692">
        <f t="shared" si="4"/>
        <v>1345</v>
      </c>
      <c r="G47" s="1692">
        <f t="shared" si="4"/>
        <v>0</v>
      </c>
      <c r="H47" s="1692">
        <f t="shared" si="4"/>
        <v>194</v>
      </c>
      <c r="I47" s="1692">
        <f t="shared" si="4"/>
        <v>0</v>
      </c>
      <c r="J47" s="1692">
        <f t="shared" si="4"/>
        <v>0</v>
      </c>
      <c r="K47" s="1692">
        <f t="shared" si="4"/>
        <v>87906</v>
      </c>
      <c r="L47" s="1692">
        <f>SUM(L44:L46)</f>
        <v>87037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7100+7450+754+269+1616</f>
        <v>17189</v>
      </c>
      <c r="F49" s="481">
        <f>1180+408</f>
        <v>1588</v>
      </c>
      <c r="G49" s="481"/>
      <c r="H49" s="481">
        <f>1691+1266</f>
        <v>2957</v>
      </c>
      <c r="I49" s="467"/>
      <c r="J49" s="467"/>
      <c r="K49" s="1694">
        <f>SUM(C49:J49)</f>
        <v>21734</v>
      </c>
      <c r="L49" s="481">
        <v>28840</v>
      </c>
    </row>
    <row r="50" spans="1:14" x14ac:dyDescent="0.2">
      <c r="A50" s="1526" t="s">
        <v>872</v>
      </c>
      <c r="B50" s="615">
        <v>2320</v>
      </c>
      <c r="C50" s="466">
        <f>1482+96038+6281+5510</f>
        <v>109311</v>
      </c>
      <c r="D50" s="466">
        <f>9498+612+1630+8295+9+44+2174</f>
        <v>22262</v>
      </c>
      <c r="E50" s="466">
        <v>919</v>
      </c>
      <c r="F50" s="466"/>
      <c r="G50" s="466"/>
      <c r="H50" s="466">
        <v>1485</v>
      </c>
      <c r="I50" s="467"/>
      <c r="J50" s="467"/>
      <c r="K50" s="1694">
        <f>SUM(C50:J50)</f>
        <v>133977</v>
      </c>
      <c r="L50" s="466">
        <v>102182</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109311</v>
      </c>
      <c r="D53" s="1692">
        <f t="shared" ref="D53:L53" si="5">SUM(D49:D52)</f>
        <v>22262</v>
      </c>
      <c r="E53" s="1692">
        <f t="shared" si="5"/>
        <v>18108</v>
      </c>
      <c r="F53" s="1692">
        <f t="shared" si="5"/>
        <v>1588</v>
      </c>
      <c r="G53" s="1692">
        <f t="shared" si="5"/>
        <v>0</v>
      </c>
      <c r="H53" s="1692">
        <f t="shared" si="5"/>
        <v>4442</v>
      </c>
      <c r="I53" s="1692">
        <f t="shared" si="5"/>
        <v>0</v>
      </c>
      <c r="J53" s="1692">
        <f t="shared" si="5"/>
        <v>0</v>
      </c>
      <c r="K53" s="1692">
        <f t="shared" si="5"/>
        <v>155711</v>
      </c>
      <c r="L53" s="1692">
        <f t="shared" si="5"/>
        <v>131022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71870+494+1545+2600+81981+14656+24029+19813</f>
        <v>216988</v>
      </c>
      <c r="D55" s="481">
        <f>15216+981+3804+1716+6865+20+36+108+3483+352</f>
        <v>32581</v>
      </c>
      <c r="E55" s="481">
        <f>90+2015+1113+1880</f>
        <v>5098</v>
      </c>
      <c r="F55" s="481">
        <f>7188+327+326+1600</f>
        <v>9441</v>
      </c>
      <c r="G55" s="481"/>
      <c r="H55" s="481">
        <f>253+635+649</f>
        <v>1537</v>
      </c>
      <c r="I55" s="467"/>
      <c r="J55" s="467"/>
      <c r="K55" s="1694">
        <f>SUM(C55:J55)</f>
        <v>265645</v>
      </c>
      <c r="L55" s="481">
        <v>287247</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216988</v>
      </c>
      <c r="D57" s="1696">
        <f t="shared" ref="D57:K57" si="6">SUM(D55:D56)</f>
        <v>32581</v>
      </c>
      <c r="E57" s="1696">
        <f t="shared" si="6"/>
        <v>5098</v>
      </c>
      <c r="F57" s="1696">
        <f t="shared" si="6"/>
        <v>9441</v>
      </c>
      <c r="G57" s="1696">
        <f t="shared" si="6"/>
        <v>0</v>
      </c>
      <c r="H57" s="1696">
        <f t="shared" si="6"/>
        <v>1537</v>
      </c>
      <c r="I57" s="1696">
        <f t="shared" si="6"/>
        <v>0</v>
      </c>
      <c r="J57" s="1696">
        <f t="shared" si="6"/>
        <v>0</v>
      </c>
      <c r="K57" s="1696">
        <f t="shared" si="6"/>
        <v>265645</v>
      </c>
      <c r="L57" s="1692">
        <f>SUM(L55:L56)</f>
        <v>287247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38924</v>
      </c>
      <c r="D60" s="466">
        <f>6865+36</f>
        <v>6901</v>
      </c>
      <c r="E60" s="466"/>
      <c r="F60" s="466">
        <f>1373+9680</f>
        <v>11053</v>
      </c>
      <c r="G60" s="466"/>
      <c r="H60" s="466">
        <v>160</v>
      </c>
      <c r="I60" s="467"/>
      <c r="J60" s="467"/>
      <c r="K60" s="1694">
        <f t="shared" si="7"/>
        <v>57038</v>
      </c>
      <c r="L60" s="466">
        <v>49400</v>
      </c>
      <c r="M60" s="610"/>
      <c r="N60" s="610"/>
    </row>
    <row r="61" spans="1:14" s="343" customFormat="1" x14ac:dyDescent="0.2">
      <c r="A61" s="1526" t="s">
        <v>206</v>
      </c>
      <c r="B61" s="615">
        <v>2540</v>
      </c>
      <c r="C61" s="466"/>
      <c r="D61" s="466"/>
      <c r="E61" s="466">
        <v>5040</v>
      </c>
      <c r="F61" s="466"/>
      <c r="G61" s="466"/>
      <c r="H61" s="466"/>
      <c r="I61" s="467"/>
      <c r="J61" s="467"/>
      <c r="K61" s="1694">
        <f t="shared" si="7"/>
        <v>5040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f>21326+7699+210+17567+13451+23720</f>
        <v>83973</v>
      </c>
      <c r="D63" s="466">
        <f>6864+6864+93+36+36</f>
        <v>13893</v>
      </c>
      <c r="E63" s="466">
        <f>576+432+277+332+419</f>
        <v>2036</v>
      </c>
      <c r="F63" s="466">
        <f>4829+2187+49281+41351</f>
        <v>97648</v>
      </c>
      <c r="G63" s="466">
        <f>28493+21079</f>
        <v>49572</v>
      </c>
      <c r="H63" s="466">
        <f>557+557</f>
        <v>1114</v>
      </c>
      <c r="I63" s="467"/>
      <c r="J63" s="467"/>
      <c r="K63" s="1694">
        <f t="shared" si="7"/>
        <v>248236</v>
      </c>
      <c r="L63" s="466">
        <v>175183</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122897</v>
      </c>
      <c r="D65" s="1692">
        <f t="shared" ref="D65:L65" si="8">SUM(D59:D64)</f>
        <v>20794</v>
      </c>
      <c r="E65" s="1692">
        <f t="shared" si="8"/>
        <v>7076</v>
      </c>
      <c r="F65" s="1692">
        <f t="shared" si="8"/>
        <v>108701</v>
      </c>
      <c r="G65" s="1692">
        <f t="shared" si="8"/>
        <v>49572</v>
      </c>
      <c r="H65" s="1692">
        <f t="shared" si="8"/>
        <v>1274</v>
      </c>
      <c r="I65" s="1692">
        <f t="shared" si="8"/>
        <v>0</v>
      </c>
      <c r="J65" s="1692">
        <f t="shared" si="8"/>
        <v>0</v>
      </c>
      <c r="K65" s="1692">
        <f t="shared" si="8"/>
        <v>310314</v>
      </c>
      <c r="L65" s="1692">
        <f t="shared" si="8"/>
        <v>224583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616536</v>
      </c>
      <c r="D74" s="1699">
        <f t="shared" ref="D74:K74" si="10">SUM(D42,D47,D53,D57,D65,D72,D73)</f>
        <v>111111</v>
      </c>
      <c r="E74" s="1699">
        <f t="shared" si="10"/>
        <v>47526</v>
      </c>
      <c r="F74" s="1699">
        <f t="shared" si="10"/>
        <v>121923</v>
      </c>
      <c r="G74" s="1699">
        <f t="shared" si="10"/>
        <v>49572</v>
      </c>
      <c r="H74" s="1699">
        <f t="shared" si="10"/>
        <v>7447</v>
      </c>
      <c r="I74" s="1699">
        <f t="shared" si="10"/>
        <v>0</v>
      </c>
      <c r="J74" s="1699">
        <f t="shared" si="10"/>
        <v>0</v>
      </c>
      <c r="K74" s="1699">
        <f t="shared" si="10"/>
        <v>954115</v>
      </c>
      <c r="L74" s="1699">
        <f>SUM(L42,L47,L53,L57,L65,L72,L73)</f>
        <v>851311</v>
      </c>
    </row>
    <row r="75" spans="1:14" s="259" customFormat="1" ht="15.75" customHeight="1" thickTop="1" thickBot="1" x14ac:dyDescent="0.25">
      <c r="A75" s="1632" t="s">
        <v>49</v>
      </c>
      <c r="B75" s="1633" t="s">
        <v>596</v>
      </c>
      <c r="C75" s="573"/>
      <c r="D75" s="573"/>
      <c r="E75" s="573"/>
      <c r="F75" s="573">
        <v>242</v>
      </c>
      <c r="G75" s="573"/>
      <c r="H75" s="573"/>
      <c r="I75" s="531"/>
      <c r="J75" s="531"/>
      <c r="K75" s="1692">
        <f>SUM(C75:J75)</f>
        <v>242</v>
      </c>
      <c r="L75" s="576">
        <v>500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1225</v>
      </c>
      <c r="F78" s="617"/>
      <c r="G78" s="617"/>
      <c r="H78" s="635"/>
      <c r="I78" s="477"/>
      <c r="J78" s="477"/>
      <c r="K78" s="1693">
        <f t="shared" ref="K78:K83" si="11">SUM(C78:J78)</f>
        <v>1225</v>
      </c>
      <c r="L78" s="481">
        <v>2500</v>
      </c>
    </row>
    <row r="79" spans="1:14" x14ac:dyDescent="0.2">
      <c r="A79" s="1526" t="s">
        <v>322</v>
      </c>
      <c r="B79" s="615">
        <v>4120</v>
      </c>
      <c r="C79" s="617"/>
      <c r="D79" s="617"/>
      <c r="E79" s="466"/>
      <c r="F79" s="617"/>
      <c r="G79" s="617"/>
      <c r="H79" s="466">
        <v>244927</v>
      </c>
      <c r="I79" s="477"/>
      <c r="J79" s="477"/>
      <c r="K79" s="1693">
        <f t="shared" si="11"/>
        <v>244927</v>
      </c>
      <c r="L79" s="466">
        <v>275000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v>144776</v>
      </c>
      <c r="I83" s="477"/>
      <c r="J83" s="477"/>
      <c r="K83" s="1693">
        <f t="shared" si="11"/>
        <v>144776</v>
      </c>
      <c r="L83" s="466">
        <v>0</v>
      </c>
    </row>
    <row r="84" spans="1:12" ht="13.5" thickBot="1" x14ac:dyDescent="0.25">
      <c r="A84" s="1690" t="s">
        <v>1565</v>
      </c>
      <c r="B84" s="1700">
        <v>4100</v>
      </c>
      <c r="C84" s="617"/>
      <c r="D84" s="617"/>
      <c r="E84" s="1692">
        <f>SUM(E78:E83)</f>
        <v>1225</v>
      </c>
      <c r="F84" s="617"/>
      <c r="G84" s="617"/>
      <c r="H84" s="1692">
        <f>SUM(H78:H83)</f>
        <v>389703</v>
      </c>
      <c r="I84" s="477"/>
      <c r="J84" s="477"/>
      <c r="K84" s="1692">
        <f>SUM(K78:K83)</f>
        <v>390928</v>
      </c>
      <c r="L84" s="1692">
        <f>SUM(L78:L83)</f>
        <v>277500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1225</v>
      </c>
      <c r="F102" s="617"/>
      <c r="G102" s="617"/>
      <c r="H102" s="1699">
        <f>SUM(H84,H92,H100,H101)</f>
        <v>389703</v>
      </c>
      <c r="I102" s="477"/>
      <c r="J102" s="477"/>
      <c r="K102" s="1699">
        <f>SUM(K84,K92,K100,K101)</f>
        <v>390928</v>
      </c>
      <c r="L102" s="1699">
        <f>SUM(L84,L92,L100,L101)</f>
        <v>277500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2190096</v>
      </c>
      <c r="D114" s="1692">
        <f t="shared" ref="D114:K114" si="13">SUM(D33,D74,D75,D102,D112,D113)</f>
        <v>504172</v>
      </c>
      <c r="E114" s="1692">
        <f t="shared" si="13"/>
        <v>141997</v>
      </c>
      <c r="F114" s="1692">
        <f t="shared" si="13"/>
        <v>157676</v>
      </c>
      <c r="G114" s="1692">
        <f t="shared" si="13"/>
        <v>71902</v>
      </c>
      <c r="H114" s="1692">
        <f>SUM(H33,H74,H75,H102,H112,H113)</f>
        <v>401762</v>
      </c>
      <c r="I114" s="1692">
        <f t="shared" si="13"/>
        <v>0</v>
      </c>
      <c r="J114" s="1692">
        <f t="shared" si="13"/>
        <v>0</v>
      </c>
      <c r="K114" s="1692">
        <f t="shared" si="13"/>
        <v>3467605</v>
      </c>
      <c r="L114" s="1692">
        <f>SUM(L33,L74,L75,L102,L112,L113)</f>
        <v>3264820</v>
      </c>
    </row>
    <row r="115" spans="1:14" ht="13.5" thickTop="1" x14ac:dyDescent="0.2">
      <c r="A115" s="2199" t="s">
        <v>1053</v>
      </c>
      <c r="B115" s="2200"/>
      <c r="C115" s="619"/>
      <c r="D115" s="619"/>
      <c r="E115" s="619"/>
      <c r="F115" s="619"/>
      <c r="G115" s="619"/>
      <c r="H115" s="619"/>
      <c r="I115" s="619"/>
      <c r="J115" s="619"/>
      <c r="K115" s="1706">
        <f>'Revenues 9-14'!C275-'Expenditures 15-22'!K114</f>
        <v>-56960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1710+100416+174+193+5480+574+7696</f>
        <v>116243</v>
      </c>
      <c r="D124" s="466">
        <f>20594+108</f>
        <v>20702</v>
      </c>
      <c r="E124" s="466">
        <f>23697+676+398+1256+122+330+122+122+413+8500+6501</f>
        <v>42137</v>
      </c>
      <c r="F124" s="466">
        <f>24039+1111+99273</f>
        <v>124423</v>
      </c>
      <c r="G124" s="466">
        <v>16089</v>
      </c>
      <c r="H124" s="466">
        <v>640</v>
      </c>
      <c r="I124" s="467"/>
      <c r="J124" s="467"/>
      <c r="K124" s="1692">
        <f>SUM(C124:J124)</f>
        <v>320234</v>
      </c>
      <c r="L124" s="466">
        <v>315776</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50000</v>
      </c>
    </row>
    <row r="127" spans="1:14" ht="12.75" customHeight="1" thickTop="1" thickBot="1" x14ac:dyDescent="0.25">
      <c r="A127" s="1690" t="s">
        <v>743</v>
      </c>
      <c r="B127" s="1691" t="s">
        <v>35</v>
      </c>
      <c r="C127" s="1692">
        <f>SUM(C122:C126)</f>
        <v>116243</v>
      </c>
      <c r="D127" s="1692">
        <f t="shared" ref="D127:L127" si="14">SUM(D122:D126)</f>
        <v>20702</v>
      </c>
      <c r="E127" s="1692">
        <f t="shared" si="14"/>
        <v>42137</v>
      </c>
      <c r="F127" s="1692">
        <f t="shared" si="14"/>
        <v>124423</v>
      </c>
      <c r="G127" s="1692">
        <f t="shared" si="14"/>
        <v>16089</v>
      </c>
      <c r="H127" s="1692">
        <f t="shared" si="14"/>
        <v>640</v>
      </c>
      <c r="I127" s="1692">
        <f t="shared" si="14"/>
        <v>0</v>
      </c>
      <c r="J127" s="1692">
        <f t="shared" si="14"/>
        <v>0</v>
      </c>
      <c r="K127" s="1692">
        <f t="shared" si="14"/>
        <v>320234</v>
      </c>
      <c r="L127" s="1692">
        <f t="shared" si="14"/>
        <v>365776</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116243</v>
      </c>
      <c r="D129" s="1699">
        <f t="shared" ref="D129:L129" si="15">SUM(D120,D127,D128)</f>
        <v>20702</v>
      </c>
      <c r="E129" s="1699">
        <f t="shared" si="15"/>
        <v>42137</v>
      </c>
      <c r="F129" s="1699">
        <f t="shared" si="15"/>
        <v>124423</v>
      </c>
      <c r="G129" s="1699">
        <f t="shared" si="15"/>
        <v>16089</v>
      </c>
      <c r="H129" s="1699">
        <f t="shared" si="15"/>
        <v>640</v>
      </c>
      <c r="I129" s="1699">
        <f t="shared" si="15"/>
        <v>0</v>
      </c>
      <c r="J129" s="1699">
        <f t="shared" si="15"/>
        <v>0</v>
      </c>
      <c r="K129" s="1699">
        <f t="shared" si="15"/>
        <v>320234</v>
      </c>
      <c r="L129" s="1699">
        <f t="shared" si="15"/>
        <v>365776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116243</v>
      </c>
      <c r="D151" s="1692">
        <f t="shared" ref="D151:K151" si="16">SUM(D129,D130,D139,D149,D150)</f>
        <v>20702</v>
      </c>
      <c r="E151" s="1692">
        <f t="shared" si="16"/>
        <v>42137</v>
      </c>
      <c r="F151" s="1692">
        <f t="shared" si="16"/>
        <v>124423</v>
      </c>
      <c r="G151" s="1692">
        <f t="shared" si="16"/>
        <v>16089</v>
      </c>
      <c r="H151" s="1692">
        <f t="shared" si="16"/>
        <v>640</v>
      </c>
      <c r="I151" s="1692">
        <f t="shared" si="16"/>
        <v>0</v>
      </c>
      <c r="J151" s="1692">
        <f t="shared" si="16"/>
        <v>0</v>
      </c>
      <c r="K151" s="1692">
        <f t="shared" si="16"/>
        <v>320234</v>
      </c>
      <c r="L151" s="1692">
        <f>SUM(L129,L130,L139,L149,L150)</f>
        <v>365776</v>
      </c>
    </row>
    <row r="152" spans="1:14" ht="12.75" customHeight="1" thickTop="1" x14ac:dyDescent="0.2">
      <c r="A152" s="2192" t="s">
        <v>1240</v>
      </c>
      <c r="B152" s="2193"/>
      <c r="C152" s="619"/>
      <c r="D152" s="619"/>
      <c r="E152" s="619"/>
      <c r="F152" s="619"/>
      <c r="G152" s="619"/>
      <c r="H152" s="619"/>
      <c r="I152" s="619"/>
      <c r="J152" s="617"/>
      <c r="K152" s="1706">
        <f>'Revenues 9-14'!D275-'Expenditures 15-22'!K151</f>
        <v>5928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134920+96973+1500-1-55000-85000</f>
        <v>93392</v>
      </c>
      <c r="I169" s="617"/>
      <c r="J169" s="617"/>
      <c r="K169" s="1693">
        <f>SUM(C169:H169)</f>
        <v>93392</v>
      </c>
      <c r="L169" s="657">
        <v>276000</v>
      </c>
    </row>
    <row r="170" spans="1:14" ht="33.75" customHeight="1" x14ac:dyDescent="0.2">
      <c r="A170" s="670" t="s">
        <v>1769</v>
      </c>
      <c r="B170" s="672" t="s">
        <v>31</v>
      </c>
      <c r="C170" s="617"/>
      <c r="D170" s="617"/>
      <c r="E170" s="617"/>
      <c r="F170" s="617"/>
      <c r="G170" s="617"/>
      <c r="H170" s="569">
        <f>55000+85000</f>
        <v>140000</v>
      </c>
      <c r="I170" s="617"/>
      <c r="J170" s="617"/>
      <c r="K170" s="1693">
        <f>SUM(C170:J170)</f>
        <v>140000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233392</v>
      </c>
      <c r="I172" s="639"/>
      <c r="J172" s="617"/>
      <c r="K172" s="1699">
        <f>SUM(K168,K169,K170,K171)</f>
        <v>233392</v>
      </c>
      <c r="L172" s="1699">
        <f>SUM(L168,L169,L170,L171)</f>
        <v>276000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233392</v>
      </c>
      <c r="I174" s="639"/>
      <c r="J174" s="617"/>
      <c r="K174" s="1699">
        <f>SUM(K160,K172,K173)</f>
        <v>233392</v>
      </c>
      <c r="L174" s="1699">
        <f>SUM(L160,L172,L173)</f>
        <v>276000</v>
      </c>
    </row>
    <row r="175" spans="1:14" ht="13.5" thickTop="1" x14ac:dyDescent="0.2">
      <c r="A175" s="2199" t="s">
        <v>1053</v>
      </c>
      <c r="B175" s="2200"/>
      <c r="C175" s="617"/>
      <c r="D175" s="617"/>
      <c r="E175" s="617"/>
      <c r="F175" s="617"/>
      <c r="G175" s="617"/>
      <c r="H175" s="619"/>
      <c r="I175" s="617"/>
      <c r="J175" s="617"/>
      <c r="K175" s="1706">
        <f>'Revenues 9-14'!E275-'Expenditures 15-22'!K174</f>
        <v>33868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9447+33089+8047+16363+9895+1327+26553+754+2</f>
        <v>105477</v>
      </c>
      <c r="D182" s="466">
        <f>72+352</f>
        <v>424</v>
      </c>
      <c r="E182" s="466">
        <f>2378+19924+26569+908+25019</f>
        <v>74798</v>
      </c>
      <c r="F182" s="466">
        <f>3363+4798+30214+394</f>
        <v>38769</v>
      </c>
      <c r="G182" s="466">
        <f>25019-25019</f>
        <v>0</v>
      </c>
      <c r="H182" s="466">
        <v>284</v>
      </c>
      <c r="I182" s="467"/>
      <c r="J182" s="467"/>
      <c r="K182" s="1693">
        <f>SUM(C182:J182)</f>
        <v>219752</v>
      </c>
      <c r="L182" s="466">
        <v>169524</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105477</v>
      </c>
      <c r="D184" s="1699">
        <f t="shared" ref="D184:J184" si="17">SUM(D180,D182,D183)</f>
        <v>424</v>
      </c>
      <c r="E184" s="1699">
        <f t="shared" si="17"/>
        <v>74798</v>
      </c>
      <c r="F184" s="1699">
        <f t="shared" si="17"/>
        <v>38769</v>
      </c>
      <c r="G184" s="1699">
        <f t="shared" si="17"/>
        <v>0</v>
      </c>
      <c r="H184" s="1699">
        <f t="shared" si="17"/>
        <v>284</v>
      </c>
      <c r="I184" s="1699">
        <f t="shared" si="17"/>
        <v>0</v>
      </c>
      <c r="J184" s="1699">
        <f t="shared" si="17"/>
        <v>0</v>
      </c>
      <c r="K184" s="1699">
        <f>SUM(K180,K182,K183)</f>
        <v>219752</v>
      </c>
      <c r="L184" s="1699">
        <f>SUM(L180, L182:L183)</f>
        <v>169524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105477</v>
      </c>
      <c r="D210" s="1692">
        <f>SUM(D184,D185)</f>
        <v>424</v>
      </c>
      <c r="E210" s="1692">
        <f>SUM(E184,E185,E196)</f>
        <v>74798</v>
      </c>
      <c r="F210" s="1692">
        <f>SUM(F184,F185)</f>
        <v>38769</v>
      </c>
      <c r="G210" s="1692">
        <f>SUM(G184,G185)</f>
        <v>0</v>
      </c>
      <c r="H210" s="1692">
        <f>SUM(H184,H185,H196,H208,H209)</f>
        <v>284</v>
      </c>
      <c r="I210" s="1692">
        <f>SUM(I184,I185)</f>
        <v>0</v>
      </c>
      <c r="J210" s="1692">
        <f>SUM(J184,J185)</f>
        <v>0</v>
      </c>
      <c r="K210" s="1693">
        <f>SUM(K184,K185,K196,K208,K209)</f>
        <v>219752</v>
      </c>
      <c r="L210" s="1692">
        <f>SUM(L184,L185,L196,L208,L209)</f>
        <v>169524</v>
      </c>
    </row>
    <row r="211" spans="1:14" ht="13.5" thickTop="1" x14ac:dyDescent="0.2">
      <c r="A211" s="2199" t="s">
        <v>1053</v>
      </c>
      <c r="B211" s="2200"/>
      <c r="C211" s="619"/>
      <c r="D211" s="619"/>
      <c r="E211" s="619"/>
      <c r="F211" s="619"/>
      <c r="G211" s="619"/>
      <c r="H211" s="619"/>
      <c r="I211" s="617"/>
      <c r="J211" s="617"/>
      <c r="K211" s="1706">
        <f>'Revenues 9-14'!F275-'Expenditures 15-22'!K210</f>
        <v>69055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878+197+84+1475+777+256+242+1173+3090+4121+3241+5321+7+699</f>
        <v>21561</v>
      </c>
      <c r="E215" s="617"/>
      <c r="F215" s="617"/>
      <c r="G215" s="617"/>
      <c r="H215" s="617"/>
      <c r="I215" s="617"/>
      <c r="J215" s="617"/>
      <c r="K215" s="1693">
        <f>D215</f>
        <v>21561</v>
      </c>
      <c r="L215" s="466">
        <v>17400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f>105+681+84+483+460+1137+594+1144</f>
        <v>4688</v>
      </c>
      <c r="E217" s="617"/>
      <c r="F217" s="617"/>
      <c r="G217" s="617"/>
      <c r="H217" s="617"/>
      <c r="I217" s="617"/>
      <c r="J217" s="617"/>
      <c r="K217" s="1693">
        <f t="shared" si="19"/>
        <v>4688</v>
      </c>
      <c r="L217" s="466">
        <v>7350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f>1156+795+204+1085+40+199</f>
        <v>3479</v>
      </c>
      <c r="E219" s="617"/>
      <c r="F219" s="617"/>
      <c r="G219" s="617"/>
      <c r="H219" s="617"/>
      <c r="I219" s="617"/>
      <c r="J219" s="617"/>
      <c r="K219" s="1693">
        <f t="shared" si="19"/>
        <v>3479</v>
      </c>
      <c r="L219" s="466">
        <v>5995</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f>216+344+440+428+238+401+63</f>
        <v>2130</v>
      </c>
      <c r="E223" s="617"/>
      <c r="F223" s="617"/>
      <c r="G223" s="617"/>
      <c r="H223" s="617"/>
      <c r="I223" s="617"/>
      <c r="J223" s="617"/>
      <c r="K223" s="1693">
        <f t="shared" si="19"/>
        <v>2130</v>
      </c>
      <c r="L223" s="466">
        <v>2050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232</v>
      </c>
      <c r="E226" s="617"/>
      <c r="F226" s="617"/>
      <c r="G226" s="617"/>
      <c r="H226" s="617"/>
      <c r="I226" s="617"/>
      <c r="J226" s="617"/>
      <c r="K226" s="1693">
        <f t="shared" si="19"/>
        <v>232</v>
      </c>
      <c r="L226" s="466">
        <v>260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32090</v>
      </c>
      <c r="E229" s="617"/>
      <c r="F229" s="617"/>
      <c r="G229" s="617"/>
      <c r="H229" s="617"/>
      <c r="I229" s="617"/>
      <c r="J229" s="617"/>
      <c r="K229" s="1692">
        <f>SUM(K215:K228)</f>
        <v>32090</v>
      </c>
      <c r="L229" s="1692">
        <f>SUM(L215:L228)</f>
        <v>33055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495</v>
      </c>
      <c r="E232" s="617"/>
      <c r="F232" s="617"/>
      <c r="G232" s="617"/>
      <c r="H232" s="617"/>
      <c r="I232" s="617"/>
      <c r="J232" s="617"/>
      <c r="K232" s="1693">
        <f t="shared" ref="K232:K237" si="20">D232</f>
        <v>495</v>
      </c>
      <c r="L232" s="466">
        <v>400</v>
      </c>
    </row>
    <row r="233" spans="1:12" x14ac:dyDescent="0.2">
      <c r="A233" s="1526" t="s">
        <v>1151</v>
      </c>
      <c r="B233" s="615">
        <v>2120</v>
      </c>
      <c r="C233" s="617"/>
      <c r="D233" s="466">
        <v>320</v>
      </c>
      <c r="E233" s="617"/>
      <c r="F233" s="617"/>
      <c r="G233" s="617"/>
      <c r="H233" s="617"/>
      <c r="I233" s="617"/>
      <c r="J233" s="617"/>
      <c r="K233" s="1693">
        <f t="shared" si="20"/>
        <v>320</v>
      </c>
      <c r="L233" s="466">
        <v>375</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682</v>
      </c>
      <c r="E236" s="617"/>
      <c r="F236" s="617"/>
      <c r="G236" s="617"/>
      <c r="H236" s="617"/>
      <c r="I236" s="617"/>
      <c r="J236" s="617"/>
      <c r="K236" s="1693">
        <f t="shared" si="20"/>
        <v>682</v>
      </c>
      <c r="L236" s="466">
        <v>650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1497</v>
      </c>
      <c r="E238" s="617"/>
      <c r="F238" s="617"/>
      <c r="G238" s="617"/>
      <c r="H238" s="617"/>
      <c r="I238" s="617"/>
      <c r="J238" s="617"/>
      <c r="K238" s="1692">
        <f>SUM(K232:K237)</f>
        <v>1497</v>
      </c>
      <c r="L238" s="1692">
        <f>SUM(L232:L237)</f>
        <v>1425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f>1038+3779+734+2763+172+646</f>
        <v>9132</v>
      </c>
      <c r="E241" s="617"/>
      <c r="F241" s="617"/>
      <c r="G241" s="617"/>
      <c r="H241" s="617"/>
      <c r="I241" s="617"/>
      <c r="J241" s="617"/>
      <c r="K241" s="1694">
        <f>D241</f>
        <v>9132</v>
      </c>
      <c r="L241" s="466">
        <v>11510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9132</v>
      </c>
      <c r="E243" s="617"/>
      <c r="F243" s="617"/>
      <c r="G243" s="617"/>
      <c r="H243" s="617"/>
      <c r="I243" s="617"/>
      <c r="J243" s="617"/>
      <c r="K243" s="1692">
        <f>SUM(K240:K242)</f>
        <v>9132</v>
      </c>
      <c r="L243" s="1692">
        <f>SUM(L240:L242)</f>
        <v>11510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f>487+350+82+1435</f>
        <v>2354</v>
      </c>
      <c r="E246" s="617"/>
      <c r="F246" s="617"/>
      <c r="G246" s="617"/>
      <c r="H246" s="617"/>
      <c r="I246" s="617"/>
      <c r="J246" s="617"/>
      <c r="K246" s="1694">
        <f t="shared" ref="K246:K256" si="21">D246</f>
        <v>2354</v>
      </c>
      <c r="L246" s="466">
        <v>1250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2354</v>
      </c>
      <c r="E257" s="617"/>
      <c r="F257" s="617"/>
      <c r="G257" s="617"/>
      <c r="H257" s="617"/>
      <c r="I257" s="617"/>
      <c r="J257" s="617"/>
      <c r="K257" s="1692">
        <f>SUM(K245:K256)</f>
        <v>2354</v>
      </c>
      <c r="L257" s="1692">
        <f>SUM(L245:L256)</f>
        <v>1250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1136+1650+1521+816+1215+1104+191+284+2474</f>
        <v>10391</v>
      </c>
      <c r="E259" s="617"/>
      <c r="F259" s="617"/>
      <c r="G259" s="617"/>
      <c r="H259" s="617"/>
      <c r="I259" s="617"/>
      <c r="J259" s="617"/>
      <c r="K259" s="1694">
        <f>D259</f>
        <v>10391</v>
      </c>
      <c r="L259" s="481">
        <v>9775</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10391</v>
      </c>
      <c r="E261" s="617"/>
      <c r="F261" s="617"/>
      <c r="G261" s="617"/>
      <c r="H261" s="617"/>
      <c r="I261" s="617"/>
      <c r="J261" s="617"/>
      <c r="K261" s="1692">
        <f>SUM(K259:K260)</f>
        <v>10391</v>
      </c>
      <c r="L261" s="1692">
        <f>SUM(L259:L260)</f>
        <v>9775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3050+2224+520</f>
        <v>5794</v>
      </c>
      <c r="E264" s="617"/>
      <c r="F264" s="617"/>
      <c r="G264" s="617"/>
      <c r="H264" s="617"/>
      <c r="I264" s="617"/>
      <c r="J264" s="617"/>
      <c r="K264" s="1694">
        <f t="shared" ref="K264:K269" si="22">D264</f>
        <v>5794</v>
      </c>
      <c r="L264" s="466">
        <v>6850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342+8009+418+11+12+340+36+5861+98+3+3+79+8+1371</f>
        <v>16591</v>
      </c>
      <c r="E266" s="617"/>
      <c r="F266" s="617"/>
      <c r="G266" s="617"/>
      <c r="H266" s="617"/>
      <c r="I266" s="617"/>
      <c r="J266" s="617"/>
      <c r="K266" s="1694">
        <f t="shared" si="22"/>
        <v>16591</v>
      </c>
      <c r="L266" s="466">
        <v>23000</v>
      </c>
    </row>
    <row r="267" spans="1:14" x14ac:dyDescent="0.2">
      <c r="A267" s="1526" t="s">
        <v>1010</v>
      </c>
      <c r="B267" s="615">
        <v>2550</v>
      </c>
      <c r="C267" s="617"/>
      <c r="D267" s="466">
        <f>3033+1864+2700+2802+1646+1959+655+385+458</f>
        <v>15502</v>
      </c>
      <c r="E267" s="617"/>
      <c r="F267" s="617"/>
      <c r="G267" s="617"/>
      <c r="H267" s="617"/>
      <c r="I267" s="617"/>
      <c r="J267" s="617"/>
      <c r="K267" s="1694">
        <f t="shared" si="22"/>
        <v>15502</v>
      </c>
      <c r="L267" s="466">
        <v>18750</v>
      </c>
    </row>
    <row r="268" spans="1:14" x14ac:dyDescent="0.2">
      <c r="A268" s="1526" t="s">
        <v>102</v>
      </c>
      <c r="B268" s="615">
        <v>2560</v>
      </c>
      <c r="C268" s="617"/>
      <c r="D268" s="466">
        <f>3119+1142+1826+2731+842+1321+639+197+309</f>
        <v>12126</v>
      </c>
      <c r="E268" s="617"/>
      <c r="F268" s="617"/>
      <c r="G268" s="617"/>
      <c r="H268" s="617"/>
      <c r="I268" s="617"/>
      <c r="J268" s="617"/>
      <c r="K268" s="1694">
        <f t="shared" si="22"/>
        <v>12126</v>
      </c>
      <c r="L268" s="466">
        <v>12700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50013</v>
      </c>
      <c r="E270" s="617"/>
      <c r="F270" s="617"/>
      <c r="G270" s="617"/>
      <c r="H270" s="617"/>
      <c r="I270" s="617"/>
      <c r="J270" s="617"/>
      <c r="K270" s="1692">
        <f>SUM(K263:K269)</f>
        <v>50013</v>
      </c>
      <c r="L270" s="1692">
        <f>SUM(L263:L269)</f>
        <v>61300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73387</v>
      </c>
      <c r="E279" s="617"/>
      <c r="F279" s="617"/>
      <c r="G279" s="617"/>
      <c r="H279" s="617"/>
      <c r="I279" s="617"/>
      <c r="J279" s="617"/>
      <c r="K279" s="1699">
        <f>SUM(K238,K243,K257,K261,K270,K277,K278)</f>
        <v>73387</v>
      </c>
      <c r="L279" s="1699">
        <f>SUM(L238,L243,L257,L261,L270,L277,L278)</f>
        <v>85260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105477</v>
      </c>
      <c r="E295" s="617"/>
      <c r="F295" s="617"/>
      <c r="G295" s="617"/>
      <c r="H295" s="1692">
        <f>H293</f>
        <v>0</v>
      </c>
      <c r="I295" s="617"/>
      <c r="J295" s="617"/>
      <c r="K295" s="1692">
        <f>SUM(K229,K279,K280,K285,K293,K294)</f>
        <v>105477</v>
      </c>
      <c r="L295" s="1692">
        <f>SUM(L229,L279,L280,L285,L293,L294)</f>
        <v>118315</v>
      </c>
    </row>
    <row r="296" spans="1:14" ht="13.5" thickTop="1" x14ac:dyDescent="0.2">
      <c r="A296" s="2199" t="s">
        <v>1053</v>
      </c>
      <c r="B296" s="2200"/>
      <c r="C296" s="617"/>
      <c r="D296" s="619"/>
      <c r="E296" s="617"/>
      <c r="F296" s="617"/>
      <c r="G296" s="617"/>
      <c r="H296" s="688"/>
      <c r="I296" s="617"/>
      <c r="J296" s="617"/>
      <c r="K296" s="1706">
        <f>'Revenues 9-14'!G275-'Expenditures 15-22'!K295</f>
        <v>40658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f>25096+9200+78028-112324</f>
        <v>0</v>
      </c>
      <c r="F301" s="466"/>
      <c r="G301" s="466">
        <v>112324</v>
      </c>
      <c r="H301" s="466"/>
      <c r="I301" s="467"/>
      <c r="J301" s="467"/>
      <c r="K301" s="1693">
        <f>SUM(C301:J301)</f>
        <v>112324</v>
      </c>
      <c r="L301" s="467">
        <v>103500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112324</v>
      </c>
      <c r="H303" s="1699">
        <f t="shared" si="23"/>
        <v>0</v>
      </c>
      <c r="I303" s="1699">
        <f t="shared" si="23"/>
        <v>0</v>
      </c>
      <c r="J303" s="1699">
        <f t="shared" si="23"/>
        <v>0</v>
      </c>
      <c r="K303" s="1699">
        <f t="shared" si="23"/>
        <v>112324</v>
      </c>
      <c r="L303" s="1699">
        <f t="shared" si="23"/>
        <v>103500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112324</v>
      </c>
      <c r="H312" s="1692">
        <f>SUM(H303,H310)</f>
        <v>0</v>
      </c>
      <c r="I312" s="1692">
        <f>SUM(I303)</f>
        <v>0</v>
      </c>
      <c r="J312" s="1692">
        <f>SUM(J303)</f>
        <v>0</v>
      </c>
      <c r="K312" s="1692">
        <f>SUM(K303,K310,K311)</f>
        <v>112324</v>
      </c>
      <c r="L312" s="1692">
        <f>SUM(L303,L310,L311)</f>
        <v>103500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96114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f>113799+1</f>
        <v>113800</v>
      </c>
      <c r="F322" s="467"/>
      <c r="G322" s="467"/>
      <c r="H322" s="467"/>
      <c r="I322" s="467"/>
      <c r="J322" s="467"/>
      <c r="K322" s="1693">
        <f t="shared" si="24"/>
        <v>113800</v>
      </c>
      <c r="L322" s="467">
        <v>120000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26696</v>
      </c>
      <c r="F327" s="467"/>
      <c r="G327" s="467"/>
      <c r="H327" s="467"/>
      <c r="I327" s="467"/>
      <c r="J327" s="467"/>
      <c r="K327" s="1693">
        <f t="shared" si="24"/>
        <v>26696</v>
      </c>
      <c r="L327" s="467">
        <v>2250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140496</v>
      </c>
      <c r="F330" s="1692">
        <f t="shared" si="25"/>
        <v>0</v>
      </c>
      <c r="G330" s="1692">
        <f t="shared" si="25"/>
        <v>0</v>
      </c>
      <c r="H330" s="1692">
        <f t="shared" si="25"/>
        <v>0</v>
      </c>
      <c r="I330" s="1692">
        <f t="shared" si="25"/>
        <v>0</v>
      </c>
      <c r="J330" s="1692">
        <f t="shared" si="25"/>
        <v>0</v>
      </c>
      <c r="K330" s="1692">
        <f>SUM(K319:K329)</f>
        <v>140496</v>
      </c>
      <c r="L330" s="1692">
        <f>SUM(L319:L329)</f>
        <v>122250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140496</v>
      </c>
      <c r="F342" s="1692">
        <f>SUM(F330)</f>
        <v>0</v>
      </c>
      <c r="G342" s="1692">
        <f>SUM(G330)</f>
        <v>0</v>
      </c>
      <c r="H342" s="1692">
        <f>SUM(H330,H334,H340)</f>
        <v>0</v>
      </c>
      <c r="I342" s="1692">
        <f>SUM(I330)</f>
        <v>0</v>
      </c>
      <c r="J342" s="1692">
        <f>SUM(J330)</f>
        <v>0</v>
      </c>
      <c r="K342" s="1692">
        <f>SUM(K330,K334,K340)</f>
        <v>140496</v>
      </c>
      <c r="L342" s="1699">
        <f>SUM(L330,L340,L341)</f>
        <v>122250</v>
      </c>
    </row>
    <row r="343" spans="1:14" ht="12.75" customHeight="1" thickTop="1" x14ac:dyDescent="0.2">
      <c r="A343" s="2185" t="s">
        <v>1053</v>
      </c>
      <c r="B343" s="2186"/>
      <c r="C343" s="617"/>
      <c r="D343" s="617"/>
      <c r="E343" s="617"/>
      <c r="F343" s="617"/>
      <c r="G343" s="617"/>
      <c r="H343" s="617"/>
      <c r="I343" s="617"/>
      <c r="J343" s="617"/>
      <c r="K343" s="1706">
        <f>'Revenues 9-14'!J275-'Expenditures 15-22'!K342</f>
        <v>8344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purl.org/dc/elements/1.1/"/>
    <ds:schemaRef ds:uri="http://schemas.microsoft.com/office/2006/documentManagement/types"/>
    <ds:schemaRef ds:uri="http://purl.org/dc/terms/"/>
    <ds:schemaRef ds:uri="4d435f69-8686-490b-bd6d-b153bf22ab50"/>
    <ds:schemaRef ds:uri="http://schemas.microsoft.com/office/infopath/2007/PartnerControls"/>
    <ds:schemaRef ds:uri="http://schemas.openxmlformats.org/package/2006/metadata/core-properties"/>
    <ds:schemaRef ds:uri="d21dc803-237d-4c68-8692-8d731fd29118"/>
    <ds:schemaRef ds:uri="http://purl.org/dc/dcmitype/"/>
    <ds:schemaRef ds:uri="http://schemas.microsoft.com/sharepoint/v3"/>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2018-07-31T16:34:21Z</cp:lastPrinted>
  <dcterms:created xsi:type="dcterms:W3CDTF">2003-10-29T19:06:34Z</dcterms:created>
  <dcterms:modified xsi:type="dcterms:W3CDTF">2018-12-27T17:12:28Z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