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5)" sheetId="186" r:id="rId32"/>
    <sheet name=" SEFA (6)" sheetId="189" r:id="rId33"/>
    <sheet name=" SEFA (7)" sheetId="190" r:id="rId34"/>
    <sheet name="SF&amp;QC Sec-1" sheetId="174" r:id="rId35"/>
    <sheet name="SF&amp;QC Sec-2" sheetId="175" r:id="rId36"/>
    <sheet name="SF&amp;QC Sec-2 (2)" sheetId="187" r:id="rId37"/>
    <sheet name="SF&amp;QC Sec-2 (3)" sheetId="188" r:id="rId38"/>
    <sheet name="SF&amp;QC Sec-3" sheetId="176" r:id="rId39"/>
    <sheet name="SSPAF" sheetId="177" r:id="rId40"/>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(5)'!$B$1:$M$46</definedName>
    <definedName name="_xlnm.Print_Area" localSheetId="32">' SEFA (6)'!$B$1:$M$46</definedName>
    <definedName name="_xlnm.Print_Area" localSheetId="33">' SEFA (7)'!$B$1:$M$46</definedName>
    <definedName name="_xlnm.Print_Area" localSheetId="27">'SEFA NOTES'!$A$1:$F$52</definedName>
    <definedName name="_xlnm.Print_Area" localSheetId="26">'SEFA Reconcile'!$A$1:$E$49</definedName>
    <definedName name="_xlnm.Print_Area" localSheetId="34">'SF&amp;QC Sec-1'!$A$1:$J$63</definedName>
    <definedName name="_xlnm.Print_Area" localSheetId="38">'SF&amp;QC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31'!$1:$19</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62913"/>
</workbook>
</file>

<file path=xl/calcChain.xml><?xml version="1.0" encoding="utf-8"?>
<calcChain xmlns="http://schemas.openxmlformats.org/spreadsheetml/2006/main">
  <c r="G39" i="174" l="1"/>
  <c r="E11" i="108"/>
  <c r="K21" i="189"/>
  <c r="K27" i="189" s="1"/>
  <c r="I21" i="189"/>
  <c r="I27" i="189" s="1"/>
  <c r="G21" i="189"/>
  <c r="G27" i="189" s="1"/>
  <c r="E21" i="189"/>
  <c r="E27" i="189" s="1"/>
  <c r="E16" i="189"/>
  <c r="F16" i="189"/>
  <c r="F21" i="189" s="1"/>
  <c r="F27" i="189" s="1"/>
  <c r="G16" i="189"/>
  <c r="H16" i="189"/>
  <c r="H21" i="189" s="1"/>
  <c r="H27" i="189" s="1"/>
  <c r="I16" i="189"/>
  <c r="J16" i="189"/>
  <c r="J21" i="189" s="1"/>
  <c r="J27" i="189" s="1"/>
  <c r="K16" i="189"/>
  <c r="K20" i="186"/>
  <c r="J20" i="186"/>
  <c r="I20" i="186"/>
  <c r="H20" i="186"/>
  <c r="G20" i="186"/>
  <c r="F20" i="186"/>
  <c r="E20" i="186"/>
  <c r="K16" i="186"/>
  <c r="K27" i="186" s="1"/>
  <c r="J16" i="186"/>
  <c r="J27" i="186" s="1"/>
  <c r="I16" i="186"/>
  <c r="I27" i="186" s="1"/>
  <c r="H16" i="186"/>
  <c r="H27" i="186" s="1"/>
  <c r="G16" i="186"/>
  <c r="L16" i="186" s="1"/>
  <c r="F16" i="186"/>
  <c r="F27" i="186" s="1"/>
  <c r="E16" i="186"/>
  <c r="E27" i="186" s="1"/>
  <c r="L15" i="186"/>
  <c r="L14" i="186"/>
  <c r="L13" i="186"/>
  <c r="L12" i="186"/>
  <c r="L11" i="186"/>
  <c r="E21" i="184"/>
  <c r="F21" i="184"/>
  <c r="G21" i="184"/>
  <c r="H21" i="184"/>
  <c r="I21" i="184"/>
  <c r="J21" i="184"/>
  <c r="K21" i="184"/>
  <c r="K16" i="184"/>
  <c r="K23" i="184" s="1"/>
  <c r="J16" i="184"/>
  <c r="J23" i="184" s="1"/>
  <c r="I16" i="184"/>
  <c r="I23" i="184" s="1"/>
  <c r="H16" i="184"/>
  <c r="H23" i="184" s="1"/>
  <c r="G16" i="184"/>
  <c r="G23" i="184" s="1"/>
  <c r="F16" i="184"/>
  <c r="F23" i="184" s="1"/>
  <c r="E16" i="184"/>
  <c r="E23" i="184" s="1"/>
  <c r="E24" i="183"/>
  <c r="F24" i="183"/>
  <c r="G24" i="183"/>
  <c r="H24" i="183"/>
  <c r="I24" i="183"/>
  <c r="J24" i="183"/>
  <c r="K24" i="183"/>
  <c r="K17" i="183"/>
  <c r="J17" i="183"/>
  <c r="I17" i="183"/>
  <c r="H17" i="183"/>
  <c r="G17" i="183"/>
  <c r="F17" i="183"/>
  <c r="E17" i="183"/>
  <c r="K21" i="179"/>
  <c r="J21" i="179"/>
  <c r="I21" i="179"/>
  <c r="H21" i="179"/>
  <c r="G21" i="179"/>
  <c r="F21" i="179"/>
  <c r="E21" i="179"/>
  <c r="K16" i="179"/>
  <c r="K27" i="179" s="1"/>
  <c r="J16" i="179"/>
  <c r="J27" i="179" s="1"/>
  <c r="I16" i="179"/>
  <c r="I27" i="179" s="1"/>
  <c r="H16" i="179"/>
  <c r="H27" i="179" s="1"/>
  <c r="G16" i="179"/>
  <c r="G27" i="179" s="1"/>
  <c r="F16" i="179"/>
  <c r="F27" i="179" s="1"/>
  <c r="E16" i="179"/>
  <c r="E27" i="179" s="1"/>
  <c r="E27" i="184" l="1"/>
  <c r="G27" i="184"/>
  <c r="I27" i="184"/>
  <c r="K27" i="184"/>
  <c r="H18" i="190"/>
  <c r="E18" i="190"/>
  <c r="I18" i="190"/>
  <c r="F27" i="184"/>
  <c r="F18" i="190" s="1"/>
  <c r="H27" i="184"/>
  <c r="J27" i="184"/>
  <c r="J18" i="190" s="1"/>
  <c r="K18" i="190"/>
  <c r="G27" i="186"/>
  <c r="G18" i="190" s="1"/>
  <c r="L18" i="190" s="1"/>
  <c r="L27" i="190"/>
  <c r="L26" i="190"/>
  <c r="L25" i="190"/>
  <c r="L24" i="190"/>
  <c r="L23" i="190"/>
  <c r="L22" i="190"/>
  <c r="L21" i="190"/>
  <c r="L20" i="190"/>
  <c r="L19" i="190"/>
  <c r="L17" i="190"/>
  <c r="L16" i="190"/>
  <c r="L15" i="190"/>
  <c r="L14" i="190"/>
  <c r="L13" i="190"/>
  <c r="L12" i="190"/>
  <c r="L11" i="190"/>
  <c r="B4" i="190"/>
  <c r="L27" i="189"/>
  <c r="L26" i="189"/>
  <c r="L25" i="189"/>
  <c r="L24" i="189"/>
  <c r="L23" i="189"/>
  <c r="L22" i="189"/>
  <c r="L21" i="189"/>
  <c r="L20" i="189"/>
  <c r="L19" i="189"/>
  <c r="L18" i="189"/>
  <c r="L17" i="189"/>
  <c r="L16" i="189"/>
  <c r="L15" i="189"/>
  <c r="L14" i="189"/>
  <c r="L13" i="189"/>
  <c r="L12" i="189"/>
  <c r="L11" i="189"/>
  <c r="B4" i="189"/>
  <c r="B4" i="188"/>
  <c r="B4" i="187"/>
  <c r="L27" i="186"/>
  <c r="L26" i="186"/>
  <c r="L25" i="186"/>
  <c r="L24" i="186"/>
  <c r="L23" i="186"/>
  <c r="L22" i="186"/>
  <c r="L21" i="186"/>
  <c r="L20" i="186"/>
  <c r="L19" i="186"/>
  <c r="L18" i="186"/>
  <c r="L17" i="186"/>
  <c r="B4" i="186"/>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M19" i="3" l="1"/>
  <c r="H171" i="29"/>
  <c r="D107"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F35" i="181"/>
  <c r="G35" i="181" s="1"/>
  <c r="E35" i="181"/>
  <c r="F34" i="181"/>
  <c r="G34" i="181" s="1"/>
  <c r="E34" i="181"/>
  <c r="F33" i="181"/>
  <c r="G33" i="181" s="1"/>
  <c r="E33" i="181"/>
  <c r="F32" i="181"/>
  <c r="G32" i="181" s="1"/>
  <c r="E32" i="181"/>
  <c r="F31" i="181"/>
  <c r="G31" i="181" s="1"/>
  <c r="E31" i="181"/>
  <c r="E30" i="181"/>
  <c r="F30" i="181" s="1"/>
  <c r="G30" i="181" s="1"/>
  <c r="F29" i="181"/>
  <c r="G29" i="181" s="1"/>
  <c r="E29" i="181"/>
  <c r="F28" i="181"/>
  <c r="G28" i="181" s="1"/>
  <c r="E28" i="181"/>
  <c r="F27" i="181"/>
  <c r="G27" i="181" s="1"/>
  <c r="E27" i="181"/>
  <c r="E26" i="181"/>
  <c r="F26" i="181" s="1"/>
  <c r="G26" i="181" s="1"/>
  <c r="F25" i="181"/>
  <c r="G25" i="181" s="1"/>
  <c r="E25" i="181"/>
  <c r="F38" i="181"/>
  <c r="G38" i="181" s="1"/>
  <c r="E38" i="181"/>
  <c r="F24" i="181"/>
  <c r="G24" i="181" s="1"/>
  <c r="E24" i="181"/>
  <c r="E23" i="181"/>
  <c r="F23" i="181" s="1"/>
  <c r="G23" i="181" s="1"/>
  <c r="F22" i="181"/>
  <c r="G22" i="181" s="1"/>
  <c r="E22" i="181"/>
  <c r="F21" i="181"/>
  <c r="G21" i="181" s="1"/>
  <c r="E21" i="181"/>
  <c r="E20" i="181"/>
  <c r="F20" i="181" s="1"/>
  <c r="G20" i="181" s="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9"/>
  <c r="B1" i="187"/>
  <c r="B1" i="186"/>
  <c r="B1" i="184"/>
  <c r="B1" i="183"/>
  <c r="B1" i="188"/>
  <c r="B2" i="179"/>
  <c r="B2" i="188"/>
  <c r="B2" i="190"/>
  <c r="B2" i="189"/>
  <c r="B2" i="187"/>
  <c r="B2" i="186"/>
  <c r="B2" i="184"/>
  <c r="B2" i="183"/>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s="1"/>
  <c r="B6369" i="106"/>
  <c r="D6369" i="106" s="1"/>
  <c r="B6370" i="106"/>
  <c r="D6370" i="106"/>
  <c r="B6371" i="106"/>
  <c r="D6371" i="106" s="1"/>
  <c r="B6372" i="106"/>
  <c r="D6372" i="106" s="1"/>
  <c r="B6373" i="106"/>
  <c r="D6373" i="106" s="1"/>
  <c r="B6374" i="106"/>
  <c r="D6374" i="106" s="1"/>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s="1"/>
  <c r="B6823" i="106"/>
  <c r="D6823" i="106" s="1"/>
  <c r="B6824" i="106"/>
  <c r="D6824" i="106" s="1"/>
  <c r="B6825" i="106"/>
  <c r="D6825" i="106"/>
  <c r="B6826" i="106"/>
  <c r="D6826" i="106" s="1"/>
  <c r="B6827" i="106"/>
  <c r="D6827" i="106" s="1"/>
  <c r="B6828" i="106"/>
  <c r="D6828" i="106" s="1"/>
  <c r="B6829" i="106"/>
  <c r="D6829" i="106" s="1"/>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13" i="7"/>
  <c r="B3726" i="106" s="1"/>
  <c r="D3726" i="106" s="1"/>
  <c r="B5770" i="106"/>
  <c r="D5770" i="106" s="1"/>
  <c r="F131" i="34"/>
  <c r="F128" i="34"/>
  <c r="F111" i="34"/>
  <c r="B5847" i="106"/>
  <c r="D5847" i="106" s="1"/>
  <c r="B5752" i="106"/>
  <c r="D5752" i="106" s="1"/>
  <c r="B5599" i="106"/>
  <c r="D5599" i="106" s="1"/>
  <c r="K274" i="5"/>
  <c r="H109" i="5"/>
  <c r="B6025" i="106" s="1"/>
  <c r="D6025" i="106" s="1"/>
  <c r="D109" i="5"/>
  <c r="B5356" i="106" s="1"/>
  <c r="D5356" i="106" s="1"/>
  <c r="F106" i="34"/>
  <c r="B1746" i="106"/>
  <c r="D1746" i="106" s="1"/>
  <c r="D12" i="7"/>
  <c r="B1769" i="106" s="1"/>
  <c r="D1769" i="106" s="1"/>
  <c r="J41" i="3" l="1"/>
  <c r="K285" i="29"/>
  <c r="G210" i="29"/>
  <c r="E174" i="29"/>
  <c r="B1309" i="106" s="1"/>
  <c r="D1309" i="106" s="1"/>
  <c r="C129" i="29"/>
  <c r="B7041" i="106"/>
  <c r="D7041" i="106" s="1"/>
  <c r="H173" i="5"/>
  <c r="F127" i="34"/>
  <c r="F130" i="34"/>
  <c r="F136" i="34"/>
  <c r="G5" i="4"/>
  <c r="B3409" i="106" s="1"/>
  <c r="D3409" i="106" s="1"/>
  <c r="I274" i="5"/>
  <c r="B5096" i="106"/>
  <c r="D5096" i="106" s="1"/>
  <c r="B7235" i="106"/>
  <c r="D7235" i="106" s="1"/>
  <c r="C352" i="29"/>
  <c r="K41" i="3"/>
  <c r="L15" i="11"/>
  <c r="B3459" i="106" s="1"/>
  <c r="D3459" i="106" s="1"/>
  <c r="F28" i="108"/>
  <c r="E28" i="108"/>
  <c r="B281" i="106"/>
  <c r="D281" i="106" s="1"/>
  <c r="L13" i="11"/>
  <c r="B2060" i="106" s="1"/>
  <c r="D2060" i="106" s="1"/>
  <c r="K24" i="12"/>
  <c r="L367" i="29"/>
  <c r="L342" i="29"/>
  <c r="L312" i="29"/>
  <c r="F19" i="7"/>
  <c r="B1807" i="106" s="1"/>
  <c r="D1807" i="106" s="1"/>
  <c r="C172" i="5"/>
  <c r="B5214" i="106" s="1"/>
  <c r="D5214" i="106" s="1"/>
  <c r="G352" i="29"/>
  <c r="K352" i="29"/>
  <c r="K13" i="4" s="1"/>
  <c r="B3572" i="106" s="1"/>
  <c r="D3572" i="106" s="1"/>
  <c r="B1410" i="106"/>
  <c r="D1410" i="106" s="1"/>
  <c r="K184" i="29"/>
  <c r="F13" i="4" s="1"/>
  <c r="B2596" i="106" s="1"/>
  <c r="D2596" i="106" s="1"/>
  <c r="B1329" i="106"/>
  <c r="D1329" i="106" s="1"/>
  <c r="F61" i="34"/>
  <c r="F52" i="34"/>
  <c r="G39" i="108"/>
  <c r="D37" i="108"/>
  <c r="F37" i="108"/>
  <c r="H4" i="4"/>
  <c r="B2655" i="106" s="1"/>
  <c r="D2655" i="106" s="1"/>
  <c r="G4" i="4"/>
  <c r="B2603" i="106" s="1"/>
  <c r="D2603" i="106" s="1"/>
  <c r="E109" i="5"/>
  <c r="E4" i="4" s="1"/>
  <c r="B2630" i="106" s="1"/>
  <c r="D2630" i="106" s="1"/>
  <c r="D4" i="4"/>
  <c r="B2564" i="106" s="1"/>
  <c r="D2564" i="106" s="1"/>
  <c r="B5165" i="106"/>
  <c r="D5165" i="106" s="1"/>
  <c r="C173" i="5"/>
  <c r="B5223" i="106" s="1"/>
  <c r="D5223" i="106" s="1"/>
  <c r="C109" i="5"/>
  <c r="B5121" i="106" s="1"/>
  <c r="D5121" i="106" s="1"/>
  <c r="D11" i="7"/>
  <c r="B1768" i="106" s="1"/>
  <c r="D1768" i="106" s="1"/>
  <c r="D7" i="7"/>
  <c r="B1763" i="106" s="1"/>
  <c r="D1763" i="106" s="1"/>
  <c r="D15" i="7"/>
  <c r="B1772" i="106" s="1"/>
  <c r="D1772"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D19" i="7"/>
  <c r="B1775" i="106" s="1"/>
  <c r="D1775" i="106" s="1"/>
  <c r="B7270" i="106"/>
  <c r="D7255" i="106" l="1"/>
  <c r="D7253" i="106"/>
  <c r="D7252" i="106"/>
  <c r="B3621" i="106"/>
  <c r="D3621" i="106" s="1"/>
  <c r="C367" i="29"/>
  <c r="B3622" i="106" s="1"/>
  <c r="D3622" i="106" s="1"/>
  <c r="B5906" i="106"/>
  <c r="D5906" i="106" s="1"/>
  <c r="H6" i="4"/>
  <c r="B1365" i="106"/>
  <c r="D1365" i="106" s="1"/>
  <c r="F65" i="34"/>
  <c r="H367" i="29"/>
  <c r="B3660" i="106" s="1"/>
  <c r="D3660" i="106" s="1"/>
  <c r="B3568" i="106"/>
  <c r="D3568" i="106" s="1"/>
  <c r="D52" i="36"/>
  <c r="F73" i="34"/>
  <c r="G15" i="4"/>
  <c r="B6032" i="106" s="1"/>
  <c r="D6032" i="106" s="1"/>
  <c r="F41" i="108"/>
  <c r="G43" i="108" s="1"/>
  <c r="L16" i="11"/>
  <c r="B2061" i="106" s="1"/>
  <c r="D2061" i="106" s="1"/>
  <c r="B2031" i="106"/>
  <c r="D2031" i="106" s="1"/>
  <c r="B7733" i="106"/>
  <c r="D7733" i="106" s="1"/>
  <c r="K26" i="12"/>
  <c r="B7743" i="106" s="1"/>
  <c r="D7743" i="106" s="1"/>
  <c r="L114" i="29"/>
  <c r="B5527" i="106"/>
  <c r="D5527" i="106" s="1"/>
  <c r="B3649" i="106"/>
  <c r="D3649" i="106" s="1"/>
  <c r="G367" i="29"/>
  <c r="B3650" i="106" s="1"/>
  <c r="D3650" i="106" s="1"/>
  <c r="K342" i="29"/>
  <c r="F13" i="34" s="1"/>
  <c r="B1381" i="106"/>
  <c r="D1381" i="106" s="1"/>
  <c r="C114" i="29"/>
  <c r="B757" i="106" s="1"/>
  <c r="D757" i="106" s="1"/>
  <c r="B5653" i="106"/>
  <c r="D5653" i="106" s="1"/>
  <c r="F275" i="5"/>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6" i="106" l="1"/>
  <c r="D2656" i="106" s="1"/>
  <c r="H8" i="4"/>
  <c r="B1145" i="106"/>
  <c r="D1145" i="106" s="1"/>
  <c r="G41" i="108"/>
  <c r="G44" i="108" s="1"/>
  <c r="G45" i="108" s="1"/>
  <c r="J8" i="4"/>
  <c r="F8" i="4"/>
  <c r="F10" i="4" s="1"/>
  <c r="B4125" i="106" s="1"/>
  <c r="D4125" i="106" s="1"/>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658" i="106" l="1"/>
  <c r="D2658" i="106" s="1"/>
  <c r="H10" i="4"/>
  <c r="B4127" i="106" s="1"/>
  <c r="D4127" i="106" s="1"/>
  <c r="J20" i="4"/>
  <c r="B6230" i="106" s="1"/>
  <c r="D6230" i="106" s="1"/>
  <c r="F76" i="34"/>
  <c r="J10" i="4"/>
  <c r="B6225" i="106" s="1"/>
  <c r="D6225" i="106" s="1"/>
  <c r="B6223" i="106"/>
  <c r="D6223" i="106" s="1"/>
  <c r="B2595" i="106"/>
  <c r="D2595" i="106" s="1"/>
  <c r="D8" i="146"/>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l="1"/>
  <c r="J81" i="4" s="1"/>
  <c r="B2568" i="106"/>
  <c r="D2568" i="106" s="1"/>
  <c r="C8" i="146"/>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8" i="146" l="1"/>
  <c r="F179" i="34"/>
  <c r="F79" i="34"/>
  <c r="B6263" i="106"/>
  <c r="D6263" i="106" s="1"/>
  <c r="D78" i="4"/>
  <c r="D81" i="4" s="1"/>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<sst xmlns="http://schemas.openxmlformats.org/spreadsheetml/2006/main" count="5538" uniqueCount="2226">
  <si>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</si>
  <si>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</si>
  <si>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</si>
  <si>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</si>
  <si>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</si>
  <si>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</si>
  <si>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</si>
  <si>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</si>
  <si>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</si>
  <si>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</si>
  <si>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</si>
  <si>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</si>
  <si>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</si>
  <si>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</si>
  <si>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</si>
  <si>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</si>
  <si>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</si>
  <si>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</si>
  <si>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</si>
  <si>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</si>
  <si>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</si>
  <si>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</si>
  <si>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</si>
  <si>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</si>
  <si>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</si>
  <si>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</si>
  <si>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</si>
  <si>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</si>
  <si>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</si>
  <si>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</si>
  <si>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</si>
  <si>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</si>
  <si>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</si>
  <si>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</si>
  <si>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</si>
  <si>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</si>
  <si>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</si>
  <si>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</si>
  <si>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</si>
  <si>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</si>
  <si>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</si>
  <si>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</si>
  <si>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</si>
  <si>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</si>
  <si>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</si>
  <si>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</si>
  <si>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</si>
  <si>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</si>
  <si>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</si>
  <si>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</si>
  <si>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</si>
  <si>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</si>
  <si>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</si>
  <si>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</si>
  <si>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</si>
  <si>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</si>
  <si>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</si>
  <si>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</si>
  <si>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</si>
  <si>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</si>
  <si>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</si>
  <si>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</si>
  <si>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</si>
  <si>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</si>
  <si>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</si>
  <si>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</si>
  <si>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</si>
  <si>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</si>
  <si>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</si>
  <si>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</si>
  <si>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</si>
  <si>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</si>
  <si>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</si>
  <si>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</si>
  <si>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</si>
  <si>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</si>
  <si>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</si>
  <si>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</si>
  <si>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</si>
  <si>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</si>
  <si>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</si>
  <si>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</si>
  <si>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</si>
  <si>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</si>
  <si>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</si>
  <si>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</si>
  <si>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</si>
  <si>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</si>
  <si>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</si>
  <si>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</si>
  <si>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</si>
  <si>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</si>
  <si>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</si>
  <si>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</si>
  <si>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</si>
  <si>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</si>
  <si>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</si>
  <si>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</si>
  <si>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</si>
  <si>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</si>
  <si>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</si>
  <si>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</si>
  <si>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</si>
  <si>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</si>
  <si>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</si>
  <si>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</si>
  <si>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</si>
  <si>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</si>
  <si>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</si>
  <si>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</si>
  <si>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</si>
  <si>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</si>
  <si>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</si>
  <si>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</si>
  <si>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</si>
  <si>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</si>
  <si>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</si>
  <si>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</si>
  <si>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</si>
  <si>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</si>
  <si>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</si>
  <si>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</si>
  <si>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</si>
  <si>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</si>
  <si>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</si>
  <si>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</si>
  <si>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</si>
  <si>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</si>
  <si>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</si>
  <si>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</si>
  <si>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</si>
  <si>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</si>
  <si>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</si>
  <si>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</si>
  <si>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</si>
  <si>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</si>
  <si>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</si>
  <si>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</si>
  <si>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</si>
  <si>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</si>
  <si>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</si>
  <si>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</si>
  <si>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</si>
  <si>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</si>
  <si>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</si>
  <si>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</si>
  <si>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</si>
  <si>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</si>
  <si>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</si>
  <si>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</si>
  <si>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</si>
  <si>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</si>
  <si>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</si>
  <si>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</si>
  <si>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</si>
  <si>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</si>
  <si>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</si>
  <si>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</si>
  <si>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</si>
  <si>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</si>
  <si>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</si>
  <si>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</si>
  <si>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</si>
  <si>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</si>
  <si>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</si>
  <si>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</si>
  <si>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</si>
  <si>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</si>
  <si>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</si>
  <si>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</si>
  <si>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</si>
  <si>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</si>
  <si>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</si>
  <si>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</si>
  <si>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</si>
  <si>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</si>
  <si>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</si>
  <si>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</si>
  <si>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</si>
  <si>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</si>
  <si>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</si>
  <si>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</si>
  <si>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</si>
  <si>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</si>
  <si>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</si>
  <si>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</si>
  <si>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</si>
  <si>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</si>
  <si>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</si>
  <si>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</si>
  <si>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</si>
  <si>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</si>
  <si>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</si>
  <si>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</si>
  <si>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</si>
  <si>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</si>
  <si>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</si>
  <si>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</si>
  <si>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</si>
  <si>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</si>
  <si>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</si>
  <si>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</si>
  <si>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</si>
  <si>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</si>
  <si>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</si>
  <si>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</si>
  <si>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</si>
  <si>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</si>
  <si>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</si>
  <si>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</si>
  <si>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</si>
  <si>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</si>
  <si>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</si>
  <si>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</si>
  <si>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</si>
  <si>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</si>
  <si>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</si>
  <si>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</si>
  <si>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</si>
  <si>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</si>
  <si>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</si>
  <si>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</si>
  <si>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</si>
  <si>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</si>
  <si>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</si>
  <si>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</si>
  <si>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</si>
  <si>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</si>
  <si>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</si>
  <si>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</si>
  <si>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</si>
  <si>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</si>
  <si>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</si>
  <si>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</si>
  <si>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</si>
  <si>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</si>
  <si>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</si>
  <si>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</si>
  <si>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</si>
  <si>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</si>
  <si>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</si>
  <si>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</si>
  <si>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</si>
  <si>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</si>
  <si>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</si>
  <si>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</si>
  <si>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</si>
  <si>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</si>
  <si>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</si>
  <si>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</si>
  <si>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</si>
  <si>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</si>
  <si>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</si>
  <si>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</si>
  <si>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</si>
  <si>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</si>
  <si>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</si>
  <si>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</si>
  <si>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</si>
  <si>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</si>
  <si>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</si>
  <si>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</si>
  <si>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</si>
  <si>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</si>
  <si>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</si>
  <si>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</si>
  <si>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</si>
  <si>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</si>
  <si>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</si>
  <si>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</si>
  <si>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</si>
  <si>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</si>
  <si>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</si>
  <si>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</si>
  <si>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</si>
  <si>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</si>
  <si>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</si>
  <si>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</si>
  <si>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</si>
  <si>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</si>
  <si>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</si>
  <si>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</si>
  <si>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</si>
  <si>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</si>
  <si>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</si>
  <si>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</si>
  <si>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</si>
  <si>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</si>
  <si>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</si>
  <si>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</si>
  <si>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</si>
  <si>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</si>
  <si>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</si>
  <si>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</si>
  <si>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</si>
  <si>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</si>
  <si>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</si>
  <si>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</si>
  <si>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</si>
  <si>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</si>
  <si>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</si>
  <si>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</si>
  <si>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</si>
  <si>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</si>
  <si>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</si>
  <si>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</si>
  <si>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</si>
  <si>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</si>
  <si>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</si>
  <si>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</si>
  <si>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</si>
  <si>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</si>
  <si>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</si>
  <si>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</si>
  <si>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</si>
  <si>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</si>
  <si>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</si>
  <si>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</si>
  <si>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</si>
  <si>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</si>
  <si>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</si>
  <si>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</si>
  <si>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</si>
  <si>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</si>
  <si>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</si>
  <si>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</si>
  <si>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</si>
  <si>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</si>
  <si>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</si>
  <si>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</si>
  <si>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</si>
  <si>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</si>
  <si>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</si>
  <si>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</si>
  <si>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</si>
  <si>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</si>
  <si>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</si>
  <si>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</si>
  <si>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</si>
  <si>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</si>
  <si>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</si>
  <si>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</si>
  <si>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</si>
  <si>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</si>
  <si>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</si>
  <si>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</si>
  <si>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</si>
  <si>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</si>
  <si>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</si>
  <si>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</si>
  <si>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</si>
  <si>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</si>
  <si>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</si>
  <si>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</si>
  <si>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</si>
  <si>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</si>
  <si>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</si>
  <si>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</si>
  <si>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</si>
  <si>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</si>
  <si>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</si>
  <si>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</si>
  <si>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</si>
  <si>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</si>
  <si>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</si>
  <si>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</si>
  <si>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</si>
  <si>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</si>
  <si>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</si>
  <si>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</si>
  <si>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</si>
  <si>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</si>
  <si>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</si>
  <si>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</si>
  <si>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</si>
  <si>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</si>
  <si>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</si>
  <si>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</si>
  <si>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</si>
  <si>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</si>
  <si>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</si>
  <si>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</si>
  <si>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</si>
  <si>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</si>
  <si>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</si>
  <si>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</si>
  <si>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</si>
  <si>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</si>
  <si>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</si>
  <si>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</si>
  <si>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</si>
  <si>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</si>
  <si>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</si>
  <si>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</si>
  <si>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</si>
  <si>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</si>
  <si>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</si>
  <si>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</si>
  <si>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</si>
  <si>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</si>
  <si>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</si>
  <si>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</si>
  <si>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</si>
  <si>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</si>
  <si>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</si>
  <si>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</si>
  <si>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</si>
  <si>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</si>
  <si>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</si>
  <si>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</si>
  <si>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</si>
  <si>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</si>
  <si>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</si>
  <si>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</si>
  <si>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</si>
  <si>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</si>
  <si>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</si>
  <si>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</si>
  <si>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</si>
  <si>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</si>
  <si>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</si>
  <si>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</si>
  <si>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</si>
  <si>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</si>
  <si>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</si>
  <si>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</si>
  <si>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</si>
  <si>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</si>
  <si>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</si>
  <si>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</si>
  <si>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</si>
  <si>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</si>
  <si>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</si>
  <si>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</si>
  <si>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</si>
  <si>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</si>
  <si>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</si>
  <si>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</si>
  <si>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</si>
  <si>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</si>
  <si>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</si>
  <si>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</si>
  <si>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</si>
  <si>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</si>
  <si>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</si>
  <si>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</si>
  <si>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</si>
  <si>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</si>
  <si>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</si>
  <si>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</si>
  <si>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</si>
  <si>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</si>
  <si>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</si>
  <si>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</si>
  <si>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</si>
  <si>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</si>
  <si>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</si>
  <si>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</si>
  <si>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</si>
  <si>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</si>
  <si>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</si>
  <si>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</si>
  <si>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</si>
  <si>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</si>
  <si>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</si>
  <si>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</si>
  <si>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</si>
  <si>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</si>
  <si>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</si>
  <si>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</si>
  <si>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</si>
  <si>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</si>
  <si>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</si>
  <si>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</si>
  <si>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</si>
  <si>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</si>
  <si>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</si>
  <si>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</si>
  <si>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</si>
  <si>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</si>
  <si>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</si>
  <si>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</si>
  <si>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</si>
  <si>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</si>
  <si>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</si>
  <si>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</si>
  <si>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</si>
  <si>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</si>
  <si>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</si>
  <si>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</si>
  <si>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</si>
  <si>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</si>
  <si>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</si>
  <si>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</si>
  <si>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</si>
  <si>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</si>
  <si>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</si>
  <si>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</si>
  <si>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</si>
  <si>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</si>
  <si>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</si>
  <si>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</si>
  <si>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</si>
  <si>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</si>
  <si>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</si>
  <si>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</si>
  <si>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</si>
  <si>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</si>
  <si>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</si>
  <si>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</si>
  <si>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</si>
  <si>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</si>
  <si>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</si>
  <si>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</si>
  <si>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</si>
  <si>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</si>
  <si>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</si>
  <si>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</si>
  <si>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</si>
  <si>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</si>
  <si>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</si>
  <si>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</si>
  <si>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</si>
  <si>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</si>
  <si>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</si>
  <si>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</si>
  <si>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</si>
  <si>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</si>
  <si>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</si>
  <si>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</si>
  <si>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</si>
  <si>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</si>
  <si>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</si>
  <si>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</si>
  <si>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</si>
  <si>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</si>
  <si>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</si>
  <si>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</si>
  <si>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</si>
  <si>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</si>
  <si>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</si>
  <si>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</si>
  <si>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</si>
  <si>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</si>
  <si>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</si>
  <si>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</si>
  <si>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</si>
  <si>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</si>
  <si>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</si>
  <si>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</si>
  <si>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</si>
  <si>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</si>
  <si>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</si>
  <si>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</si>
  <si>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</si>
  <si>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</si>
  <si>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</si>
  <si>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</si>
  <si>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</si>
  <si>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</si>
  <si>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</si>
  <si>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</si>
  <si>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</si>
  <si>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</si>
  <si>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</si>
  <si>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</si>
  <si>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</si>
  <si>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</si>
  <si>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</si>
  <si>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</si>
  <si>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</si>
  <si>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</si>
  <si>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</si>
  <si>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</si>
  <si>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</si>
  <si>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</si>
  <si>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</si>
  <si>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</si>
  <si>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</si>
  <si>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</si>
  <si>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</si>
  <si>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</si>
  <si>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</si>
  <si>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</si>
  <si>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</si>
  <si>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</si>
  <si>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</si>
  <si>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</si>
  <si>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</si>
  <si>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</si>
  <si>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</si>
  <si>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</si>
  <si>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</si>
  <si>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</si>
  <si>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</si>
  <si>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</si>
  <si>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</si>
  <si>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</si>
  <si>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</si>
  <si>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</si>
  <si>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</si>
  <si>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</si>
  <si>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</si>
  <si>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</si>
  <si>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</si>
  <si>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</si>
  <si>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</si>
  <si>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</si>
  <si>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</si>
  <si>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</si>
  <si>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</si>
  <si>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</si>
  <si>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</si>
  <si>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</si>
  <si>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</si>
  <si>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</si>
  <si>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</si>
  <si>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</si>
  <si>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</si>
  <si>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</si>
  <si>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</si>
  <si>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</si>
  <si>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</si>
  <si>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</si>
  <si>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</si>
  <si>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</si>
  <si>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</si>
  <si>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</si>
  <si>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</si>
  <si>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</si>
  <si>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</si>
  <si>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</si>
  <si>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</si>
  <si>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</si>
  <si>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</si>
  <si>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</si>
  <si>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</si>
  <si>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</si>
  <si>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</si>
  <si>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</si>
  <si>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</si>
  <si>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</si>
  <si>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</si>
  <si>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</si>
  <si>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</si>
  <si>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</si>
  <si>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</si>
  <si>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</si>
  <si>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</si>
  <si>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</si>
  <si>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</si>
  <si>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</si>
  <si>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</si>
  <si>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</si>
  <si>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</si>
  <si>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</si>
  <si>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</si>
  <si>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</si>
  <si>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</si>
  <si>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</si>
  <si>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</si>
  <si>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</si>
  <si>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</si>
  <si>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</si>
  <si>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</si>
  <si>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</si>
  <si>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</si>
  <si>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</si>
  <si>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</si>
  <si>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</si>
  <si>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</si>
  <si>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</si>
  <si>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</si>
  <si>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</si>
  <si>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</si>
  <si>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</si>
  <si>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</si>
  <si>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</si>
  <si>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</si>
  <si>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</si>
  <si>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</si>
  <si>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</si>
  <si>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</si>
  <si>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</si>
  <si>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</si>
  <si>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</si>
  <si>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</si>
  <si>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</si>
  <si>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</si>
  <si>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</si>
  <si>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</si>
  <si>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</si>
  <si>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</si>
  <si>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</si>
  <si>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</si>
  <si>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</si>
  <si>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</si>
  <si>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</si>
  <si>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</si>
  <si>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</si>
  <si>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</si>
  <si>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</si>
  <si>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</si>
  <si>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</si>
  <si>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</si>
  <si>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</si>
  <si>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</si>
  <si>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</si>
  <si>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</si>
  <si>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</si>
  <si>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</si>
  <si>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</si>
  <si>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</si>
  <si>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</si>
  <si>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</si>
  <si>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</si>
  <si>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</si>
  <si>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</si>
  <si>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</si>
  <si>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</si>
  <si>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</si>
  <si>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</si>
  <si>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</si>
  <si>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</si>
  <si>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</si>
  <si>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</si>
  <si>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</si>
  <si>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</si>
  <si>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</si>
  <si>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</si>
  <si>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</si>
  <si>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</si>
  <si>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</si>
  <si>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</si>
  <si>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</si>
  <si>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</si>
  <si>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</si>
  <si>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</si>
  <si>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</si>
  <si>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</si>
  <si>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</si>
  <si>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</si>
  <si>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</si>
  <si>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</si>
  <si>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</si>
  <si>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</si>
  <si>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</si>
  <si>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</si>
  <si>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</si>
  <si>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</si>
  <si>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</si>
  <si>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</si>
  <si>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</si>
  <si>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</si>
  <si>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</si>
  <si>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</si>
  <si>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</si>
  <si>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</si>
  <si>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</si>
  <si>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</si>
  <si>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</si>
  <si>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</si>
  <si>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</si>
  <si>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</si>
  <si>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</si>
  <si>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</si>
  <si>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</si>
  <si>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</si>
  <si>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</si>
  <si>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</si>
  <si>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</si>
  <si>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</si>
  <si>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</si>
  <si>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</si>
  <si>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</si>
  <si>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</si>
  <si>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</si>
  <si>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</si>
  <si>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</si>
  <si>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</si>
  <si>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</si>
  <si>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</si>
  <si>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</si>
  <si>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</si>
  <si>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</si>
  <si>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</si>
  <si>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</si>
  <si>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</si>
  <si>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</si>
  <si>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</si>
  <si>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</si>
  <si>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</si>
  <si>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</si>
  <si>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</si>
  <si>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</si>
  <si>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</si>
  <si>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</si>
  <si>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</si>
  <si>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</si>
  <si>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</si>
  <si>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</si>
  <si>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</si>
  <si>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</si>
  <si>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</si>
  <si>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</si>
  <si>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</si>
  <si>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</si>
  <si>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</si>
  <si>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</si>
  <si>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</si>
  <si>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</si>
  <si>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</si>
  <si>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</si>
  <si>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</si>
  <si>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</si>
  <si>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</si>
  <si>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</si>
  <si>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</si>
  <si>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</si>
  <si>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</si>
  <si>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</si>
  <si>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</si>
  <si>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</si>
  <si>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</si>
  <si>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</si>
  <si>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</si>
  <si>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</si>
  <si>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</si>
  <si>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</si>
  <si>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</si>
  <si>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</si>
  <si>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</si>
  <si>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</si>
  <si>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</si>
  <si>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</si>
  <si>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</si>
  <si>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</si>
  <si>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</si>
  <si>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</si>
  <si>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</si>
  <si>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</si>
  <si>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</si>
  <si>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</si>
  <si>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</si>
  <si>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</si>
  <si>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</si>
  <si>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</si>
  <si>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</si>
  <si>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</si>
  <si>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</si>
  <si>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</si>
  <si>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</si>
  <si>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</si>
  <si>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</si>
  <si>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</si>
  <si>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</si>
  <si>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</si>
  <si>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</si>
  <si>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</si>
  <si>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</si>
  <si>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</si>
  <si>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</si>
  <si>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</si>
  <si>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</si>
  <si>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</si>
  <si>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</si>
  <si>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</si>
  <si>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</si>
  <si>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</si>
  <si>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</si>
  <si>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</si>
  <si>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</si>
  <si>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</si>
  <si>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</si>
  <si>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</si>
  <si>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</si>
  <si>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</si>
  <si>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</si>
  <si>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</si>
  <si>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</si>
  <si>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</si>
  <si>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</si>
  <si>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</si>
  <si>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</si>
  <si>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</si>
  <si>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</si>
  <si>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</si>
  <si>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</si>
  <si>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</si>
  <si>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</si>
  <si>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</si>
  <si>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</si>
  <si>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</si>
  <si>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</si>
  <si>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</si>
  <si>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</si>
  <si>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</si>
  <si>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</si>
  <si>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</si>
  <si>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</si>
  <si>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</si>
  <si>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</si>
  <si>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</si>
  <si>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</si>
  <si>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</si>
  <si>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</si>
  <si>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</si>
  <si>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</si>
  <si>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</si>
  <si>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</si>
  <si>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</si>
  <si>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</si>
  <si>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</si>
  <si>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</si>
  <si>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</si>
  <si>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</si>
  <si>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</si>
  <si>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</si>
  <si>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</si>
  <si>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</si>
  <si>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</si>
  <si>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</si>
  <si>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</si>
  <si>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</si>
  <si>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</si>
  <si>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</si>
  <si>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</si>
  <si>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</si>
  <si>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</si>
  <si>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</si>
  <si>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</si>
  <si>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</si>
  <si>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</si>
  <si>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</si>
  <si>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</si>
  <si>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</si>
  <si>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</si>
  <si>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</si>
  <si>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</si>
  <si>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</si>
  <si>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</si>
  <si>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</si>
  <si>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</si>
  <si>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</si>
  <si>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</si>
  <si>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</si>
  <si>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</si>
  <si>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</si>
  <si>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</si>
  <si>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</si>
  <si>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</si>
  <si>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</si>
  <si>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</si>
  <si>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</si>
  <si>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</si>
  <si>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</si>
  <si>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</si>
  <si>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</si>
  <si>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</si>
  <si>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</si>
  <si>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</si>
  <si>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</si>
  <si>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</si>
  <si>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</si>
  <si>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</si>
  <si>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</si>
  <si>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</si>
  <si>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</si>
  <si>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</si>
  <si>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</si>
  <si>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</si>
  <si>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</si>
  <si>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</si>
  <si>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</si>
  <si>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</si>
  <si>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</si>
  <si>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</si>
  <si>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</si>
  <si>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</si>
  <si>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</si>
  <si>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</si>
  <si>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</si>
  <si>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</si>
  <si>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</si>
  <si>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</si>
  <si>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</si>
  <si>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</si>
  <si>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</si>
  <si>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</si>
  <si>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</si>
  <si>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</si>
  <si>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</si>
  <si>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</si>
  <si>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</si>
  <si>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</si>
  <si>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</si>
  <si>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</si>
  <si>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</si>
  <si>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</si>
  <si>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</si>
  <si>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</si>
  <si>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</si>
  <si>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</si>
  <si>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</si>
  <si>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</si>
  <si>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</si>
  <si>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</si>
  <si>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</si>
  <si>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</si>
  <si>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</si>
  <si>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</si>
  <si>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</si>
  <si>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</si>
  <si>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</si>
  <si>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</si>
  <si>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</si>
  <si>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</si>
  <si>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</si>
  <si>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</si>
  <si>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</si>
  <si>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</si>
  <si>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</si>
  <si>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</si>
  <si>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</si>
  <si>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</si>
  <si>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</si>
  <si>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</si>
  <si>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</si>
  <si>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</si>
  <si>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</si>
  <si>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</si>
  <si>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</si>
  <si>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</si>
  <si>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</si>
  <si>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</si>
  <si>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</si>
  <si>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</si>
  <si>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</si>
  <si>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</si>
  <si>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</si>
  <si>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</si>
  <si>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</si>
  <si>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</si>
  <si>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</si>
  <si>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</si>
  <si>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</si>
  <si>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</si>
  <si>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</si>
  <si>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</si>
  <si>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</si>
  <si>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</si>
  <si>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</si>
  <si>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</si>
  <si>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</si>
  <si>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</si>
  <si>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</si>
  <si>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</si>
  <si>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</si>
  <si>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</si>
  <si>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</si>
  <si>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</si>
  <si>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</si>
  <si>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</si>
  <si>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</si>
  <si>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</si>
  <si>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</si>
  <si>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</si>
  <si>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</si>
  <si>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</si>
  <si>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</si>
  <si>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</si>
  <si>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</si>
  <si>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</si>
  <si>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</si>
  <si>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</si>
  <si>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</si>
  <si>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</si>
  <si>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</si>
  <si>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</si>
  <si>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</si>
  <si>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</si>
  <si>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</si>
  <si>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</si>
  <si>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</si>
  <si>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</si>
  <si>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</si>
  <si>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</si>
  <si>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</si>
  <si>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</si>
  <si>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</si>
  <si>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</si>
  <si>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</si>
  <si>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</si>
  <si>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</si>
  <si>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</si>
  <si>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</si>
  <si>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</si>
  <si>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</si>
  <si>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</si>
  <si>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</si>
  <si>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</si>
  <si>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</si>
  <si>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</si>
  <si>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</si>
  <si>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</si>
  <si>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</si>
  <si>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</si>
  <si>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</si>
  <si>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</si>
  <si>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</si>
  <si>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</si>
  <si>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</si>
  <si>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</si>
  <si>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</si>
  <si>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</si>
  <si>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</si>
  <si>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</si>
  <si>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</si>
  <si>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</si>
  <si>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</si>
  <si>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</si>
  <si>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</si>
  <si>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</si>
  <si>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</si>
  <si>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</si>
  <si>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</si>
  <si>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</si>
  <si>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</si>
  <si>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</si>
  <si>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</si>
  <si>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</si>
  <si>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</si>
  <si>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</si>
  <si>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</si>
  <si>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</si>
  <si>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</si>
  <si>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</si>
  <si>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</si>
  <si>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</si>
  <si>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</si>
  <si>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</si>
  <si>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</si>
  <si>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</si>
  <si>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</si>
  <si>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</si>
  <si>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</si>
  <si>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</si>
  <si>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</si>
  <si>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</si>
  <si>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</si>
  <si>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</si>
  <si>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</si>
  <si>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</si>
  <si>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</si>
  <si>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</si>
  <si>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</si>
  <si>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</si>
  <si>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</si>
  <si>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</si>
  <si>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</si>
  <si>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</si>
  <si>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</si>
  <si>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</si>
  <si>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</si>
  <si>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</si>
  <si>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</si>
  <si>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</si>
  <si>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</si>
  <si>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</si>
  <si>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</si>
  <si>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</si>
  <si>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</si>
  <si>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</si>
  <si>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</si>
  <si>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</si>
  <si>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</si>
  <si>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</si>
  <si>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</si>
  <si>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</si>
  <si>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</si>
  <si>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</si>
  <si>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</si>
  <si>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</si>
  <si>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</si>
  <si>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</si>
  <si>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</si>
  <si>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</si>
  <si>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</si>
  <si>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</si>
  <si>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</si>
  <si>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</si>
  <si>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</si>
  <si>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</si>
  <si>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</si>
  <si>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</si>
  <si>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</si>
  <si>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</si>
  <si>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</si>
  <si>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</si>
  <si>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</si>
  <si>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</si>
  <si>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</si>
  <si>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</si>
  <si>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</si>
  <si>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</si>
  <si>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</si>
  <si>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</si>
  <si>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</si>
  <si>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</si>
  <si>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</si>
  <si>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</si>
  <si>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</si>
  <si>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</si>
  <si>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</si>
  <si>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</si>
  <si>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</si>
  <si>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</si>
  <si>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</si>
  <si>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</si>
  <si>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</si>
  <si>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</si>
  <si>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</si>
  <si>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</si>
  <si>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</si>
  <si>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</si>
  <si>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</si>
  <si>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</si>
  <si>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</si>
  <si>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</si>
  <si>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</si>
  <si>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</si>
  <si>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</si>
  <si>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</si>
  <si>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</si>
  <si>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</si>
  <si>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</si>
  <si>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</si>
  <si>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</si>
  <si>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</si>
  <si>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</si>
  <si>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</si>
  <si>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</si>
  <si>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</si>
  <si>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</si>
  <si>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</si>
  <si>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</si>
  <si>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</si>
  <si>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</si>
  <si>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</si>
  <si>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</si>
  <si>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</si>
  <si>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</si>
  <si>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</si>
  <si>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</si>
  <si>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</si>
  <si>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</si>
  <si>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</si>
  <si>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</si>
  <si>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</si>
  <si>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</si>
  <si>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</si>
  <si>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</si>
  <si>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</si>
  <si>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</si>
  <si>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</si>
  <si>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</si>
  <si>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</si>
  <si>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</si>
  <si>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</si>
  <si>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</si>
  <si>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</si>
  <si>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</si>
  <si>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</si>
  <si>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</si>
  <si>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</si>
  <si>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</si>
  <si>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</si>
  <si>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</si>
  <si>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</si>
  <si>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</si>
  <si>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</si>
  <si>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</si>
  <si>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</si>
  <si>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</si>
  <si>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</si>
  <si>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</si>
  <si>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</si>
  <si>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</si>
  <si>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</si>
  <si>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</si>
  <si>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</si>
  <si>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</si>
  <si>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</si>
  <si>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</si>
  <si>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</si>
  <si>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</si>
  <si>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</si>
  <si>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</si>
  <si>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</si>
  <si>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</si>
  <si>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</si>
  <si>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</si>
  <si>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</si>
  <si>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</si>
  <si>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</si>
  <si>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</si>
  <si>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</si>
  <si>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</si>
  <si>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</si>
  <si>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</si>
  <si>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</si>
  <si>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</si>
  <si>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</si>
  <si>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</si>
  <si>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</si>
  <si>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</si>
  <si>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</si>
  <si>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</si>
  <si>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</si>
  <si>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</si>
  <si>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</si>
  <si>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</si>
  <si>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</si>
  <si>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</si>
  <si>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</si>
  <si>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</si>
  <si>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</si>
  <si>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</si>
  <si>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</si>
  <si>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</si>
  <si>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</si>
  <si>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</si>
  <si>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</si>
  <si>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</si>
  <si>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</si>
  <si>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</si>
  <si>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</si>
  <si>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</si>
  <si>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</si>
  <si>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</si>
  <si>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</si>
  <si>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</si>
  <si>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</si>
  <si>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</si>
  <si>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</si>
  <si>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</si>
  <si>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</si>
  <si>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</si>
  <si>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</si>
  <si>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</si>
  <si>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</si>
  <si>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</si>
  <si>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</si>
  <si>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</si>
  <si>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</si>
  <si>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</si>
  <si>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</si>
  <si>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</si>
  <si>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</si>
  <si>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</si>
  <si>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</si>
  <si>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</si>
  <si>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</si>
  <si>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</si>
  <si>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</si>
  <si>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</si>
  <si>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</si>
  <si>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</si>
  <si>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</si>
  <si>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</si>
  <si>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</si>
  <si>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</si>
  <si>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</si>
  <si>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</si>
  <si>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</si>
  <si>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</si>
  <si>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</si>
  <si>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</si>
  <si>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</si>
  <si>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</si>
  <si>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</si>
  <si>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</si>
  <si>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</si>
  <si>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</si>
  <si>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</si>
  <si>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</si>
  <si>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</si>
  <si>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</si>
  <si>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</si>
  <si>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</si>
  <si>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</si>
  <si>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</si>
  <si>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</si>
  <si>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</si>
  <si>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</si>
  <si>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</si>
  <si>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</si>
  <si>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</si>
  <si>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</si>
  <si>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</si>
  <si>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</si>
  <si>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</si>
  <si>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</si>
  <si>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</si>
  <si>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</si>
  <si>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</si>
  <si>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</si>
  <si>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</si>
  <si>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</si>
  <si>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</si>
  <si>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</si>
  <si>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</si>
  <si>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</si>
  <si>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</si>
  <si>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</si>
  <si>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</si>
  <si>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</si>
  <si>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</si>
  <si>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</si>
  <si>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</si>
  <si>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</si>
  <si>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</si>
  <si>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</si>
  <si>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</si>
  <si>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</si>
  <si>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</si>
  <si>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</si>
  <si>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</si>
  <si>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</si>
  <si>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</si>
  <si>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</si>
  <si>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</si>
  <si>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</si>
  <si>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</si>
  <si>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</si>
  <si>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</si>
  <si>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</si>
  <si>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</si>
  <si>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</si>
  <si>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</si>
  <si>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</si>
  <si>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</si>
  <si>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</si>
  <si>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</si>
  <si>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</si>
  <si>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</si>
  <si>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</si>
  <si>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</si>
  <si>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</si>
  <si>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</si>
  <si>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</si>
  <si>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</si>
  <si>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</si>
  <si>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</si>
  <si>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</si>
  <si>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</si>
  <si>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</si>
  <si>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</si>
  <si>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</si>
  <si>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</si>
  <si>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</si>
  <si>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</si>
  <si>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</si>
  <si>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</si>
  <si>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</si>
  <si>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</si>
  <si>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</si>
  <si>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</si>
  <si>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</si>
  <si>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</si>
  <si>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</si>
  <si>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</si>
  <si>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</si>
  <si>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</si>
  <si>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</si>
  <si>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</si>
  <si>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</si>
  <si>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</si>
  <si>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</si>
  <si>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</si>
  <si>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</si>
  <si>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</si>
  <si>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</si>
  <si>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</si>
  <si>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</si>
  <si>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</si>
  <si>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</si>
  <si>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</si>
  <si>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</si>
  <si>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</si>
  <si>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</si>
  <si>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</si>
  <si>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</si>
  <si>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</si>
  <si>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</si>
  <si>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</si>
  <si>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</si>
  <si>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</si>
  <si>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</si>
  <si>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</si>
  <si>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</si>
  <si>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</si>
  <si>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</si>
  <si>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</si>
  <si>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</si>
  <si>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</si>
  <si>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</si>
  <si>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</si>
  <si>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</si>
  <si>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</si>
  <si>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</si>
  <si>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</si>
  <si>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</si>
  <si>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</si>
  <si>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</si>
  <si>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</si>
  <si>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</si>
  <si>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</si>
  <si>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</si>
  <si>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</si>
  <si>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</si>
  <si>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</si>
  <si>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</si>
  <si>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</si>
  <si>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</si>
  <si>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</si>
  <si>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</si>
  <si>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</si>
  <si>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</si>
  <si>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</si>
  <si>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</si>
  <si>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</si>
  <si>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</si>
  <si>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</si>
  <si>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</si>
  <si>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</si>
  <si>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</si>
  <si>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</si>
  <si>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</si>
  <si>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</si>
  <si>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</si>
  <si>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</si>
  <si>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</si>
  <si>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</si>
  <si>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</si>
  <si>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</si>
  <si>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</si>
  <si>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</si>
  <si>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</si>
  <si>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</si>
  <si>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</si>
  <si>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</si>
  <si>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</si>
  <si>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</si>
  <si>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</si>
  <si>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</si>
  <si>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</si>
  <si>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</si>
  <si>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</si>
  <si>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</si>
  <si>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</si>
  <si>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</si>
  <si>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</si>
  <si>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</si>
  <si>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</si>
  <si>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</si>
  <si>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</si>
  <si>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</si>
  <si>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</si>
  <si>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</si>
  <si>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</si>
  <si>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</si>
  <si>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</si>
  <si>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</si>
  <si>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</si>
  <si>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</si>
  <si>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</si>
  <si>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</si>
  <si>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</si>
  <si>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</si>
  <si>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</si>
  <si>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</si>
  <si>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</si>
  <si>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</si>
  <si>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</si>
  <si>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</si>
  <si>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</si>
  <si>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</si>
  <si>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</si>
  <si>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</si>
  <si>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</si>
  <si>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</si>
  <si>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</si>
  <si>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</si>
  <si>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</si>
  <si>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</si>
  <si>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</si>
  <si>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</si>
  <si>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</si>
  <si>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</si>
  <si>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</si>
  <si>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</si>
  <si>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</si>
  <si>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</si>
  <si>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</si>
  <si>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</si>
  <si>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</si>
  <si>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</si>
  <si>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</si>
  <si>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</si>
  <si>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</si>
  <si>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</si>
  <si>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</si>
  <si>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</si>
  <si>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</si>
  <si>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</si>
  <si>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</si>
  <si>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</si>
  <si>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</si>
  <si>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</si>
  <si>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</si>
  <si>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</si>
  <si>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</si>
  <si>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</si>
  <si>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</si>
  <si>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</si>
  <si>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</si>
  <si>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</si>
  <si>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</si>
  <si>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</si>
  <si>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</si>
  <si>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</si>
  <si>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</si>
  <si>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</si>
  <si>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</si>
  <si>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</si>
  <si>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</si>
  <si>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</si>
  <si>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</si>
  <si>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</si>
  <si>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</si>
  <si>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</si>
  <si>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</si>
  <si>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</si>
  <si>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</si>
  <si>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</si>
  <si>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</si>
  <si>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</si>
  <si>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</si>
  <si>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</si>
  <si>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</si>
  <si>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</si>
  <si>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</si>
  <si>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</si>
  <si>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</si>
  <si>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</si>
  <si>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</si>
  <si>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</si>
  <si>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</si>
  <si>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</si>
  <si>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</si>
  <si>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</si>
  <si>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</si>
  <si>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</si>
  <si>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</si>
  <si>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</si>
  <si>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</si>
  <si>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</si>
  <si>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</si>
  <si>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</si>
  <si>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</si>
  <si>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</si>
  <si>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</si>
  <si>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</si>
  <si>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</si>
  <si>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</si>
  <si>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</si>
  <si>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</si>
  <si>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</si>
  <si>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</si>
  <si>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</si>
  <si>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</si>
  <si>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</si>
  <si>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</si>
  <si>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</si>
  <si>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</si>
  <si>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</si>
  <si>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</si>
  <si>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</si>
  <si>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</si>
  <si>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</si>
  <si>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</si>
  <si>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</si>
  <si>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</si>
  <si>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</si>
  <si>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</si>
  <si>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</si>
  <si>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</si>
  <si>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</si>
  <si>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</si>
  <si>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</si>
  <si>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</si>
  <si>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</si>
  <si>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</si>
  <si>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</si>
  <si>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</si>
  <si>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</si>
  <si>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</si>
  <si>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</si>
  <si>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</si>
  <si>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</si>
  <si>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</si>
  <si>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</si>
  <si>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</si>
  <si>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</si>
  <si>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</si>
  <si>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</si>
  <si>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</si>
  <si>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</si>
  <si>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</si>
  <si>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</si>
  <si>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</si>
  <si>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</si>
  <si>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</si>
  <si>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</si>
  <si>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</si>
  <si>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</si>
  <si>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</si>
  <si>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</si>
  <si>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</si>
  <si>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</si>
  <si>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</si>
  <si>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</si>
  <si>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</si>
  <si>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</si>
  <si>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</si>
  <si>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</si>
  <si>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</si>
  <si>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</si>
  <si>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</si>
  <si>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</si>
  <si>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</si>
  <si>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</si>
  <si>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</si>
  <si>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</si>
  <si>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</si>
  <si>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</si>
  <si>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</si>
  <si>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</si>
  <si>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</si>
  <si>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</si>
  <si>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</si>
  <si>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</si>
  <si>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</si>
  <si>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</si>
  <si>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</si>
  <si>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</si>
  <si>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</si>
  <si>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</si>
  <si>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</si>
  <si>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</si>
  <si>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</si>
  <si>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</si>
  <si>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</si>
  <si>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</si>
  <si>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</si>
  <si>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</si>
  <si>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</si>
  <si>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</si>
  <si>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</si>
  <si>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</si>
  <si>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</si>
  <si>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</si>
  <si>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</si>
  <si>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</si>
  <si>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</si>
  <si>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</si>
  <si>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</si>
  <si>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</si>
  <si>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</si>
  <si>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</si>
  <si>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</si>
  <si>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</si>
  <si>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</si>
  <si>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</si>
  <si>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</si>
  <si>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</si>
  <si>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</si>
  <si>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</si>
  <si>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</si>
  <si>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</si>
  <si>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</si>
  <si>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</si>
  <si>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</si>
  <si>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</si>
  <si>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</si>
  <si>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</si>
  <si>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</si>
  <si>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</si>
  <si>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</si>
  <si>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</si>
  <si>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</si>
  <si>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</si>
  <si>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</si>
  <si>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</si>
  <si>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</si>
  <si>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</si>
  <si>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</si>
  <si>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</si>
  <si>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</si>
  <si>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</si>
  <si>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</si>
  <si>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</si>
  <si>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</si>
  <si>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</si>
  <si>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</si>
  <si>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</si>
  <si>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</si>
  <si>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</si>
  <si>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</si>
  <si>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</si>
  <si>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</si>
  <si>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</si>
  <si>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</si>
  <si>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</si>
  <si>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</si>
  <si>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</si>
  <si>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</si>
  <si>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</si>
  <si>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</si>
  <si>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</si>
  <si>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</si>
  <si>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</si>
  <si>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</si>
  <si>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</si>
  <si>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</si>
  <si>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</si>
  <si>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</si>
  <si>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</si>
  <si>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</si>
  <si>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</si>
  <si>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</si>
  <si>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</si>
  <si>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</si>
  <si>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</si>
  <si>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</si>
  <si>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</si>
  <si>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</si>
  <si>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</si>
  <si>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</si>
  <si>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</si>
  <si>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</si>
  <si>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</si>
  <si>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</si>
  <si>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</si>
  <si>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</si>
  <si>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</si>
  <si>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</si>
  <si>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</si>
  <si>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</si>
  <si>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</si>
  <si>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</si>
  <si>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</si>
  <si>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</si>
  <si>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</si>
  <si>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</si>
  <si>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</si>
  <si>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</si>
  <si>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</si>
  <si>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</si>
  <si>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</si>
  <si>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</si>
  <si>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</si>
  <si>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</si>
  <si>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</si>
  <si>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</si>
  <si>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</si>
  <si>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</si>
  <si>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</si>
  <si>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</si>
  <si>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</si>
  <si>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</si>
  <si>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</si>
  <si>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</si>
  <si>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</si>
  <si>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</si>
  <si>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</si>
  <si>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</si>
  <si>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</si>
  <si>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</si>
  <si>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</si>
  <si>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</si>
  <si>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</si>
  <si>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</si>
  <si>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</si>
  <si>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</si>
  <si>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</si>
  <si>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</si>
  <si>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</si>
  <si>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</si>
  <si>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</si>
  <si>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</si>
  <si>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</si>
  <si>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</si>
  <si>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</si>
  <si>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</si>
  <si>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</si>
  <si>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</si>
  <si>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</si>
  <si>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</si>
  <si>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</si>
  <si>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</si>
  <si>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</si>
  <si>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</si>
  <si>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</si>
  <si>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</si>
  <si>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</si>
  <si>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</si>
  <si>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</si>
  <si>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</si>
  <si>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</si>
  <si>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</si>
  <si>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</si>
  <si>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</si>
  <si>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</si>
  <si>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</si>
  <si>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</si>
  <si>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</si>
  <si>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</si>
  <si>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</si>
  <si>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</si>
  <si>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</si>
  <si>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</si>
  <si>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</si>
  <si>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</si>
  <si>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</si>
  <si>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</si>
  <si>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</si>
  <si>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</si>
  <si>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</si>
  <si>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</si>
  <si>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</si>
  <si>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</si>
  <si>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</si>
  <si>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</si>
  <si>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</si>
  <si>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</si>
  <si>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</si>
  <si>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</si>
  <si>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</si>
  <si>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</si>
  <si>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</si>
  <si>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</si>
  <si>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</si>
  <si>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</si>
  <si>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</si>
  <si>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</si>
  <si>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</si>
  <si>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</si>
  <si>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</si>
  <si>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</si>
  <si>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</si>
  <si>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</si>
  <si>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</si>
  <si>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</si>
  <si>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</si>
  <si>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</si>
  <si>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</si>
  <si>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</si>
  <si>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</si>
  <si>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</si>
  <si>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</si>
  <si>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</si>
  <si>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</si>
  <si>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</si>
  <si>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</si>
  <si>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</si>
  <si>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</si>
  <si>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</si>
  <si>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</si>
  <si>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</si>
  <si>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</si>
  <si>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</si>
  <si>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</si>
  <si>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</si>
  <si>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</si>
  <si>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</si>
  <si>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</si>
  <si>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</si>
  <si>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</si>
  <si>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</si>
  <si>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</si>
  <si>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</si>
  <si>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</si>
  <si>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</si>
  <si>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</si>
  <si>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</si>
  <si>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</si>
  <si>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</si>
  <si>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</si>
  <si>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</si>
  <si>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</si>
  <si>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</si>
  <si>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</si>
  <si>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</si>
  <si>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</si>
  <si>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</si>
  <si>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</si>
  <si>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</si>
  <si>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</si>
  <si>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</si>
  <si>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</si>
  <si>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</si>
  <si>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</si>
  <si>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</si>
  <si>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</si>
  <si>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</si>
  <si>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</si>
  <si>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</si>
  <si>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</si>
  <si>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</si>
  <si>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</si>
  <si>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</si>
  <si>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</si>
  <si>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</si>
  <si>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</si>
  <si>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</si>
  <si>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</si>
  <si>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</si>
  <si>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</si>
  <si>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</si>
  <si>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</si>
  <si>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</si>
  <si>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</si>
  <si>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</si>
  <si>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</si>
  <si>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</si>
  <si>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</si>
  <si>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</si>
  <si>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</si>
  <si>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</si>
  <si>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</si>
  <si>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</si>
  <si>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</si>
  <si>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</si>
  <si>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</si>
  <si>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</si>
  <si>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</si>
  <si>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</si>
  <si>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</si>
  <si>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</si>
  <si>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</si>
  <si>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</si>
  <si>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</si>
  <si>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</si>
  <si>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</si>
  <si>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</si>
  <si>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</si>
  <si>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</si>
  <si>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</si>
  <si>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</si>
  <si>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</si>
  <si>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</si>
  <si>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</si>
  <si>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</si>
  <si>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</si>
  <si>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</si>
  <si>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</si>
  <si>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</si>
  <si>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</si>
  <si>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</si>
  <si>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</si>
  <si>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</si>
  <si>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</si>
  <si>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Jackson</t>
  </si>
  <si>
    <t>593 Ava Road</t>
  </si>
  <si>
    <t>Murphysboro</t>
  </si>
  <si>
    <t>jbush@mhs.org</t>
  </si>
  <si>
    <t>Christopher Grode</t>
  </si>
  <si>
    <t>618-684-3781</t>
  </si>
  <si>
    <t>618-684-2465</t>
  </si>
  <si>
    <t>Emling &amp; Hoffman, PC</t>
  </si>
  <si>
    <t>Donald L Hoffman</t>
  </si>
  <si>
    <t>1191 West Saint Louis Street</t>
  </si>
  <si>
    <t>Nashville</t>
  </si>
  <si>
    <t>IL</t>
  </si>
  <si>
    <t>618-327-4375</t>
  </si>
  <si>
    <t>618-327-43769</t>
  </si>
  <si>
    <t>060-004252</t>
  </si>
  <si>
    <t>donhoffman@emlingcpa.com</t>
  </si>
  <si>
    <t>Cheryl Graff</t>
  </si>
  <si>
    <t>cgraff@roe30.org</t>
  </si>
  <si>
    <t>618-687-7290</t>
  </si>
  <si>
    <t>618-687-7296</t>
  </si>
  <si>
    <t>2009A General Obligation Bonds</t>
  </si>
  <si>
    <t>2017 Alternate Revenue Bonds</t>
  </si>
  <si>
    <r>
      <t>The accompanying Schedule of Expenditures of Federal Awards includes the federal grant activity ofMurphysboro Community Unit School District #186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</si>
  <si>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Of the federal expenditures presented in the schedule, Murphysboro Community Unit School District #186 provided federal awards to subrecipients as follows:</t>
  </si>
  <si>
    <t>N/A</t>
  </si>
  <si>
    <r>
      <t xml:space="preserve">The following amounts were expended in the form of non-cash assistance by Murphysboro Community Unit School District #186 and </t>
    </r>
    <r>
      <rPr>
        <b/>
        <sz val="9"/>
        <rFont val="Calibri"/>
        <family val="2"/>
        <scheme val="minor"/>
      </rPr>
      <t>should be</t>
    </r>
    <r>
      <rPr>
        <sz val="9"/>
        <rFont val="Calibri"/>
        <family val="2"/>
        <scheme val="minor"/>
      </rPr>
      <t xml:space="preserve"> included in the Schedule of Expenditures of Federal Awards:</t>
    </r>
  </si>
  <si>
    <t>Segregation of Duties</t>
  </si>
  <si>
    <t>Not implemented due to limited resources.</t>
  </si>
  <si>
    <t>Management oversight of financial statements.</t>
  </si>
  <si>
    <t>2017-001</t>
  </si>
  <si>
    <t>2017-002</t>
  </si>
  <si>
    <t>Unmodified</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</si>
  <si>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</si>
  <si>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</si>
  <si>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</si>
  <si>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</si>
  <si>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</si>
  <si>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r>
      <t xml:space="preserve">Current </t>
    </r>
    <r>
      <rPr>
        <i/>
        <sz val="9"/>
        <rFont val="Arial"/>
        <family val="2"/>
      </rPr>
      <t xml:space="preserve">Government Auditing Standards </t>
    </r>
    <r>
      <rPr>
        <sz val="9"/>
        <rFont val="Arial"/>
        <family val="2"/>
      </rPr>
      <t>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r>
  </si>
  <si>
    <t>Personnel of the School District do not currently possess the skills necessary to draft financial statements and footnotes in accordance with the cash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</si>
  <si>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</si>
  <si>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detect error or omissions in the application of the cash basis of accounting with respect to the School District's financial statements and footnotes.</t>
  </si>
  <si>
    <t>Lack of formal technical training.</t>
  </si>
  <si>
    <r>
      <t xml:space="preserve">Current </t>
    </r>
    <r>
      <rPr>
        <i/>
        <sz val="7.5"/>
        <rFont val="Arial"/>
        <family val="2"/>
      </rPr>
      <t xml:space="preserve">Government Auditing Standards </t>
    </r>
    <r>
      <rPr>
        <sz val="7.5"/>
        <rFont val="Arial"/>
        <family val="2"/>
      </rPr>
      <t>allow the School District to continue to request the auditor to prepare the financial statements and footnote disclosures.  However, the School District is still responsible for having a qualified person capable of understanding the complete drafting of  the finacial statements and footnote disclosures as well as having the capability of making sure that all adjusting entries, having a material effect on the financial statements, are properly posted prior to the audit being performed.  The School District should consider providing additonal training for its staff.</t>
    </r>
  </si>
  <si>
    <t>Management agrees with the finding, however, the Illinois State Board of Education requires the District Auditor prepare the Annual Financial Report.</t>
  </si>
  <si>
    <t xml:space="preserve">US Dept of Education </t>
  </si>
  <si>
    <t xml:space="preserve">   Flow Through Illinois State Board of Education</t>
  </si>
  <si>
    <t>84.010A</t>
  </si>
  <si>
    <t>2017-4300</t>
  </si>
  <si>
    <t xml:space="preserve">                PY  2017 </t>
  </si>
  <si>
    <t xml:space="preserve">        Title I  (M)</t>
  </si>
  <si>
    <t xml:space="preserve">                PY  2018</t>
  </si>
  <si>
    <t>2018-4300</t>
  </si>
  <si>
    <t xml:space="preserve">        Title II - Improving Teacher Quality</t>
  </si>
  <si>
    <t>84.367A</t>
  </si>
  <si>
    <t xml:space="preserve">                PY  2017</t>
  </si>
  <si>
    <t>2017-4932</t>
  </si>
  <si>
    <t>2018-4932</t>
  </si>
  <si>
    <t xml:space="preserve">        Fed - Special Ed IDEA Room &amp; Board</t>
  </si>
  <si>
    <t>2017-4625</t>
  </si>
  <si>
    <t xml:space="preserve">        Title Iva Student Support and Academic Enrich</t>
  </si>
  <si>
    <t>2018-4625</t>
  </si>
  <si>
    <t>84.424a</t>
  </si>
  <si>
    <t xml:space="preserve">   Total Flow Through Illinois State Board of Education</t>
  </si>
  <si>
    <t xml:space="preserve">   Flow Through Tri-County Special Education Joint Agreement</t>
  </si>
  <si>
    <t xml:space="preserve">        Special Ed - IDEA </t>
  </si>
  <si>
    <t>84.027A</t>
  </si>
  <si>
    <t>2017-4620</t>
  </si>
  <si>
    <t>2018-4620</t>
  </si>
  <si>
    <t xml:space="preserve">   Total Flow Through Tri-County Special Education Joint Agreement</t>
  </si>
  <si>
    <t xml:space="preserve">   Flow Through Jackson/Perry ROE</t>
  </si>
  <si>
    <t xml:space="preserve">        CTE Perkins</t>
  </si>
  <si>
    <t>84.048A</t>
  </si>
  <si>
    <t>2017-4770</t>
  </si>
  <si>
    <t xml:space="preserve">   Total Flow Through Jackson/Perry ROE</t>
  </si>
  <si>
    <t>2018-4770</t>
  </si>
  <si>
    <t xml:space="preserve">   Flow Through Regional Office of Education #30</t>
  </si>
  <si>
    <t xml:space="preserve">        ISTEM</t>
  </si>
  <si>
    <t>2018-4999</t>
  </si>
  <si>
    <t xml:space="preserve">        RAMPD UP</t>
  </si>
  <si>
    <t xml:space="preserve">   Total Flow Through Regional Office of Education #30</t>
  </si>
  <si>
    <t>Total US DEPT OF EDUCATION</t>
  </si>
  <si>
    <t>US Dept of Agriculture</t>
  </si>
  <si>
    <t>2017-4210</t>
  </si>
  <si>
    <t xml:space="preserve">        National School Lunch (M)</t>
  </si>
  <si>
    <t>2018-4210</t>
  </si>
  <si>
    <t xml:space="preserve">        National School Breakfast </t>
  </si>
  <si>
    <t>2017 - 4220</t>
  </si>
  <si>
    <t>2018 - 4220</t>
  </si>
  <si>
    <t xml:space="preserve">        Summer Food Service </t>
  </si>
  <si>
    <t>2017-4225</t>
  </si>
  <si>
    <t xml:space="preserve">        Commodities</t>
  </si>
  <si>
    <t>2017-4215</t>
  </si>
  <si>
    <t xml:space="preserve">        Dept of Defense - Fresh Fruits and Vegetables</t>
  </si>
  <si>
    <t xml:space="preserve">        Forest Service Grant</t>
  </si>
  <si>
    <t>18-4998</t>
  </si>
  <si>
    <t>TOTAL US DEPT OF AGRICULTURE</t>
  </si>
  <si>
    <t>US Dept of Health &amp; Human Services</t>
  </si>
  <si>
    <t xml:space="preserve">   Flow Through IL Dept of Healthcare and Family Services</t>
  </si>
  <si>
    <t xml:space="preserve">         Step Voc Rehab</t>
  </si>
  <si>
    <t>2017-4998</t>
  </si>
  <si>
    <t>2018-4998</t>
  </si>
  <si>
    <t xml:space="preserve">         Administrative Outreach</t>
  </si>
  <si>
    <t>2018-4900</t>
  </si>
  <si>
    <t xml:space="preserve">   Flow Through Tri-County Special Education Joint Agreeemnt</t>
  </si>
  <si>
    <t xml:space="preserve">   Total Flow Through IL Dept of Healthcare and Family Services</t>
  </si>
  <si>
    <t>TOTAL US DEPT OF HEALTH &amp; HUMAN SERVICES</t>
  </si>
  <si>
    <t>TOTAL FEDERAL AWARDS</t>
  </si>
  <si>
    <t>Rounding</t>
  </si>
  <si>
    <t>Egyptian Area School Employee Benefit Trust</t>
  </si>
  <si>
    <t xml:space="preserve">Workers Comp, Self-Insurance Trust </t>
  </si>
  <si>
    <t>Illinois Funds</t>
  </si>
  <si>
    <t>Tri-County Special Education Coop</t>
  </si>
  <si>
    <t>Illinois Cloud</t>
  </si>
  <si>
    <t>Contract With West Bus Service</t>
  </si>
  <si>
    <t>Page 10:  Line 74:  Education Fund:  Reimbursement SIU Pre-K Meals, Tri-County Meals</t>
  </si>
  <si>
    <t xml:space="preserve">Page 10:  Line 81:  Education Fund:  PE Locks </t>
  </si>
  <si>
    <t>Page 11:  Line 107:  Education Fund:  IlliniCloud Membership Fees,  Miscelaneous Revenue</t>
  </si>
  <si>
    <t>Page 11:  Line 107:  Operations &amp; Maint Fund:  E-Rate , Insurance Claim</t>
  </si>
  <si>
    <t>Page 11:  Line 107:  Transportation Fund:  Smysor Educ/Athl Eport</t>
  </si>
  <si>
    <t>Page 12:  Line 171:  Education Fund: IL State Library Grant</t>
  </si>
  <si>
    <t xml:space="preserve">Page 14:  Line 272:  Education Fund:  STEP Voc Rehabil Grant $23,302,  ISTEM $26,409, RAMP'D UP $37,842, Forrest Grant Service $1,881. </t>
  </si>
  <si>
    <t>Page 15:  Line  41:  Education Fund:  Hall Monitor Salary and Benefits</t>
  </si>
  <si>
    <t>Page 16:  Line  83:  Education Fund:  Early Childhood Purchased Services Paid to SIU-C</t>
  </si>
  <si>
    <t>Page 18:  Line171:  Debt Services Fund:  Principal and Interest on Capital Lease</t>
  </si>
  <si>
    <t>Page 19:  Line 237:  IMRF Fund:  Hall Monitor Benefits</t>
  </si>
  <si>
    <t>US Department of Education/Title I</t>
  </si>
  <si>
    <t>10.555,10.553,10.559</t>
  </si>
  <si>
    <t>US Department of Agriculture/Child Nutrition Cluster</t>
  </si>
  <si>
    <t>June 30, 2017 Data Collection Form was not filed in a timely manner.</t>
  </si>
  <si>
    <t>Submitting the Data Collection Form is a requirement for federal funding.  This report is due 6 months after year end.</t>
  </si>
  <si>
    <t xml:space="preserve">By not submitting the Data Collection Form in a timely manner, federal funding could be stopped or withheld. </t>
  </si>
  <si>
    <t>The Data Collection Form wsa not filed in a timley manner.</t>
  </si>
  <si>
    <t>We suggest the Data Collection Form be filed in a timely manner in order for all federal funding be received.</t>
  </si>
  <si>
    <t>We are aware of this condition  and will file future reports in a timely manner.</t>
  </si>
  <si>
    <t>AEP Energy, Constellation New Energy</t>
  </si>
  <si>
    <t>#20 - See Findings 2018-001 through 2018-003.</t>
  </si>
  <si>
    <t>10-2540-400</t>
  </si>
  <si>
    <t>AEP</t>
  </si>
  <si>
    <t>ED - Instruction - Purchased Services</t>
  </si>
  <si>
    <t>Athletico Management</t>
  </si>
  <si>
    <t>Constellation New Energy</t>
  </si>
  <si>
    <t>Constellation New Energy - Gas</t>
  </si>
  <si>
    <t>Tort - Support Services - Purchased Services</t>
  </si>
  <si>
    <t>Illinois School District (ISDA)</t>
  </si>
  <si>
    <t>ED - O&amp;M - Supplies</t>
  </si>
  <si>
    <t>Workers' Compensation Trust (WCSIT)</t>
  </si>
  <si>
    <t>Transportation - Pupil Transp Serv - Purchased Services</t>
  </si>
  <si>
    <t>40-2550-300</t>
  </si>
  <si>
    <t>West Bus Service</t>
  </si>
  <si>
    <t>Murphysboro CUSD 186</t>
  </si>
  <si>
    <t>10-1000-300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</si>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</sst>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i/>
      <sz val="9"/>
      <name val="Arial"/>
      <family val="2"/>
    </font>
    <font>
      <sz val="7.5"/>
      <name val="Arial"/>
      <family val="2"/>
    </font>
    <font>
      <i/>
      <sz val="7.5"/>
      <name val="Arial"/>
      <family val="2"/>
    </font>
    <font>
      <b/>
      <sz val="7"/>
      <name val="Arial"/>
      <family val="2"/>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4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3" fontId="10" fillId="0" borderId="22" xfId="0" applyNumberFormat="1" applyFont="1" applyBorder="1" applyAlignment="1" applyProtection="1">
      <alignment horizontal="left" vertical="center" wrapText="1"/>
      <protection locked="0"/>
    </xf>
    <xf numFmtId="3" fontId="9" fillId="0" borderId="22" xfId="0" applyNumberFormat="1" applyFont="1" applyBorder="1" applyAlignment="1" applyProtection="1">
      <alignment horizontal="left" vertical="center" wrapText="1"/>
      <protection locked="0"/>
    </xf>
    <xf numFmtId="169" fontId="9" fillId="0" borderId="22" xfId="0" applyNumberFormat="1" applyFont="1" applyBorder="1" applyAlignment="1" applyProtection="1">
      <alignment horizontal="center"/>
      <protection locked="0"/>
    </xf>
    <xf numFmtId="1" fontId="9" fillId="0" borderId="22" xfId="0" applyNumberFormat="1" applyFont="1" applyBorder="1" applyAlignment="1" applyProtection="1">
      <alignment horizontal="center"/>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139" fillId="0" borderId="22" xfId="0"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left" vertical="center" wrapText="1"/>
      <protection locked="0"/>
    </xf>
    <xf numFmtId="3" fontId="62" fillId="0" borderId="167"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 fontId="60" fillId="0" borderId="45" xfId="3" applyNumberFormat="1" applyFont="1" applyBorder="1" applyAlignment="1" applyProtection="1">
      <alignment horizontal="center"/>
      <protection locked="0"/>
    </xf>
    <xf numFmtId="1" fontId="60" fillId="0" borderId="166" xfId="3" applyNumberFormat="1" applyFont="1" applyBorder="1" applyAlignment="1" applyProtection="1">
      <alignment horizontal="center"/>
      <protection locked="0"/>
    </xf>
    <xf numFmtId="3" fontId="62" fillId="0" borderId="168" xfId="3" applyNumberFormat="1" applyFont="1" applyBorder="1" applyAlignment="1" applyProtection="1">
      <alignment horizontal="center"/>
      <protection locked="0"/>
    </xf>
    <xf numFmtId="49" fontId="140" fillId="0" borderId="105" xfId="4" applyNumberFormat="1" applyFont="1" applyBorder="1" applyAlignment="1" applyProtection="1">
      <alignment horizontal="center" vertical="center"/>
      <protection locked="0"/>
    </xf>
    <xf numFmtId="49" fontId="141" fillId="0" borderId="107" xfId="4" applyNumberFormat="1" applyFont="1" applyFill="1" applyBorder="1" applyAlignment="1" applyProtection="1">
      <alignment horizontal="center" vertical="center"/>
      <protection locked="0"/>
    </xf>
    <xf numFmtId="0" fontId="142" fillId="0" borderId="105" xfId="4" applyFont="1" applyBorder="1" applyProtection="1">
      <protection locked="0"/>
    </xf>
    <xf numFmtId="49" fontId="141" fillId="0" borderId="109" xfId="4" applyNumberFormat="1" applyFont="1" applyFill="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protection locked="0"/>
    </xf>
    <xf numFmtId="0" fontId="42" fillId="0" borderId="129" xfId="2" applyNumberFormat="1" applyFont="1" applyBorder="1" applyAlignment="1" applyProtection="1">
      <alignment horizontal="left" vertical="center"/>
      <protection locked="0"/>
    </xf>
    <xf numFmtId="0" fontId="42" fillId="0" borderId="129" xfId="2" applyFont="1" applyBorder="1" applyAlignment="1" applyProtection="1">
      <alignment horizontal="left" vertical="center"/>
      <protection locked="0"/>
    </xf>
    <xf numFmtId="0" fontId="42" fillId="0" borderId="127"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14" fillId="0" borderId="0" xfId="3" applyFont="1" applyBorder="1" applyAlignment="1" applyProtection="1">
      <alignment horizontal="left" vertical="top" wrapText="1"/>
      <protection locked="0"/>
    </xf>
    <xf numFmtId="0" fontId="14" fillId="0" borderId="0" xfId="3" applyFont="1" applyAlignment="1" applyProtection="1">
      <alignment horizontal="left" vertical="top" wrapText="1"/>
      <protection locked="0"/>
    </xf>
    <xf numFmtId="0" fontId="137" fillId="0" borderId="0" xfId="3" applyFont="1" applyBorder="1" applyAlignment="1" applyProtection="1">
      <alignment horizontal="left" vertical="top" wrapText="1"/>
      <protection locked="0"/>
    </xf>
    <xf numFmtId="0" fontId="137" fillId="0" borderId="0" xfId="3"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1733550</xdr:colOff>
          <xdr:row>5</xdr:row>
          <xdr:rowOff>133350</xdr:rowOff>
        </xdr:from>
        <xdr:to>
          <xdr:col>1</xdr:col>
          <xdr:colOff>2647950</xdr:colOff>
          <xdr:row>10</xdr:row>
          <xdr:rowOff>9525</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9" t="s">
        <v>425</v>
      </c>
      <c r="J1" s="2060"/>
      <c r="K1" s="2060"/>
      <c r="L1" s="2060"/>
      <c r="M1" s="2060"/>
      <c r="N1" s="2060"/>
      <c r="O1" s="2060"/>
      <c r="P1" s="2060"/>
      <c r="Q1" s="2060"/>
      <c r="R1" s="2060"/>
      <c r="S1" s="2060"/>
    </row>
    <row r="2" spans="1:28" ht="12" customHeight="1" x14ac:dyDescent="0.2">
      <c r="A2" s="47" t="s">
        <v>1684</v>
      </c>
      <c r="D2" s="48"/>
      <c r="I2" s="2061" t="s">
        <v>1036</v>
      </c>
      <c r="J2" s="2060"/>
      <c r="K2" s="2060"/>
      <c r="L2" s="2060"/>
      <c r="M2" s="2060"/>
      <c r="N2" s="2060"/>
      <c r="O2" s="2060"/>
      <c r="P2" s="2060"/>
      <c r="Q2" s="2060"/>
      <c r="R2" s="2060"/>
      <c r="S2" s="2060"/>
    </row>
    <row r="3" spans="1:28" ht="12" customHeight="1" x14ac:dyDescent="0.2">
      <c r="A3" s="155" t="s">
        <v>1685</v>
      </c>
      <c r="B3" s="156"/>
      <c r="C3" s="156"/>
      <c r="D3" s="157"/>
      <c r="I3" s="2061" t="s">
        <v>54</v>
      </c>
      <c r="J3" s="2060"/>
      <c r="K3" s="2060"/>
      <c r="L3" s="2060"/>
      <c r="M3" s="2060"/>
      <c r="N3" s="2060"/>
      <c r="O3" s="2060"/>
      <c r="P3" s="2060"/>
      <c r="Q3" s="2060"/>
      <c r="R3" s="2060"/>
      <c r="S3" s="2060"/>
    </row>
    <row r="4" spans="1:28" ht="12" customHeight="1" x14ac:dyDescent="0.2">
      <c r="A4" s="37"/>
      <c r="I4" s="2061" t="s">
        <v>545</v>
      </c>
      <c r="J4" s="2060"/>
      <c r="K4" s="2060"/>
      <c r="L4" s="2060"/>
      <c r="M4" s="2060"/>
      <c r="N4" s="2060"/>
      <c r="O4" s="2060"/>
      <c r="P4" s="2060"/>
      <c r="Q4" s="2060"/>
      <c r="R4" s="2060"/>
      <c r="S4" s="2060"/>
    </row>
    <row r="5" spans="1:28" ht="14.1" customHeight="1" x14ac:dyDescent="0.2">
      <c r="B5" s="104" t="s">
        <v>2073</v>
      </c>
      <c r="C5" s="26" t="s">
        <v>966</v>
      </c>
      <c r="D5" s="84"/>
      <c r="E5" s="84"/>
      <c r="H5" s="38"/>
      <c r="I5" s="2068" t="s">
        <v>701</v>
      </c>
      <c r="J5" s="2010"/>
      <c r="K5" s="2010"/>
      <c r="L5" s="2010"/>
      <c r="M5" s="2010"/>
      <c r="N5" s="2010"/>
      <c r="O5" s="2010"/>
      <c r="P5" s="2010"/>
      <c r="Q5" s="2010"/>
      <c r="R5" s="2010"/>
      <c r="S5" s="2010"/>
    </row>
    <row r="6" spans="1:28" ht="14.1" customHeight="1" x14ac:dyDescent="0.2">
      <c r="B6" s="104"/>
      <c r="C6" s="26" t="s">
        <v>967</v>
      </c>
      <c r="D6" s="84"/>
      <c r="E6" s="84"/>
      <c r="I6" s="2067" t="s">
        <v>938</v>
      </c>
      <c r="J6" s="2010"/>
      <c r="K6" s="2010"/>
      <c r="L6" s="2010"/>
      <c r="M6" s="2010"/>
      <c r="N6" s="2010"/>
      <c r="O6" s="2010"/>
      <c r="P6" s="2010"/>
      <c r="Q6" s="2010"/>
      <c r="R6" s="2010"/>
      <c r="S6" s="2010"/>
    </row>
    <row r="7" spans="1:28" ht="12.2" customHeight="1" x14ac:dyDescent="0.2">
      <c r="I7" s="2062">
        <v>43281</v>
      </c>
      <c r="J7" s="2063"/>
      <c r="K7" s="2063"/>
      <c r="L7" s="2063"/>
      <c r="M7" s="2063"/>
      <c r="N7" s="2063"/>
      <c r="O7" s="2063"/>
      <c r="P7" s="2063"/>
      <c r="Q7" s="2063"/>
      <c r="R7" s="2063"/>
      <c r="S7" s="206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4" t="s">
        <v>695</v>
      </c>
      <c r="J9" s="2065"/>
      <c r="K9" s="2065"/>
      <c r="L9" s="2065"/>
      <c r="M9" s="2065"/>
      <c r="N9" s="2065"/>
      <c r="O9" s="2065"/>
      <c r="P9" s="2065"/>
      <c r="Q9" s="2065"/>
      <c r="R9" s="2065"/>
      <c r="S9" s="2066"/>
      <c r="T9" s="2006" t="s">
        <v>554</v>
      </c>
      <c r="U9" s="2007"/>
      <c r="V9" s="2007"/>
      <c r="W9" s="2007"/>
      <c r="X9" s="2007"/>
      <c r="Y9" s="2007"/>
      <c r="Z9" s="2007"/>
      <c r="AA9" s="2008"/>
    </row>
    <row r="10" spans="1:28" ht="13.5" customHeight="1" x14ac:dyDescent="0.2">
      <c r="A10" s="2015" t="s">
        <v>696</v>
      </c>
      <c r="B10" s="2016"/>
      <c r="C10" s="2016"/>
      <c r="D10" s="2016"/>
      <c r="E10" s="2016"/>
      <c r="F10" s="2016"/>
      <c r="G10" s="2016"/>
      <c r="H10" s="2017"/>
      <c r="I10" s="29"/>
      <c r="J10" s="30"/>
      <c r="K10" s="28"/>
      <c r="R10" s="30"/>
      <c r="S10" s="30"/>
      <c r="T10" s="2009"/>
      <c r="U10" s="2010"/>
      <c r="V10" s="2010"/>
      <c r="W10" s="2010"/>
      <c r="X10" s="2010"/>
      <c r="Y10" s="2010"/>
      <c r="Z10" s="2010"/>
      <c r="AA10" s="2011"/>
    </row>
    <row r="11" spans="1:28" ht="14.25" customHeight="1" x14ac:dyDescent="0.2">
      <c r="A11" s="2018" t="s">
        <v>1012</v>
      </c>
      <c r="B11" s="2019"/>
      <c r="C11" s="2019"/>
      <c r="D11" s="2019"/>
      <c r="E11" s="2019"/>
      <c r="F11" s="2019"/>
      <c r="G11" s="2019"/>
      <c r="H11" s="2020"/>
      <c r="I11" s="27"/>
      <c r="J11" s="74"/>
      <c r="K11" s="27"/>
      <c r="O11" s="148" t="s">
        <v>2073</v>
      </c>
      <c r="P11" s="100" t="s">
        <v>210</v>
      </c>
      <c r="Q11" s="30"/>
      <c r="R11" s="28"/>
      <c r="S11" s="27"/>
      <c r="T11" s="2012"/>
      <c r="U11" s="2013"/>
      <c r="V11" s="2013"/>
      <c r="W11" s="2013"/>
      <c r="X11" s="2013"/>
      <c r="Y11" s="2013"/>
      <c r="Z11" s="2013"/>
      <c r="AA11" s="201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7">
        <v>30039186026</v>
      </c>
      <c r="B13" s="2028"/>
      <c r="C13" s="2028"/>
      <c r="D13" s="2028"/>
      <c r="E13" s="2028"/>
      <c r="F13" s="2028"/>
      <c r="G13" s="2028"/>
      <c r="H13" s="2029"/>
      <c r="I13" s="31"/>
      <c r="J13" s="30"/>
      <c r="K13" s="28"/>
      <c r="L13" s="30"/>
      <c r="M13" s="30"/>
      <c r="N13" s="30"/>
      <c r="O13" s="30"/>
      <c r="P13" s="30"/>
      <c r="Q13" s="30"/>
      <c r="R13" s="30"/>
      <c r="S13" s="30"/>
      <c r="T13" s="2033" t="s">
        <v>2081</v>
      </c>
      <c r="U13" s="2034"/>
      <c r="V13" s="2034"/>
      <c r="W13" s="2034"/>
      <c r="X13" s="2034"/>
      <c r="Y13" s="2035"/>
      <c r="Z13" s="2035"/>
      <c r="AA13" s="203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2074</v>
      </c>
      <c r="B15" s="2031"/>
      <c r="C15" s="2031"/>
      <c r="D15" s="2031"/>
      <c r="E15" s="2031"/>
      <c r="F15" s="2031"/>
      <c r="G15" s="2031"/>
      <c r="H15" s="2032"/>
      <c r="T15" s="2037" t="s">
        <v>2082</v>
      </c>
      <c r="U15" s="2038"/>
      <c r="V15" s="2038"/>
      <c r="W15" s="2038"/>
      <c r="X15" s="2038"/>
      <c r="Y15" s="2039"/>
      <c r="Z15" s="2039"/>
      <c r="AA15" s="204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7" t="s">
        <v>2223</v>
      </c>
      <c r="B17" s="2057"/>
      <c r="C17" s="2057"/>
      <c r="D17" s="2057"/>
      <c r="E17" s="2057"/>
      <c r="F17" s="2057"/>
      <c r="G17" s="2057"/>
      <c r="H17" s="2058"/>
      <c r="T17" s="2044" t="s">
        <v>2083</v>
      </c>
      <c r="U17" s="2045"/>
      <c r="V17" s="2045"/>
      <c r="W17" s="2045"/>
      <c r="X17" s="2045"/>
      <c r="Y17" s="2045"/>
      <c r="Z17" s="2045"/>
      <c r="AA17" s="2046"/>
    </row>
    <row r="18" spans="1:27" ht="13.5" customHeight="1" x14ac:dyDescent="0.2">
      <c r="A18" s="85" t="s">
        <v>551</v>
      </c>
      <c r="B18" s="76"/>
      <c r="C18" s="72"/>
      <c r="D18" s="76"/>
      <c r="E18" s="76"/>
      <c r="F18" s="76"/>
      <c r="G18" s="76"/>
      <c r="H18" s="56"/>
      <c r="I18" s="2054" t="s">
        <v>697</v>
      </c>
      <c r="J18" s="2055"/>
      <c r="K18" s="2055"/>
      <c r="L18" s="2055"/>
      <c r="M18" s="2055"/>
      <c r="N18" s="2055"/>
      <c r="O18" s="2055"/>
      <c r="P18" s="2055"/>
      <c r="Q18" s="2055"/>
      <c r="R18" s="2055"/>
      <c r="S18" s="2056"/>
      <c r="T18" s="85" t="s">
        <v>735</v>
      </c>
      <c r="U18" s="51"/>
      <c r="V18" s="72"/>
      <c r="W18" s="50"/>
      <c r="X18" s="85" t="s">
        <v>284</v>
      </c>
      <c r="Y18" s="81"/>
      <c r="Z18" s="159" t="s">
        <v>698</v>
      </c>
      <c r="AA18" s="46"/>
    </row>
    <row r="19" spans="1:27" ht="13.5" customHeight="1" x14ac:dyDescent="0.2">
      <c r="A19" s="2024" t="s">
        <v>2075</v>
      </c>
      <c r="B19" s="2025"/>
      <c r="C19" s="2025"/>
      <c r="D19" s="2025"/>
      <c r="E19" s="2025"/>
      <c r="F19" s="2025"/>
      <c r="G19" s="2025"/>
      <c r="H19" s="2026"/>
      <c r="I19" s="30"/>
      <c r="J19" s="99"/>
      <c r="K19" s="40"/>
      <c r="L19" s="38"/>
      <c r="M19" s="112" t="s">
        <v>333</v>
      </c>
      <c r="P19" s="27"/>
      <c r="Q19" s="27"/>
      <c r="R19" s="27"/>
      <c r="S19" s="31"/>
      <c r="T19" s="2030" t="s">
        <v>2084</v>
      </c>
      <c r="U19" s="2022"/>
      <c r="V19" s="2022"/>
      <c r="W19" s="2023"/>
      <c r="X19" s="2042" t="s">
        <v>2085</v>
      </c>
      <c r="Y19" s="2043"/>
      <c r="Z19" s="2041">
        <v>62263</v>
      </c>
      <c r="AA19" s="202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1" t="s">
        <v>2076</v>
      </c>
      <c r="B21" s="2022"/>
      <c r="C21" s="2022"/>
      <c r="D21" s="2022"/>
      <c r="E21" s="2022"/>
      <c r="F21" s="2022"/>
      <c r="G21" s="2022"/>
      <c r="H21" s="2023"/>
      <c r="I21" s="2050" t="s">
        <v>699</v>
      </c>
      <c r="J21" s="2010"/>
      <c r="K21" s="2010"/>
      <c r="L21" s="2010"/>
      <c r="M21" s="2010"/>
      <c r="N21" s="2010"/>
      <c r="O21" s="2010"/>
      <c r="P21" s="2010"/>
      <c r="Q21" s="2010"/>
      <c r="R21" s="2010"/>
      <c r="S21" s="2011"/>
      <c r="T21" s="1992" t="s">
        <v>2086</v>
      </c>
      <c r="U21" s="1993"/>
      <c r="V21" s="1993"/>
      <c r="W21" s="1993"/>
      <c r="X21" s="2003" t="s">
        <v>2087</v>
      </c>
      <c r="Y21" s="2004"/>
      <c r="Z21" s="2004"/>
      <c r="AA21" s="2005"/>
    </row>
    <row r="22" spans="1:27" ht="13.5" customHeight="1" x14ac:dyDescent="0.2">
      <c r="A22" s="87" t="s">
        <v>552</v>
      </c>
      <c r="B22" s="59"/>
      <c r="C22" s="59"/>
      <c r="D22" s="59"/>
      <c r="E22" s="59"/>
      <c r="F22" s="59"/>
      <c r="G22" s="59"/>
      <c r="H22" s="60"/>
      <c r="I22" s="2051" t="s">
        <v>1504</v>
      </c>
      <c r="J22" s="2052"/>
      <c r="K22" s="2052"/>
      <c r="L22" s="2052"/>
      <c r="M22" s="2052"/>
      <c r="N22" s="2052"/>
      <c r="O22" s="2052"/>
      <c r="P22" s="2052"/>
      <c r="Q22" s="2052"/>
      <c r="R22" s="2052"/>
      <c r="S22" s="2053"/>
      <c r="T22" s="85" t="s">
        <v>1596</v>
      </c>
      <c r="U22" s="51"/>
      <c r="V22" s="72"/>
      <c r="W22" s="51"/>
      <c r="X22" s="160" t="s">
        <v>1385</v>
      </c>
      <c r="Z22" s="45"/>
      <c r="AA22" s="46"/>
    </row>
    <row r="23" spans="1:27" ht="13.5" customHeight="1" x14ac:dyDescent="0.2">
      <c r="A23" s="2047" t="s">
        <v>2077</v>
      </c>
      <c r="B23" s="2048"/>
      <c r="C23" s="2048"/>
      <c r="D23" s="2048"/>
      <c r="E23" s="2048"/>
      <c r="F23" s="2048"/>
      <c r="G23" s="2048"/>
      <c r="H23" s="2049"/>
      <c r="T23" s="1987" t="s">
        <v>2088</v>
      </c>
      <c r="U23" s="1988"/>
      <c r="V23" s="1988"/>
      <c r="W23" s="1988"/>
      <c r="X23" s="2000">
        <v>43466</v>
      </c>
      <c r="Y23" s="2001"/>
      <c r="Z23" s="2001"/>
      <c r="AA23" s="2002"/>
    </row>
    <row r="24" spans="1:27" ht="14.1" customHeight="1" x14ac:dyDescent="0.2">
      <c r="A24" s="88" t="s">
        <v>698</v>
      </c>
      <c r="B24" s="49"/>
      <c r="C24" s="49"/>
      <c r="D24" s="49"/>
      <c r="E24" s="49"/>
      <c r="F24" s="49"/>
      <c r="G24" s="49"/>
      <c r="H24" s="61"/>
      <c r="J24" s="2097">
        <f>IF(B5="x",IF(AUDITCHECK!D29="AFR form Incomplete.","",IF(AUDITCHECK!D29="Deficit reduction plan is required.","School District must complete a deficit reduction plan in the 2018-2019 Budget",)),"")</f>
        <v>0</v>
      </c>
      <c r="K24" s="2097"/>
      <c r="L24" s="2097"/>
      <c r="M24" s="2097"/>
      <c r="N24" s="2097"/>
      <c r="O24" s="2097"/>
      <c r="P24" s="2097"/>
      <c r="Q24" s="2097"/>
      <c r="R24" s="2097"/>
      <c r="S24" s="2098"/>
      <c r="T24" s="105" t="s">
        <v>552</v>
      </c>
      <c r="U24" s="106"/>
      <c r="V24" s="106"/>
      <c r="W24" s="106"/>
      <c r="X24" s="107"/>
      <c r="Y24" s="107"/>
      <c r="Z24" s="107"/>
      <c r="AA24" s="108"/>
    </row>
    <row r="25" spans="1:27" ht="14.1" customHeight="1" x14ac:dyDescent="0.2">
      <c r="A25" s="2085">
        <v>62966</v>
      </c>
      <c r="B25" s="2043"/>
      <c r="C25" s="2043"/>
      <c r="D25" s="2043"/>
      <c r="E25" s="2043"/>
      <c r="F25" s="2043"/>
      <c r="G25" s="2043"/>
      <c r="H25" s="2026"/>
      <c r="I25" s="113"/>
      <c r="J25" s="2099"/>
      <c r="K25" s="2099"/>
      <c r="L25" s="2099"/>
      <c r="M25" s="2099"/>
      <c r="N25" s="2099"/>
      <c r="O25" s="2099"/>
      <c r="P25" s="2099"/>
      <c r="Q25" s="2099"/>
      <c r="R25" s="2099"/>
      <c r="S25" s="2100"/>
      <c r="T25" s="1984" t="s">
        <v>2089</v>
      </c>
      <c r="U25" s="1985"/>
      <c r="V25" s="1985"/>
      <c r="W25" s="1985"/>
      <c r="X25" s="1985"/>
      <c r="Y25" s="1985"/>
      <c r="Z25" s="1985"/>
      <c r="AA25" s="198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9" t="s">
        <v>1591</v>
      </c>
      <c r="J27" s="2055"/>
      <c r="K27" s="2055"/>
      <c r="L27" s="2055"/>
      <c r="M27" s="2055"/>
      <c r="N27" s="2055"/>
      <c r="O27" s="2055"/>
      <c r="P27" s="2055"/>
      <c r="Q27" s="2055"/>
      <c r="R27" s="2055"/>
      <c r="S27" s="205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6"/>
      <c r="Q35" s="2022"/>
      <c r="R35" s="20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7" t="s">
        <v>2078</v>
      </c>
      <c r="B38" s="2057"/>
      <c r="C38" s="2057"/>
      <c r="D38" s="2057"/>
      <c r="E38" s="2057"/>
      <c r="F38" s="2022"/>
      <c r="G38" s="2022"/>
      <c r="H38" s="2023"/>
      <c r="I38" s="2073"/>
      <c r="J38" s="2038"/>
      <c r="K38" s="2038"/>
      <c r="L38" s="2038"/>
      <c r="M38" s="2038"/>
      <c r="N38" s="2038"/>
      <c r="O38" s="2038"/>
      <c r="P38" s="2074"/>
      <c r="Q38" s="2074"/>
      <c r="R38" s="2074"/>
      <c r="S38" s="2075"/>
      <c r="T38" s="1994" t="s">
        <v>2090</v>
      </c>
      <c r="U38" s="1995"/>
      <c r="V38" s="1995"/>
      <c r="W38" s="1995"/>
      <c r="X38" s="1990"/>
      <c r="Y38" s="1990"/>
      <c r="Z38" s="1990"/>
      <c r="AA38" s="1991"/>
    </row>
    <row r="39" spans="1:27" ht="12" customHeight="1" x14ac:dyDescent="0.2">
      <c r="A39" s="2087" t="s">
        <v>552</v>
      </c>
      <c r="B39" s="2088"/>
      <c r="C39" s="72"/>
      <c r="D39" s="69"/>
      <c r="E39" s="69"/>
      <c r="F39" s="79"/>
      <c r="G39" s="69"/>
      <c r="H39" s="56"/>
      <c r="I39" s="2087" t="s">
        <v>552</v>
      </c>
      <c r="J39" s="2088"/>
      <c r="K39" s="2088"/>
      <c r="L39" s="2088"/>
      <c r="M39" s="2088"/>
      <c r="N39" s="67"/>
      <c r="O39" s="72"/>
      <c r="P39" s="72"/>
      <c r="Q39" s="78"/>
      <c r="R39" s="72"/>
      <c r="S39" s="56"/>
      <c r="T39" s="72" t="s">
        <v>552</v>
      </c>
      <c r="U39" s="51"/>
      <c r="V39" s="72"/>
      <c r="W39" s="50"/>
      <c r="X39" s="78"/>
      <c r="Y39" s="45"/>
      <c r="Z39" s="45"/>
      <c r="AA39" s="46"/>
    </row>
    <row r="40" spans="1:27" ht="13.5" customHeight="1" x14ac:dyDescent="0.2">
      <c r="A40" s="2090"/>
      <c r="B40" s="2091"/>
      <c r="C40" s="2092"/>
      <c r="D40" s="2092"/>
      <c r="E40" s="2092"/>
      <c r="F40" s="2093"/>
      <c r="G40" s="2093"/>
      <c r="H40" s="2094"/>
      <c r="I40" s="2082"/>
      <c r="J40" s="2083"/>
      <c r="K40" s="2083"/>
      <c r="L40" s="2083"/>
      <c r="M40" s="2083"/>
      <c r="N40" s="2083"/>
      <c r="O40" s="2083"/>
      <c r="P40" s="2083"/>
      <c r="Q40" s="2083"/>
      <c r="R40" s="2083"/>
      <c r="S40" s="2084"/>
      <c r="T40" s="1996" t="s">
        <v>2091</v>
      </c>
      <c r="U40" s="1997"/>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4" t="s">
        <v>2079</v>
      </c>
      <c r="B42" s="2043"/>
      <c r="C42" s="2026"/>
      <c r="D42" s="2095" t="s">
        <v>2080</v>
      </c>
      <c r="E42" s="2043"/>
      <c r="F42" s="2043"/>
      <c r="G42" s="2043"/>
      <c r="H42" s="2026"/>
      <c r="I42" s="2086"/>
      <c r="J42" s="2080"/>
      <c r="K42" s="2080"/>
      <c r="L42" s="2080"/>
      <c r="M42" s="2080"/>
      <c r="N42" s="2080"/>
      <c r="O42" s="2081"/>
      <c r="P42" s="2079"/>
      <c r="Q42" s="2080"/>
      <c r="R42" s="2080"/>
      <c r="S42" s="2081"/>
      <c r="T42" s="1994" t="s">
        <v>2092</v>
      </c>
      <c r="U42" s="1990"/>
      <c r="V42" s="1990"/>
      <c r="W42" s="1991"/>
      <c r="X42" s="1989" t="s">
        <v>2093</v>
      </c>
      <c r="Y42" s="1990"/>
      <c r="Z42" s="1990"/>
      <c r="AA42" s="199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6"/>
      <c r="B44" s="2077"/>
      <c r="C44" s="2077"/>
      <c r="D44" s="2077"/>
      <c r="E44" s="2077"/>
      <c r="F44" s="2077"/>
      <c r="G44" s="2077"/>
      <c r="H44" s="2078"/>
      <c r="I44" s="2069"/>
      <c r="J44" s="2071"/>
      <c r="K44" s="2071"/>
      <c r="L44" s="2071"/>
      <c r="M44" s="2071"/>
      <c r="N44" s="2071"/>
      <c r="O44" s="2071"/>
      <c r="P44" s="2071"/>
      <c r="Q44" s="2071"/>
      <c r="R44" s="2071"/>
      <c r="S44" s="2072"/>
      <c r="T44" s="2069"/>
      <c r="U44" s="2070"/>
      <c r="V44" s="2070"/>
      <c r="W44" s="2070"/>
      <c r="X44" s="2070"/>
      <c r="Y44" s="2070"/>
      <c r="Z44" s="2071"/>
      <c r="AA44" s="207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8" sqref="E4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34" t="s">
        <v>1901</v>
      </c>
      <c r="B2" s="1549" t="s">
        <v>2031</v>
      </c>
      <c r="C2" s="715" t="s">
        <v>1906</v>
      </c>
      <c r="D2" s="715" t="s">
        <v>1907</v>
      </c>
      <c r="E2" s="715" t="s">
        <v>1908</v>
      </c>
      <c r="F2" s="715" t="s">
        <v>1909</v>
      </c>
    </row>
    <row r="3" spans="1:6" ht="12" customHeight="1" x14ac:dyDescent="0.2">
      <c r="A3" s="2235"/>
      <c r="B3" s="1546"/>
      <c r="C3" s="1547"/>
      <c r="D3" s="1548" t="s">
        <v>274</v>
      </c>
      <c r="E3" s="1547"/>
      <c r="F3" s="1548" t="s">
        <v>275</v>
      </c>
    </row>
    <row r="4" spans="1:6" ht="13.7" customHeight="1" x14ac:dyDescent="0.2">
      <c r="A4" s="716" t="s">
        <v>1217</v>
      </c>
      <c r="B4" s="1769">
        <f>'Revenues 9-14'!C5</f>
        <v>4379181</v>
      </c>
      <c r="C4" s="1545"/>
      <c r="D4" s="1772">
        <f>B4-C4</f>
        <v>4379181</v>
      </c>
      <c r="E4" s="1545">
        <v>4623351</v>
      </c>
      <c r="F4" s="1772">
        <f>E4-C4</f>
        <v>4623351</v>
      </c>
    </row>
    <row r="5" spans="1:6" ht="13.7" customHeight="1" x14ac:dyDescent="0.2">
      <c r="A5" s="716" t="s">
        <v>925</v>
      </c>
      <c r="B5" s="1770">
        <f>'Revenues 9-14'!D5</f>
        <v>694536</v>
      </c>
      <c r="C5" s="585"/>
      <c r="D5" s="1773">
        <f t="shared" ref="D5:D18" si="0">B5-C5</f>
        <v>694536</v>
      </c>
      <c r="E5" s="585">
        <v>708001</v>
      </c>
      <c r="F5" s="1773">
        <f>E5-C5</f>
        <v>708001</v>
      </c>
    </row>
    <row r="6" spans="1:6" ht="13.7" customHeight="1" x14ac:dyDescent="0.2">
      <c r="A6" s="716" t="s">
        <v>431</v>
      </c>
      <c r="B6" s="1770">
        <f>'Revenues 9-14'!E5</f>
        <v>478793</v>
      </c>
      <c r="C6" s="585"/>
      <c r="D6" s="1773">
        <f t="shared" si="0"/>
        <v>478793</v>
      </c>
      <c r="E6" s="585">
        <v>355546</v>
      </c>
      <c r="F6" s="1773">
        <f t="shared" ref="F6:F18" si="1">E6-C6</f>
        <v>355546</v>
      </c>
    </row>
    <row r="7" spans="1:6" ht="13.7" customHeight="1" x14ac:dyDescent="0.2">
      <c r="A7" s="716" t="s">
        <v>157</v>
      </c>
      <c r="B7" s="1770">
        <f>'Revenues 9-14'!F5</f>
        <v>347272</v>
      </c>
      <c r="C7" s="585"/>
      <c r="D7" s="1773">
        <f t="shared" si="0"/>
        <v>347272</v>
      </c>
      <c r="E7" s="585">
        <v>353507</v>
      </c>
      <c r="F7" s="1773">
        <f t="shared" si="1"/>
        <v>353507</v>
      </c>
    </row>
    <row r="8" spans="1:6" ht="13.7" customHeight="1" x14ac:dyDescent="0.2">
      <c r="A8" s="716" t="s">
        <v>1241</v>
      </c>
      <c r="B8" s="1770">
        <f>'Revenues 9-14'!G5</f>
        <v>302614</v>
      </c>
      <c r="C8" s="585"/>
      <c r="D8" s="1773">
        <f t="shared" si="0"/>
        <v>302614</v>
      </c>
      <c r="E8" s="585">
        <v>323500</v>
      </c>
      <c r="F8" s="1773">
        <f t="shared" si="1"/>
        <v>323500</v>
      </c>
    </row>
    <row r="9" spans="1:6" ht="13.7" customHeight="1" x14ac:dyDescent="0.2">
      <c r="A9" s="716" t="s">
        <v>428</v>
      </c>
      <c r="B9" s="1770">
        <f>'Revenues 9-14'!H5</f>
        <v>0</v>
      </c>
      <c r="C9" s="585"/>
      <c r="D9" s="1773">
        <f t="shared" si="0"/>
        <v>0</v>
      </c>
      <c r="E9" s="585">
        <v>0</v>
      </c>
      <c r="F9" s="1773">
        <f t="shared" si="1"/>
        <v>0</v>
      </c>
    </row>
    <row r="10" spans="1:6" ht="13.7" customHeight="1" x14ac:dyDescent="0.2">
      <c r="A10" s="716" t="s">
        <v>427</v>
      </c>
      <c r="B10" s="1770">
        <f>'Revenues 9-14'!I5</f>
        <v>74417</v>
      </c>
      <c r="C10" s="585"/>
      <c r="D10" s="1773">
        <f t="shared" si="0"/>
        <v>74417</v>
      </c>
      <c r="E10" s="585">
        <v>76005</v>
      </c>
      <c r="F10" s="1773">
        <f t="shared" si="1"/>
        <v>76005</v>
      </c>
    </row>
    <row r="11" spans="1:6" x14ac:dyDescent="0.2">
      <c r="A11" s="716" t="s">
        <v>429</v>
      </c>
      <c r="B11" s="1770">
        <f>'Revenues 9-14'!J5</f>
        <v>491130</v>
      </c>
      <c r="C11" s="585"/>
      <c r="D11" s="1773">
        <f t="shared" si="0"/>
        <v>491130</v>
      </c>
      <c r="E11" s="585">
        <v>477979</v>
      </c>
      <c r="F11" s="1773">
        <f t="shared" si="1"/>
        <v>477979</v>
      </c>
    </row>
    <row r="12" spans="1:6" ht="13.7" customHeight="1" x14ac:dyDescent="0.2">
      <c r="A12" s="716" t="s">
        <v>159</v>
      </c>
      <c r="B12" s="1770">
        <f>'Revenues 9-14'!K5</f>
        <v>79371</v>
      </c>
      <c r="C12" s="585"/>
      <c r="D12" s="1773">
        <f t="shared" si="0"/>
        <v>79371</v>
      </c>
      <c r="E12" s="585">
        <v>81006</v>
      </c>
      <c r="F12" s="1773">
        <f t="shared" si="1"/>
        <v>81006</v>
      </c>
    </row>
    <row r="13" spans="1:6" ht="13.7" customHeight="1" x14ac:dyDescent="0.2">
      <c r="A13" s="716" t="s">
        <v>993</v>
      </c>
      <c r="B13" s="1770">
        <f>SUM('Revenues 9-14'!C6:D6)</f>
        <v>81859</v>
      </c>
      <c r="C13" s="585"/>
      <c r="D13" s="1773">
        <f t="shared" si="0"/>
        <v>81859</v>
      </c>
      <c r="E13" s="585">
        <v>83507</v>
      </c>
      <c r="F13" s="1773">
        <f t="shared" si="1"/>
        <v>83507</v>
      </c>
    </row>
    <row r="14" spans="1:6" ht="13.7" customHeight="1" x14ac:dyDescent="0.2">
      <c r="A14" s="716" t="s">
        <v>430</v>
      </c>
      <c r="B14" s="1770">
        <f>SUM('Revenues 9-14'!C7:D7,'Revenues 9-14'!F7:H7)</f>
        <v>84332</v>
      </c>
      <c r="C14" s="585"/>
      <c r="D14" s="1773">
        <f t="shared" si="0"/>
        <v>84332</v>
      </c>
      <c r="E14" s="585">
        <v>86008</v>
      </c>
      <c r="F14" s="1773">
        <f t="shared" si="1"/>
        <v>86008</v>
      </c>
    </row>
    <row r="15" spans="1:6" ht="13.7" customHeight="1" x14ac:dyDescent="0.2">
      <c r="A15" s="716" t="s">
        <v>1220</v>
      </c>
      <c r="B15" s="1770">
        <f>'Revenues 9-14'!E9</f>
        <v>0</v>
      </c>
      <c r="C15" s="585"/>
      <c r="D15" s="1773">
        <f t="shared" si="0"/>
        <v>0</v>
      </c>
      <c r="E15" s="585">
        <v>0</v>
      </c>
      <c r="F15" s="1773">
        <f t="shared" si="1"/>
        <v>0</v>
      </c>
    </row>
    <row r="16" spans="1:6" ht="13.7" customHeight="1" x14ac:dyDescent="0.2">
      <c r="A16" s="716" t="s">
        <v>1221</v>
      </c>
      <c r="B16" s="1770">
        <f>'Revenues 9-14'!G8</f>
        <v>325446</v>
      </c>
      <c r="C16" s="585"/>
      <c r="D16" s="1773">
        <f t="shared" si="0"/>
        <v>325446</v>
      </c>
      <c r="E16" s="585">
        <v>328485</v>
      </c>
      <c r="F16" s="1773">
        <f t="shared" si="1"/>
        <v>328485</v>
      </c>
    </row>
    <row r="17" spans="1:6" ht="13.7" customHeight="1" x14ac:dyDescent="0.2">
      <c r="A17" s="716" t="s">
        <v>1222</v>
      </c>
      <c r="B17" s="1770">
        <f>'Revenues 9-14'!C10</f>
        <v>0</v>
      </c>
      <c r="C17" s="585"/>
      <c r="D17" s="1773">
        <f t="shared" si="0"/>
        <v>0</v>
      </c>
      <c r="E17" s="585">
        <v>0</v>
      </c>
      <c r="F17" s="1773">
        <f t="shared" si="1"/>
        <v>0</v>
      </c>
    </row>
    <row r="18" spans="1:6" ht="13.7" customHeight="1" x14ac:dyDescent="0.2">
      <c r="A18" s="716" t="s">
        <v>786</v>
      </c>
      <c r="B18" s="1770">
        <f>SUM('Revenues 9-14'!C11:K11)</f>
        <v>0</v>
      </c>
      <c r="C18" s="585"/>
      <c r="D18" s="1773">
        <f t="shared" si="0"/>
        <v>0</v>
      </c>
      <c r="E18" s="585">
        <v>0</v>
      </c>
      <c r="F18" s="1773">
        <f t="shared" si="1"/>
        <v>0</v>
      </c>
    </row>
    <row r="19" spans="1:6" ht="13.7" customHeight="1" thickBot="1" x14ac:dyDescent="0.25">
      <c r="A19" s="1774" t="s">
        <v>1223</v>
      </c>
      <c r="B19" s="1771">
        <f>SUM(B4:B18)</f>
        <v>7338951</v>
      </c>
      <c r="C19" s="1771">
        <f>SUM(C4:C18)</f>
        <v>0</v>
      </c>
      <c r="D19" s="1771">
        <f>SUM(D4:D18)</f>
        <v>7338951</v>
      </c>
      <c r="E19" s="1771">
        <f>SUM(E4:E18)</f>
        <v>7496895</v>
      </c>
      <c r="F19" s="1771">
        <f>SUM(F4:F18)</f>
        <v>7496895</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1" colorId="8" zoomScale="110" zoomScaleNormal="110" workbookViewId="0">
      <selection activeCell="E48" sqref="E4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0" t="s">
        <v>650</v>
      </c>
      <c r="B1" s="2241"/>
      <c r="C1" s="722"/>
    </row>
    <row r="2" spans="1:7" ht="33.75" x14ac:dyDescent="0.2">
      <c r="A2" s="2249" t="s">
        <v>1901</v>
      </c>
      <c r="B2" s="2250"/>
      <c r="C2" s="1904" t="s">
        <v>2032</v>
      </c>
      <c r="D2" s="724" t="s">
        <v>2039</v>
      </c>
      <c r="E2" s="724" t="s">
        <v>2040</v>
      </c>
      <c r="F2" s="1904" t="s">
        <v>2033</v>
      </c>
    </row>
    <row r="3" spans="1:7" ht="15.75" customHeight="1" x14ac:dyDescent="0.2">
      <c r="A3" s="2253" t="s">
        <v>1176</v>
      </c>
      <c r="B3" s="2254"/>
      <c r="C3" s="2242"/>
      <c r="D3" s="2243"/>
      <c r="E3" s="2243"/>
      <c r="F3" s="2244"/>
    </row>
    <row r="4" spans="1:7" ht="12.75" customHeight="1" thickBot="1" x14ac:dyDescent="0.25">
      <c r="A4" s="2251" t="s">
        <v>651</v>
      </c>
      <c r="B4" s="2252"/>
      <c r="C4" s="581"/>
      <c r="D4" s="581"/>
      <c r="E4" s="581"/>
      <c r="F4" s="1775">
        <f>SUM(C4+D4)-E4</f>
        <v>0</v>
      </c>
    </row>
    <row r="5" spans="1:7" ht="15.75" customHeight="1" thickTop="1" x14ac:dyDescent="0.2">
      <c r="A5" s="2236" t="s">
        <v>1172</v>
      </c>
      <c r="B5" s="2237"/>
      <c r="C5" s="2245"/>
      <c r="D5" s="2246"/>
      <c r="E5" s="2246"/>
      <c r="F5" s="2247"/>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38" t="s">
        <v>652</v>
      </c>
      <c r="B15" s="2239"/>
      <c r="C15" s="1775">
        <f>SUM(C6:C14)</f>
        <v>0</v>
      </c>
      <c r="D15" s="1775">
        <f>SUM(D6:D14)</f>
        <v>0</v>
      </c>
      <c r="E15" s="1775">
        <f>SUM(E6:E14)</f>
        <v>0</v>
      </c>
      <c r="F15" s="1775">
        <f>SUM(F6:F14)</f>
        <v>0</v>
      </c>
      <c r="G15" s="552"/>
    </row>
    <row r="16" spans="1:7" s="202" customFormat="1" ht="15.75" customHeight="1" thickTop="1" x14ac:dyDescent="0.2">
      <c r="A16" s="2248" t="s">
        <v>1173</v>
      </c>
      <c r="B16" s="2237"/>
      <c r="C16" s="2245"/>
      <c r="D16" s="2246"/>
      <c r="E16" s="2246"/>
      <c r="F16" s="2247"/>
    </row>
    <row r="17" spans="1:11" ht="12.75" customHeight="1" thickBot="1" x14ac:dyDescent="0.25">
      <c r="A17" s="2261" t="s">
        <v>66</v>
      </c>
      <c r="B17" s="2262"/>
      <c r="C17" s="727"/>
      <c r="D17" s="585"/>
      <c r="E17" s="727"/>
      <c r="F17" s="1775">
        <f>SUM(C17+D17)-E17</f>
        <v>0</v>
      </c>
    </row>
    <row r="18" spans="1:11" ht="12.75" customHeight="1" thickTop="1" thickBot="1" x14ac:dyDescent="0.25">
      <c r="A18" s="2261" t="s">
        <v>6</v>
      </c>
      <c r="B18" s="2262"/>
      <c r="C18" s="727"/>
      <c r="D18" s="585"/>
      <c r="E18" s="727"/>
      <c r="F18" s="1775">
        <f>SUM(C18+D18)-E18</f>
        <v>0</v>
      </c>
    </row>
    <row r="19" spans="1:11" ht="12.75" customHeight="1" thickTop="1" thickBot="1" x14ac:dyDescent="0.25">
      <c r="A19" s="2261" t="s">
        <v>406</v>
      </c>
      <c r="B19" s="2262"/>
      <c r="C19" s="727"/>
      <c r="D19" s="585"/>
      <c r="E19" s="727"/>
      <c r="F19" s="1775">
        <f>SUM(C19+D19)-E19</f>
        <v>0</v>
      </c>
    </row>
    <row r="20" spans="1:11" ht="12.75" customHeight="1" thickTop="1" thickBot="1" x14ac:dyDescent="0.25">
      <c r="A20" s="2261" t="s">
        <v>468</v>
      </c>
      <c r="B20" s="2262"/>
      <c r="C20" s="727"/>
      <c r="D20" s="585"/>
      <c r="E20" s="727"/>
      <c r="F20" s="1775">
        <f>SUM(C20+D20)-E20</f>
        <v>0</v>
      </c>
    </row>
    <row r="21" spans="1:11" ht="14.25" thickTop="1" thickBot="1" x14ac:dyDescent="0.25">
      <c r="A21" s="2238" t="s">
        <v>653</v>
      </c>
      <c r="B21" s="2239"/>
      <c r="C21" s="1775">
        <f>SUM(C17:C20)</f>
        <v>0</v>
      </c>
      <c r="D21" s="1775">
        <f>SUM(D17:D20)</f>
        <v>0</v>
      </c>
      <c r="E21" s="1775">
        <f>SUM(E17:E20)</f>
        <v>0</v>
      </c>
      <c r="F21" s="1775">
        <f>SUM(F17:F20)</f>
        <v>0</v>
      </c>
      <c r="G21" s="552"/>
    </row>
    <row r="22" spans="1:11" ht="15.75" customHeight="1" thickTop="1" x14ac:dyDescent="0.2">
      <c r="A22" s="2263" t="s">
        <v>1174</v>
      </c>
      <c r="B22" s="2237"/>
      <c r="C22" s="2245"/>
      <c r="D22" s="2246"/>
      <c r="E22" s="2246"/>
      <c r="F22" s="2247"/>
    </row>
    <row r="23" spans="1:11" ht="13.5" thickBot="1" x14ac:dyDescent="0.25">
      <c r="A23" s="2251" t="s">
        <v>654</v>
      </c>
      <c r="B23" s="2252"/>
      <c r="C23" s="581"/>
      <c r="D23" s="581"/>
      <c r="E23" s="581"/>
      <c r="F23" s="1775">
        <f>SUM(C23+D23)-E23</f>
        <v>0</v>
      </c>
      <c r="G23" s="552"/>
    </row>
    <row r="24" spans="1:11" ht="15.75" customHeight="1" thickTop="1" x14ac:dyDescent="0.2">
      <c r="A24" s="2263" t="s">
        <v>1175</v>
      </c>
      <c r="B24" s="2237"/>
      <c r="C24" s="2245"/>
      <c r="D24" s="2246"/>
      <c r="E24" s="2246"/>
      <c r="F24" s="2247"/>
    </row>
    <row r="25" spans="1:11" ht="13.5" thickBot="1" x14ac:dyDescent="0.25">
      <c r="A25" s="2251" t="s">
        <v>655</v>
      </c>
      <c r="B25" s="2252"/>
      <c r="C25" s="581"/>
      <c r="D25" s="581"/>
      <c r="E25" s="581"/>
      <c r="F25" s="1775">
        <f>SUM(C25+D25)-E25</f>
        <v>0</v>
      </c>
      <c r="G25" s="552"/>
    </row>
    <row r="26" spans="1:11" ht="15.75" customHeight="1" thickTop="1" x14ac:dyDescent="0.2">
      <c r="A26" s="2236" t="s">
        <v>678</v>
      </c>
      <c r="B26" s="2237"/>
      <c r="C26" s="728"/>
      <c r="D26" s="728"/>
      <c r="E26" s="728"/>
      <c r="F26" s="729"/>
    </row>
    <row r="27" spans="1:11" ht="13.5" thickBot="1" x14ac:dyDescent="0.25">
      <c r="A27" s="2238" t="s">
        <v>1130</v>
      </c>
      <c r="B27" s="2239"/>
      <c r="C27" s="585"/>
      <c r="D27" s="585"/>
      <c r="E27" s="585"/>
      <c r="F27" s="1775">
        <f>SUM(C27+D27)-E27</f>
        <v>0</v>
      </c>
      <c r="G27" s="552"/>
    </row>
    <row r="28" spans="1:11" ht="7.5" customHeight="1" thickTop="1" x14ac:dyDescent="0.2">
      <c r="A28" s="594"/>
    </row>
    <row r="29" spans="1:11" ht="23.25" customHeight="1" x14ac:dyDescent="0.2">
      <c r="A29" s="2264" t="s">
        <v>603</v>
      </c>
      <c r="B29" s="2241"/>
      <c r="C29" s="730"/>
      <c r="D29" s="730"/>
      <c r="E29" s="730"/>
      <c r="F29" s="730"/>
      <c r="G29" s="730"/>
      <c r="H29" s="730"/>
      <c r="I29" s="730"/>
      <c r="J29" s="730"/>
    </row>
    <row r="30" spans="1:11" ht="33.75" x14ac:dyDescent="0.2">
      <c r="A30" s="1550" t="s">
        <v>1131</v>
      </c>
      <c r="B30" s="731" t="s">
        <v>1186</v>
      </c>
      <c r="C30" s="1905" t="s">
        <v>604</v>
      </c>
      <c r="D30" s="1905" t="s">
        <v>1772</v>
      </c>
      <c r="E30" s="1905" t="s">
        <v>2034</v>
      </c>
      <c r="F30" s="1905" t="s">
        <v>2035</v>
      </c>
      <c r="G30" s="1905" t="s">
        <v>2038</v>
      </c>
      <c r="H30" s="1905" t="s">
        <v>2036</v>
      </c>
      <c r="I30" s="1905" t="s">
        <v>2037</v>
      </c>
      <c r="J30" s="1906" t="s">
        <v>2</v>
      </c>
      <c r="K30" s="732"/>
    </row>
    <row r="31" spans="1:11" ht="12" customHeight="1" x14ac:dyDescent="0.2">
      <c r="A31" s="1952" t="s">
        <v>2094</v>
      </c>
      <c r="B31" s="1953">
        <v>39995</v>
      </c>
      <c r="C31" s="1954">
        <v>3300000</v>
      </c>
      <c r="D31" s="1955">
        <v>4</v>
      </c>
      <c r="E31" s="735">
        <v>2260000</v>
      </c>
      <c r="F31" s="735"/>
      <c r="G31" s="735"/>
      <c r="H31" s="735">
        <v>390000</v>
      </c>
      <c r="I31" s="1776">
        <f>((E31+F31)-H31)+G31</f>
        <v>1870000</v>
      </c>
      <c r="J31" s="735">
        <v>1870000</v>
      </c>
      <c r="K31" s="737"/>
    </row>
    <row r="32" spans="1:11" ht="12" customHeight="1" x14ac:dyDescent="0.2">
      <c r="A32" s="733" t="s">
        <v>2095</v>
      </c>
      <c r="B32" s="734">
        <v>43052</v>
      </c>
      <c r="C32" s="735">
        <v>5490000</v>
      </c>
      <c r="D32" s="736">
        <v>4</v>
      </c>
      <c r="E32" s="735"/>
      <c r="F32" s="735">
        <v>5490000</v>
      </c>
      <c r="G32" s="735"/>
      <c r="H32" s="735"/>
      <c r="I32" s="1776">
        <f>((E32+F32)-H32)+G32</f>
        <v>5490000</v>
      </c>
      <c r="J32" s="735">
        <v>5128664</v>
      </c>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8790000</v>
      </c>
      <c r="D49" s="746"/>
      <c r="E49" s="1776">
        <f t="shared" ref="E49:J49" si="2">SUM(E31:E48)</f>
        <v>2260000</v>
      </c>
      <c r="F49" s="1776">
        <f t="shared" si="2"/>
        <v>5490000</v>
      </c>
      <c r="G49" s="1776">
        <f t="shared" si="2"/>
        <v>0</v>
      </c>
      <c r="H49" s="1776">
        <f t="shared" si="2"/>
        <v>390000</v>
      </c>
      <c r="I49" s="1776">
        <f t="shared" si="2"/>
        <v>7360000</v>
      </c>
      <c r="J49" s="1776">
        <f t="shared" si="2"/>
        <v>6998664</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55" t="s">
        <v>605</v>
      </c>
      <c r="C52" s="2256"/>
      <c r="D52" s="2256"/>
      <c r="E52" s="750" t="s">
        <v>900</v>
      </c>
      <c r="F52" s="2257"/>
      <c r="G52" s="2258"/>
      <c r="H52" s="737"/>
      <c r="I52" s="737"/>
      <c r="J52" s="747"/>
    </row>
    <row r="53" spans="1:11" ht="11.25" customHeight="1" x14ac:dyDescent="0.2">
      <c r="A53" s="751" t="s">
        <v>969</v>
      </c>
      <c r="B53" s="752" t="s">
        <v>1008</v>
      </c>
      <c r="C53" s="747"/>
      <c r="D53" s="738"/>
      <c r="E53" s="750" t="s">
        <v>518</v>
      </c>
      <c r="F53" s="2259"/>
      <c r="G53" s="2260"/>
      <c r="H53" s="737"/>
      <c r="I53" s="737"/>
      <c r="J53" s="747"/>
    </row>
    <row r="54" spans="1:11" ht="11.25" customHeight="1" x14ac:dyDescent="0.2">
      <c r="A54" s="753" t="s">
        <v>970</v>
      </c>
      <c r="B54" s="748" t="s">
        <v>1009</v>
      </c>
      <c r="C54" s="747"/>
      <c r="D54" s="738"/>
      <c r="E54" s="750" t="s">
        <v>519</v>
      </c>
      <c r="F54" s="2259"/>
      <c r="G54" s="226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48" sqref="E4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9" t="s">
        <v>911</v>
      </c>
      <c r="B1" s="2290"/>
      <c r="C1" s="2290"/>
      <c r="D1" s="2290"/>
      <c r="E1" s="2290"/>
      <c r="F1" s="2290"/>
      <c r="G1" s="2291"/>
      <c r="H1" s="1551"/>
      <c r="I1" s="761"/>
      <c r="J1" s="433"/>
    </row>
    <row r="2" spans="1:11" ht="26.25" x14ac:dyDescent="0.2">
      <c r="A2" s="2268" t="s">
        <v>1776</v>
      </c>
      <c r="B2" s="2269"/>
      <c r="C2" s="2269"/>
      <c r="D2" s="2269"/>
      <c r="E2" s="2270"/>
      <c r="F2" s="762" t="s">
        <v>960</v>
      </c>
      <c r="G2" s="763" t="s">
        <v>1773</v>
      </c>
      <c r="H2" s="763" t="s">
        <v>430</v>
      </c>
      <c r="I2" s="763" t="s">
        <v>1220</v>
      </c>
      <c r="J2" s="763" t="s">
        <v>1915</v>
      </c>
      <c r="K2" s="763" t="s">
        <v>140</v>
      </c>
    </row>
    <row r="3" spans="1:11" x14ac:dyDescent="0.2">
      <c r="A3" s="2271" t="s">
        <v>1698</v>
      </c>
      <c r="B3" s="2272"/>
      <c r="C3" s="2272"/>
      <c r="D3" s="2272"/>
      <c r="E3" s="2273"/>
      <c r="F3" s="764"/>
      <c r="G3" s="765"/>
      <c r="H3" s="765"/>
      <c r="I3" s="765"/>
      <c r="J3" s="766"/>
      <c r="K3" s="766"/>
    </row>
    <row r="4" spans="1:11" x14ac:dyDescent="0.2">
      <c r="A4" s="2274" t="s">
        <v>387</v>
      </c>
      <c r="B4" s="2275"/>
      <c r="C4" s="2275"/>
      <c r="D4" s="2275"/>
      <c r="E4" s="2256"/>
      <c r="F4" s="767"/>
      <c r="G4" s="768"/>
      <c r="H4" s="769"/>
      <c r="I4" s="768"/>
      <c r="J4" s="770"/>
      <c r="K4" s="770"/>
    </row>
    <row r="5" spans="1:11" x14ac:dyDescent="0.2">
      <c r="A5" s="2292" t="s">
        <v>1129</v>
      </c>
      <c r="B5" s="2265"/>
      <c r="C5" s="2265"/>
      <c r="D5" s="2265"/>
      <c r="E5" s="2293"/>
      <c r="F5" s="771" t="s">
        <v>903</v>
      </c>
      <c r="G5" s="772"/>
      <c r="H5" s="765">
        <v>84332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2925</v>
      </c>
    </row>
    <row r="8" spans="1:11" x14ac:dyDescent="0.2">
      <c r="A8" s="779" t="s">
        <v>363</v>
      </c>
      <c r="B8" s="780"/>
      <c r="C8" s="780"/>
      <c r="D8" s="780"/>
      <c r="E8" s="781"/>
      <c r="F8" s="771" t="s">
        <v>906</v>
      </c>
      <c r="G8" s="783"/>
      <c r="H8" s="783"/>
      <c r="I8" s="783"/>
      <c r="J8" s="766">
        <v>1040548</v>
      </c>
      <c r="K8" s="770"/>
    </row>
    <row r="9" spans="1:11" x14ac:dyDescent="0.2">
      <c r="A9" s="779" t="s">
        <v>140</v>
      </c>
      <c r="B9" s="780"/>
      <c r="C9" s="780"/>
      <c r="D9" s="780"/>
      <c r="E9" s="781"/>
      <c r="F9" s="778" t="s">
        <v>908</v>
      </c>
      <c r="G9" s="783"/>
      <c r="H9" s="772"/>
      <c r="I9" s="772"/>
      <c r="J9" s="782"/>
      <c r="K9" s="766">
        <v>25746</v>
      </c>
    </row>
    <row r="10" spans="1:11" x14ac:dyDescent="0.2">
      <c r="A10" s="2292" t="s">
        <v>1916</v>
      </c>
      <c r="B10" s="2265"/>
      <c r="C10" s="2265"/>
      <c r="D10" s="2265"/>
      <c r="E10" s="2294"/>
      <c r="F10" s="784" t="s">
        <v>917</v>
      </c>
      <c r="G10" s="783"/>
      <c r="H10" s="785"/>
      <c r="I10" s="765"/>
      <c r="J10" s="766"/>
      <c r="K10" s="766"/>
    </row>
    <row r="11" spans="1:11" x14ac:dyDescent="0.2">
      <c r="A11" s="2292" t="s">
        <v>162</v>
      </c>
      <c r="B11" s="2265"/>
      <c r="C11" s="2265"/>
      <c r="D11" s="2265"/>
      <c r="E11" s="2293"/>
      <c r="F11" s="771" t="s">
        <v>907</v>
      </c>
      <c r="G11" s="772"/>
      <c r="H11" s="765"/>
      <c r="I11" s="765"/>
      <c r="J11" s="766"/>
      <c r="K11" s="774"/>
    </row>
    <row r="12" spans="1:11" ht="13.5" thickBot="1" x14ac:dyDescent="0.25">
      <c r="A12" s="2282" t="s">
        <v>961</v>
      </c>
      <c r="B12" s="2283"/>
      <c r="C12" s="2283"/>
      <c r="D12" s="2283"/>
      <c r="E12" s="2284"/>
      <c r="F12" s="1777"/>
      <c r="G12" s="1778">
        <f>SUM(G5:G11)</f>
        <v>0</v>
      </c>
      <c r="H12" s="1778">
        <f>SUM(H5:H11)</f>
        <v>84332</v>
      </c>
      <c r="I12" s="1778">
        <f>SUM(I5:I11)</f>
        <v>0</v>
      </c>
      <c r="J12" s="1778">
        <f>SUM(J5:J11)</f>
        <v>1040548</v>
      </c>
      <c r="K12" s="1778">
        <f>SUM(K5:K11)</f>
        <v>28671</v>
      </c>
    </row>
    <row r="13" spans="1:11" ht="13.5" thickTop="1" x14ac:dyDescent="0.2">
      <c r="A13" s="2276" t="s">
        <v>388</v>
      </c>
      <c r="B13" s="2277"/>
      <c r="C13" s="2277"/>
      <c r="D13" s="2277"/>
      <c r="E13" s="2278"/>
      <c r="F13" s="786"/>
      <c r="G13" s="787"/>
      <c r="H13" s="788"/>
      <c r="I13" s="789"/>
      <c r="J13" s="789"/>
      <c r="K13" s="789"/>
    </row>
    <row r="14" spans="1:11" x14ac:dyDescent="0.2">
      <c r="A14" s="2298" t="s">
        <v>476</v>
      </c>
      <c r="B14" s="2298"/>
      <c r="C14" s="2298"/>
      <c r="D14" s="2298"/>
      <c r="E14" s="2299"/>
      <c r="F14" s="790" t="s">
        <v>909</v>
      </c>
      <c r="G14" s="783"/>
      <c r="H14" s="765">
        <v>84332</v>
      </c>
      <c r="I14" s="772"/>
      <c r="J14" s="774"/>
      <c r="K14" s="766">
        <v>28671</v>
      </c>
    </row>
    <row r="15" spans="1:11" x14ac:dyDescent="0.2">
      <c r="A15" s="2265" t="s">
        <v>4</v>
      </c>
      <c r="B15" s="2265"/>
      <c r="C15" s="2265"/>
      <c r="D15" s="2265"/>
      <c r="E15" s="2293"/>
      <c r="F15" s="790" t="s">
        <v>910</v>
      </c>
      <c r="G15" s="772"/>
      <c r="H15" s="765"/>
      <c r="I15" s="765"/>
      <c r="J15" s="766">
        <v>1040548</v>
      </c>
      <c r="K15" s="766"/>
    </row>
    <row r="16" spans="1:11" x14ac:dyDescent="0.2">
      <c r="A16" s="2265" t="s">
        <v>316</v>
      </c>
      <c r="B16" s="2265"/>
      <c r="C16" s="2265"/>
      <c r="D16" s="2265"/>
      <c r="E16" s="2293"/>
      <c r="F16" s="790" t="s">
        <v>980</v>
      </c>
      <c r="G16" s="773"/>
      <c r="H16" s="768"/>
      <c r="I16" s="768"/>
      <c r="J16" s="770"/>
      <c r="K16" s="770"/>
    </row>
    <row r="17" spans="1:11" x14ac:dyDescent="0.2">
      <c r="A17" s="2287" t="s">
        <v>992</v>
      </c>
      <c r="B17" s="2287"/>
      <c r="C17" s="2287"/>
      <c r="D17" s="2287"/>
      <c r="E17" s="2288"/>
      <c r="F17" s="791"/>
      <c r="G17" s="792"/>
      <c r="H17" s="793"/>
      <c r="I17" s="793"/>
      <c r="J17" s="794"/>
      <c r="K17" s="795"/>
    </row>
    <row r="18" spans="1:11" x14ac:dyDescent="0.2">
      <c r="A18" s="2279" t="s">
        <v>386</v>
      </c>
      <c r="B18" s="2280"/>
      <c r="C18" s="2280"/>
      <c r="D18" s="2280"/>
      <c r="E18" s="2281"/>
      <c r="F18" s="790" t="s">
        <v>989</v>
      </c>
      <c r="G18" s="783"/>
      <c r="H18" s="783"/>
      <c r="I18" s="783"/>
      <c r="J18" s="766"/>
      <c r="K18" s="796"/>
    </row>
    <row r="19" spans="1:11" ht="21.75" customHeight="1" x14ac:dyDescent="0.2">
      <c r="A19" s="2300" t="s">
        <v>1912</v>
      </c>
      <c r="B19" s="2300"/>
      <c r="C19" s="2300"/>
      <c r="D19" s="2300"/>
      <c r="E19" s="2301"/>
      <c r="F19" s="790" t="s">
        <v>990</v>
      </c>
      <c r="G19" s="783"/>
      <c r="H19" s="783"/>
      <c r="I19" s="783"/>
      <c r="J19" s="766"/>
      <c r="K19" s="796"/>
    </row>
    <row r="20" spans="1:11" x14ac:dyDescent="0.2">
      <c r="A20" s="2279" t="s">
        <v>1917</v>
      </c>
      <c r="B20" s="2280"/>
      <c r="C20" s="2280"/>
      <c r="D20" s="2280"/>
      <c r="E20" s="2281"/>
      <c r="F20" s="790" t="s">
        <v>991</v>
      </c>
      <c r="G20" s="783"/>
      <c r="H20" s="783"/>
      <c r="I20" s="783"/>
      <c r="J20" s="766"/>
      <c r="K20" s="796"/>
    </row>
    <row r="21" spans="1:11" ht="13.5" thickBot="1" x14ac:dyDescent="0.25">
      <c r="A21" s="2285" t="s">
        <v>659</v>
      </c>
      <c r="B21" s="2285"/>
      <c r="C21" s="2285"/>
      <c r="D21" s="2285"/>
      <c r="E21" s="2285"/>
      <c r="F21" s="1779"/>
      <c r="G21" s="793"/>
      <c r="H21" s="797"/>
      <c r="I21" s="797"/>
      <c r="J21" s="1780">
        <f>SUM(J18:J20)</f>
        <v>0</v>
      </c>
      <c r="K21" s="794"/>
    </row>
    <row r="22" spans="1:11" ht="13.5" thickTop="1" x14ac:dyDescent="0.2">
      <c r="A22" s="2265" t="s">
        <v>1918</v>
      </c>
      <c r="B22" s="2265"/>
      <c r="C22" s="2265"/>
      <c r="D22" s="2265"/>
      <c r="E22" s="2293"/>
      <c r="F22" s="790" t="s">
        <v>917</v>
      </c>
      <c r="G22" s="783"/>
      <c r="H22" s="765"/>
      <c r="I22" s="765"/>
      <c r="J22" s="798"/>
      <c r="K22" s="766"/>
    </row>
    <row r="23" spans="1:11" ht="13.5" thickBot="1" x14ac:dyDescent="0.25">
      <c r="A23" s="2286" t="s">
        <v>962</v>
      </c>
      <c r="B23" s="2285"/>
      <c r="C23" s="2285"/>
      <c r="D23" s="2285"/>
      <c r="E23" s="2285"/>
      <c r="F23" s="1781"/>
      <c r="G23" s="1778">
        <f>SUM(G14:G16,G21,G22)</f>
        <v>0</v>
      </c>
      <c r="H23" s="1778">
        <f>SUM(H14:H16,H21,H22)</f>
        <v>84332</v>
      </c>
      <c r="I23" s="1778">
        <f>SUM(I14:I16,I21,I22)</f>
        <v>0</v>
      </c>
      <c r="J23" s="1778">
        <f>SUM(J14:J16,J21,J22)</f>
        <v>1040548</v>
      </c>
      <c r="K23" s="1778">
        <f>SUM(K14:K16,K21,K22)</f>
        <v>28671</v>
      </c>
    </row>
    <row r="24" spans="1:11" ht="14.25" thickTop="1" thickBot="1" x14ac:dyDescent="0.25">
      <c r="A24" s="2286" t="s">
        <v>2020</v>
      </c>
      <c r="B24" s="2285"/>
      <c r="C24" s="2285"/>
      <c r="D24" s="2285"/>
      <c r="E24" s="2285"/>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0" t="s">
        <v>2030</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c r="H31" s="2295"/>
      <c r="I31" s="2296"/>
      <c r="J31" s="2296"/>
      <c r="K31" s="2296"/>
    </row>
    <row r="32" spans="1:11" x14ac:dyDescent="0.2">
      <c r="A32" s="810"/>
      <c r="B32" s="237"/>
      <c r="C32" s="237"/>
      <c r="D32" s="237"/>
      <c r="E32" s="806"/>
      <c r="F32" s="812" t="s">
        <v>561</v>
      </c>
      <c r="G32" s="765"/>
      <c r="H32" s="2297"/>
      <c r="I32" s="2296"/>
      <c r="J32" s="2296"/>
      <c r="K32" s="2296"/>
    </row>
    <row r="33" spans="1:11" ht="1.5" customHeight="1" x14ac:dyDescent="0.2">
      <c r="A33" s="813" t="s">
        <v>1231</v>
      </c>
      <c r="B33" s="364"/>
      <c r="C33" s="364"/>
      <c r="D33" s="364"/>
      <c r="E33" s="364"/>
      <c r="F33" s="364"/>
      <c r="G33" s="814"/>
      <c r="H33" s="2297"/>
      <c r="I33" s="2296"/>
      <c r="J33" s="2296"/>
      <c r="K33" s="2296"/>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5" t="s">
        <v>562</v>
      </c>
      <c r="B41" s="2266"/>
      <c r="C41" s="2266"/>
      <c r="D41" s="2266"/>
      <c r="E41" s="2266"/>
      <c r="F41" s="226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48" sqref="E4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2029</v>
      </c>
      <c r="B1" s="2305"/>
      <c r="C1" s="2306"/>
      <c r="D1" s="827"/>
      <c r="E1" s="828"/>
      <c r="F1" s="828"/>
      <c r="G1" s="829"/>
      <c r="H1" s="830"/>
      <c r="I1" s="831"/>
      <c r="J1" s="2302"/>
      <c r="K1" s="2303"/>
      <c r="L1" s="2303"/>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0" t="s">
        <v>948</v>
      </c>
      <c r="B3" s="1651">
        <v>210</v>
      </c>
      <c r="C3" s="836">
        <v>0</v>
      </c>
      <c r="D3" s="836"/>
      <c r="E3" s="836"/>
      <c r="F3" s="1780">
        <f>(C3+D3)-E3</f>
        <v>0</v>
      </c>
      <c r="G3" s="837"/>
      <c r="H3" s="836">
        <v>0</v>
      </c>
      <c r="I3" s="836"/>
      <c r="J3" s="836"/>
      <c r="K3" s="1789">
        <f>(H3+I3)-J3</f>
        <v>0</v>
      </c>
      <c r="L3" s="1789">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294101</v>
      </c>
      <c r="D5" s="842"/>
      <c r="E5" s="842"/>
      <c r="F5" s="1780">
        <f>(C5+D5)-E5</f>
        <v>294101</v>
      </c>
      <c r="G5" s="838"/>
      <c r="H5" s="843"/>
      <c r="I5" s="843"/>
      <c r="J5" s="843"/>
      <c r="K5" s="794"/>
      <c r="L5" s="1789">
        <f>F5-K5</f>
        <v>294101</v>
      </c>
    </row>
    <row r="6" spans="1:14" ht="14.25" thickTop="1" thickBot="1" x14ac:dyDescent="0.25">
      <c r="A6" s="779" t="s">
        <v>1179</v>
      </c>
      <c r="B6" s="841">
        <v>222</v>
      </c>
      <c r="C6" s="766">
        <v>0</v>
      </c>
      <c r="D6" s="766"/>
      <c r="E6" s="766"/>
      <c r="F6" s="1780">
        <f>(C6+D6)-E6</f>
        <v>0</v>
      </c>
      <c r="G6" s="838">
        <v>50</v>
      </c>
      <c r="H6" s="766">
        <v>0</v>
      </c>
      <c r="I6" s="766"/>
      <c r="J6" s="766"/>
      <c r="K6" s="1789">
        <f>(H6+I6)-J6</f>
        <v>0</v>
      </c>
      <c r="L6" s="1789">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30823700</v>
      </c>
      <c r="D8" s="845">
        <v>3872610</v>
      </c>
      <c r="E8" s="845"/>
      <c r="F8" s="1780">
        <f>(C8+D8)-E8</f>
        <v>34696310</v>
      </c>
      <c r="G8" s="844">
        <v>50</v>
      </c>
      <c r="H8" s="766">
        <v>13011541</v>
      </c>
      <c r="I8" s="766">
        <v>684816</v>
      </c>
      <c r="J8" s="766"/>
      <c r="K8" s="1789">
        <f>(H8+I8)-J8</f>
        <v>13696357</v>
      </c>
      <c r="L8" s="1789">
        <f>F8-K8</f>
        <v>20999953</v>
      </c>
    </row>
    <row r="9" spans="1:14" ht="14.25" thickTop="1" thickBot="1" x14ac:dyDescent="0.25">
      <c r="A9" s="779" t="s">
        <v>1181</v>
      </c>
      <c r="B9" s="841">
        <v>232</v>
      </c>
      <c r="C9" s="766">
        <v>0</v>
      </c>
      <c r="D9" s="766"/>
      <c r="E9" s="766"/>
      <c r="F9" s="1780">
        <f>(C9+D9)-E9</f>
        <v>0</v>
      </c>
      <c r="G9" s="844">
        <v>20</v>
      </c>
      <c r="H9" s="766">
        <v>0</v>
      </c>
      <c r="I9" s="766"/>
      <c r="J9" s="766"/>
      <c r="K9" s="1789">
        <f>(H9+I9)-J9</f>
        <v>0</v>
      </c>
      <c r="L9" s="1789">
        <f>F9-K9</f>
        <v>0</v>
      </c>
    </row>
    <row r="10" spans="1:14" ht="24" thickTop="1" thickBot="1" x14ac:dyDescent="0.25">
      <c r="A10" s="846" t="s">
        <v>1182</v>
      </c>
      <c r="B10" s="841">
        <v>240</v>
      </c>
      <c r="C10" s="847">
        <v>3876515</v>
      </c>
      <c r="D10" s="847"/>
      <c r="E10" s="847"/>
      <c r="F10" s="1784">
        <f>(C10+D10)-E10</f>
        <v>3876515</v>
      </c>
      <c r="G10" s="844">
        <v>20</v>
      </c>
      <c r="H10" s="848">
        <v>2411421</v>
      </c>
      <c r="I10" s="848">
        <v>103309</v>
      </c>
      <c r="J10" s="848"/>
      <c r="K10" s="1789">
        <f>(H10+I10)-J10</f>
        <v>2514730</v>
      </c>
      <c r="L10" s="1789">
        <f>F10-K10</f>
        <v>1361785</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4482888</v>
      </c>
      <c r="D12" s="845">
        <v>205830</v>
      </c>
      <c r="E12" s="845"/>
      <c r="F12" s="1780">
        <f>(C12+D12)-E12</f>
        <v>4688718</v>
      </c>
      <c r="G12" s="844">
        <v>10</v>
      </c>
      <c r="H12" s="766">
        <v>2636594</v>
      </c>
      <c r="I12" s="766">
        <v>383275</v>
      </c>
      <c r="J12" s="766"/>
      <c r="K12" s="1789">
        <f>(H12+I12)-J12</f>
        <v>3019869</v>
      </c>
      <c r="L12" s="1789">
        <f>F12-K12</f>
        <v>1668849</v>
      </c>
    </row>
    <row r="13" spans="1:14" ht="14.25" thickTop="1" thickBot="1" x14ac:dyDescent="0.25">
      <c r="A13" s="849" t="s">
        <v>1184</v>
      </c>
      <c r="B13" s="841">
        <v>252</v>
      </c>
      <c r="C13" s="845">
        <v>482833</v>
      </c>
      <c r="D13" s="845"/>
      <c r="E13" s="845"/>
      <c r="F13" s="1780">
        <f>(C13+D13)-E13</f>
        <v>482833</v>
      </c>
      <c r="G13" s="844">
        <v>5</v>
      </c>
      <c r="H13" s="766">
        <v>482833</v>
      </c>
      <c r="I13" s="766">
        <v>0</v>
      </c>
      <c r="J13" s="766"/>
      <c r="K13" s="1789">
        <f>(H13+I13)-J13</f>
        <v>482833</v>
      </c>
      <c r="L13" s="1789">
        <f>F13-K13</f>
        <v>0</v>
      </c>
    </row>
    <row r="14" spans="1:14" ht="14.25" thickTop="1" thickBot="1" x14ac:dyDescent="0.25">
      <c r="A14" s="849" t="s">
        <v>1185</v>
      </c>
      <c r="B14" s="841">
        <v>253</v>
      </c>
      <c r="C14" s="766">
        <v>0</v>
      </c>
      <c r="D14" s="766"/>
      <c r="E14" s="766"/>
      <c r="F14" s="1780">
        <f>(C14+D14)-E14</f>
        <v>0</v>
      </c>
      <c r="G14" s="844">
        <v>3</v>
      </c>
      <c r="H14" s="766">
        <v>0</v>
      </c>
      <c r="I14" s="766"/>
      <c r="J14" s="766"/>
      <c r="K14" s="1789">
        <f>(H14+I14)-J14</f>
        <v>0</v>
      </c>
      <c r="L14" s="1789">
        <f>F14-K14</f>
        <v>0</v>
      </c>
    </row>
    <row r="15" spans="1:14" ht="15" customHeight="1" thickTop="1" thickBot="1" x14ac:dyDescent="0.25">
      <c r="A15" s="1652" t="s">
        <v>549</v>
      </c>
      <c r="B15" s="1651">
        <v>260</v>
      </c>
      <c r="C15" s="845">
        <v>0</v>
      </c>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39960037</v>
      </c>
      <c r="D16" s="1780">
        <f>SUM(D3,D5:D6,D8:D10,D12:D15)</f>
        <v>4078440</v>
      </c>
      <c r="E16" s="1780">
        <f>SUM(E3,E5:E6,E8:E10,E12:E15)</f>
        <v>0</v>
      </c>
      <c r="F16" s="1780">
        <f>SUM(F3,F5:F6,F8:F10,F12:F15)</f>
        <v>44038477</v>
      </c>
      <c r="G16" s="844"/>
      <c r="H16" s="1780">
        <f>SUM(H3,H6,H8:H10,H12:H14,)</f>
        <v>18542389</v>
      </c>
      <c r="I16" s="1780">
        <f>SUM(I3,I6,I8:I10,I12:I14,)</f>
        <v>1171400</v>
      </c>
      <c r="J16" s="1780">
        <f>SUM(J3,J6,J8:J10,J12:J14,)</f>
        <v>0</v>
      </c>
      <c r="K16" s="1780">
        <f>(H16+I16)-J16</f>
        <v>19713789</v>
      </c>
      <c r="L16" s="1780">
        <f>F16-K16</f>
        <v>24324688</v>
      </c>
    </row>
    <row r="17" spans="1:12" ht="15" customHeight="1" thickTop="1" thickBot="1" x14ac:dyDescent="0.25">
      <c r="A17" s="1654" t="s">
        <v>309</v>
      </c>
      <c r="B17" s="1651">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1171400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E48" sqref="E48"/>
      <selection pane="bottomLeft" activeCell="E48" sqref="E4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0" t="s">
        <v>1699</v>
      </c>
      <c r="B1" s="2311"/>
      <c r="C1" s="2311"/>
      <c r="D1" s="2311"/>
      <c r="E1" s="2311"/>
      <c r="F1" s="2312"/>
      <c r="G1" s="856"/>
    </row>
    <row r="2" spans="1:7" ht="15" customHeight="1" thickBot="1" x14ac:dyDescent="0.25">
      <c r="A2" s="2313" t="s">
        <v>498</v>
      </c>
      <c r="B2" s="2314"/>
      <c r="C2" s="2314"/>
      <c r="D2" s="2314"/>
      <c r="E2" s="2314"/>
      <c r="F2" s="231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6"/>
      <c r="B5" s="2317"/>
      <c r="C5" s="2317"/>
      <c r="D5" s="2317"/>
      <c r="E5" s="2317"/>
      <c r="F5" s="2317"/>
    </row>
    <row r="6" spans="1:7" ht="13.5" customHeight="1" thickBot="1" x14ac:dyDescent="0.25">
      <c r="A6" s="2307" t="s">
        <v>1166</v>
      </c>
      <c r="B6" s="2308"/>
      <c r="C6" s="2308"/>
      <c r="D6" s="2308"/>
      <c r="E6" s="2308"/>
      <c r="F6" s="230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24050291</v>
      </c>
      <c r="G8" s="866"/>
    </row>
    <row r="9" spans="1:7" x14ac:dyDescent="0.2">
      <c r="A9" s="870" t="s">
        <v>480</v>
      </c>
      <c r="B9" s="871" t="s">
        <v>1984</v>
      </c>
      <c r="C9" s="872"/>
      <c r="D9" s="870" t="s">
        <v>522</v>
      </c>
      <c r="E9" s="869"/>
      <c r="F9" s="1930">
        <f>'Expenditures 15-22'!K151</f>
        <v>941790</v>
      </c>
      <c r="G9" s="873"/>
    </row>
    <row r="10" spans="1:7" x14ac:dyDescent="0.2">
      <c r="A10" s="870" t="s">
        <v>520</v>
      </c>
      <c r="B10" s="871" t="s">
        <v>1985</v>
      </c>
      <c r="C10" s="872"/>
      <c r="D10" s="870" t="s">
        <v>522</v>
      </c>
      <c r="E10" s="869"/>
      <c r="F10" s="1930">
        <f>'Expenditures 15-22'!K174</f>
        <v>737359</v>
      </c>
      <c r="G10" s="873"/>
    </row>
    <row r="11" spans="1:7" x14ac:dyDescent="0.2">
      <c r="A11" s="870" t="s">
        <v>481</v>
      </c>
      <c r="B11" s="871" t="s">
        <v>1986</v>
      </c>
      <c r="C11" s="872"/>
      <c r="D11" s="870" t="s">
        <v>522</v>
      </c>
      <c r="E11" s="869"/>
      <c r="F11" s="1930">
        <f>'Expenditures 15-22'!K210</f>
        <v>1386427</v>
      </c>
      <c r="G11" s="873"/>
    </row>
    <row r="12" spans="1:7" x14ac:dyDescent="0.2">
      <c r="A12" s="870" t="s">
        <v>482</v>
      </c>
      <c r="B12" s="871" t="s">
        <v>1987</v>
      </c>
      <c r="C12" s="872"/>
      <c r="D12" s="870" t="s">
        <v>522</v>
      </c>
      <c r="E12" s="869"/>
      <c r="F12" s="1930">
        <f>'Expenditures 15-22'!K295</f>
        <v>782382</v>
      </c>
      <c r="G12" s="873"/>
    </row>
    <row r="13" spans="1:7" x14ac:dyDescent="0.2">
      <c r="A13" s="870" t="s">
        <v>108</v>
      </c>
      <c r="B13" s="871" t="s">
        <v>1988</v>
      </c>
      <c r="C13" s="872"/>
      <c r="D13" s="870" t="s">
        <v>522</v>
      </c>
      <c r="E13" s="869"/>
      <c r="F13" s="1930">
        <f>'Expenditures 15-22'!K342</f>
        <v>404865</v>
      </c>
      <c r="G13" s="874"/>
    </row>
    <row r="14" spans="1:7" ht="12" customHeight="1" thickBot="1" x14ac:dyDescent="0.25">
      <c r="A14" s="1790"/>
      <c r="B14" s="1791"/>
      <c r="C14" s="1792"/>
      <c r="D14" s="1793" t="s">
        <v>522</v>
      </c>
      <c r="E14" s="1794" t="s">
        <v>1015</v>
      </c>
      <c r="F14" s="1795">
        <f>SUM(F8:F13)</f>
        <v>28303114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31090</v>
      </c>
      <c r="G52" s="866"/>
    </row>
    <row r="53" spans="1:7" x14ac:dyDescent="0.2">
      <c r="A53" s="870" t="s">
        <v>479</v>
      </c>
      <c r="B53" s="870" t="s">
        <v>1551</v>
      </c>
      <c r="C53" s="890">
        <f>'Expenditures 15-22'!B102</f>
        <v>4000</v>
      </c>
      <c r="D53" s="889" t="str">
        <f>'Expenditures 15-22'!A102</f>
        <v>Total Payments to Other Govt Units</v>
      </c>
      <c r="E53" s="869"/>
      <c r="F53" s="1934">
        <f>'Expenditures 15-22'!K102</f>
        <v>7125642</v>
      </c>
      <c r="G53" s="866"/>
    </row>
    <row r="54" spans="1:7" x14ac:dyDescent="0.2">
      <c r="A54" s="870" t="s">
        <v>479</v>
      </c>
      <c r="B54" s="870" t="s">
        <v>1552</v>
      </c>
      <c r="C54" s="890" t="s">
        <v>1039</v>
      </c>
      <c r="D54" s="886" t="s">
        <v>1157</v>
      </c>
      <c r="E54" s="869"/>
      <c r="F54" s="1934">
        <f>'Expenditures 15-22'!G114</f>
        <v>203125</v>
      </c>
      <c r="G54" s="866"/>
    </row>
    <row r="55" spans="1:7" x14ac:dyDescent="0.2">
      <c r="A55" s="870" t="s">
        <v>479</v>
      </c>
      <c r="B55" s="870" t="s">
        <v>1553</v>
      </c>
      <c r="C55" s="890" t="s">
        <v>1039</v>
      </c>
      <c r="D55" s="886" t="s">
        <v>309</v>
      </c>
      <c r="E55" s="869"/>
      <c r="F55" s="1934">
        <f>'Expenditures 15-22'!I114</f>
        <v>0</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4">
        <f>'Expenditures 15-22'!K139</f>
        <v>0</v>
      </c>
      <c r="G57" s="866"/>
    </row>
    <row r="58" spans="1:7" x14ac:dyDescent="0.2">
      <c r="A58" s="870" t="s">
        <v>480</v>
      </c>
      <c r="B58" s="870" t="s">
        <v>1990</v>
      </c>
      <c r="C58" s="887" t="s">
        <v>1039</v>
      </c>
      <c r="D58" s="886" t="s">
        <v>1157</v>
      </c>
      <c r="E58" s="869"/>
      <c r="F58" s="1936">
        <f>'Expenditures 15-22'!G151</f>
        <v>426687</v>
      </c>
      <c r="G58" s="866"/>
    </row>
    <row r="59" spans="1:7" x14ac:dyDescent="0.2">
      <c r="A59" s="894" t="s">
        <v>480</v>
      </c>
      <c r="B59" s="857" t="s">
        <v>1991</v>
      </c>
      <c r="C59" s="895" t="s">
        <v>1039</v>
      </c>
      <c r="D59" s="857" t="s">
        <v>309</v>
      </c>
      <c r="F59" s="1937">
        <f>'Expenditures 15-22'!I151</f>
        <v>0</v>
      </c>
      <c r="G59" s="866"/>
    </row>
    <row r="60" spans="1:7" x14ac:dyDescent="0.2">
      <c r="A60" s="894" t="s">
        <v>520</v>
      </c>
      <c r="B60" s="857" t="s">
        <v>1992</v>
      </c>
      <c r="C60" s="895">
        <v>4000</v>
      </c>
      <c r="D60" s="857" t="s">
        <v>330</v>
      </c>
      <c r="F60" s="1935">
        <f>'Expenditures 15-22'!K160</f>
        <v>0</v>
      </c>
      <c r="G60" s="866"/>
    </row>
    <row r="61" spans="1:7" x14ac:dyDescent="0.2">
      <c r="A61" s="896" t="s">
        <v>520</v>
      </c>
      <c r="B61" s="896" t="s">
        <v>1993</v>
      </c>
      <c r="C61" s="897" t="str">
        <f>'Expenditures 15-22'!B170</f>
        <v>5300</v>
      </c>
      <c r="D61" s="898" t="s">
        <v>329</v>
      </c>
      <c r="E61" s="880"/>
      <c r="F61" s="1934">
        <f>'Expenditures 15-22'!K170</f>
        <v>390000</v>
      </c>
      <c r="G61" s="866"/>
    </row>
    <row r="62" spans="1:7" x14ac:dyDescent="0.2">
      <c r="A62" s="870" t="s">
        <v>481</v>
      </c>
      <c r="B62" s="870" t="s">
        <v>1994</v>
      </c>
      <c r="C62" s="887">
        <f>'Expenditures 15-22'!B185</f>
        <v>3000</v>
      </c>
      <c r="D62" s="877" t="s">
        <v>469</v>
      </c>
      <c r="E62" s="869"/>
      <c r="F62" s="1934">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4">
        <f>'Expenditures 15-22'!K196</f>
        <v>0</v>
      </c>
      <c r="G63" s="866"/>
    </row>
    <row r="64" spans="1:7" x14ac:dyDescent="0.2">
      <c r="A64" s="896" t="s">
        <v>481</v>
      </c>
      <c r="B64" s="896" t="s">
        <v>1996</v>
      </c>
      <c r="C64" s="897" t="str">
        <f>'Expenditures 15-22'!B206</f>
        <v>5300</v>
      </c>
      <c r="D64" s="893" t="s">
        <v>329</v>
      </c>
      <c r="E64" s="869"/>
      <c r="F64" s="1934">
        <f>'Expenditures 15-22'!K206</f>
        <v>0</v>
      </c>
      <c r="G64" s="866"/>
    </row>
    <row r="65" spans="1:8" x14ac:dyDescent="0.2">
      <c r="A65" s="870" t="s">
        <v>481</v>
      </c>
      <c r="B65" s="870" t="s">
        <v>1997</v>
      </c>
      <c r="C65" s="887" t="s">
        <v>1039</v>
      </c>
      <c r="D65" s="886" t="s">
        <v>1157</v>
      </c>
      <c r="E65" s="869"/>
      <c r="F65" s="1934">
        <f>'Expenditures 15-22'!G210</f>
        <v>0</v>
      </c>
      <c r="G65" s="866"/>
    </row>
    <row r="66" spans="1:8" x14ac:dyDescent="0.2">
      <c r="A66" s="870" t="s">
        <v>481</v>
      </c>
      <c r="B66" s="870" t="s">
        <v>1998</v>
      </c>
      <c r="C66" s="887" t="s">
        <v>1039</v>
      </c>
      <c r="D66" s="886" t="s">
        <v>309</v>
      </c>
      <c r="E66" s="869"/>
      <c r="F66" s="1934">
        <f>'Expenditures 15-22'!I210</f>
        <v>0</v>
      </c>
      <c r="G66" s="866"/>
    </row>
    <row r="67" spans="1:8" x14ac:dyDescent="0.2">
      <c r="A67" s="870" t="s">
        <v>482</v>
      </c>
      <c r="B67" s="870" t="s">
        <v>1999</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2001</v>
      </c>
      <c r="C70" s="887">
        <f>'Expenditures 15-22'!B221</f>
        <v>1300</v>
      </c>
      <c r="D70" s="888" t="str">
        <f>'Expenditures 15-22'!A221</f>
        <v>Adult/Continuing Education Programs</v>
      </c>
      <c r="E70" s="869"/>
      <c r="F70" s="1934">
        <f>'Expenditures 15-22'!K221</f>
        <v>0</v>
      </c>
      <c r="G70" s="866"/>
    </row>
    <row r="71" spans="1:8" x14ac:dyDescent="0.2">
      <c r="A71" s="870" t="s">
        <v>482</v>
      </c>
      <c r="B71" s="870" t="s">
        <v>2002</v>
      </c>
      <c r="C71" s="887">
        <f>'Expenditures 15-22'!B224</f>
        <v>1600</v>
      </c>
      <c r="D71" s="888" t="str">
        <f>'Expenditures 15-22'!A224</f>
        <v>Summer School Programs</v>
      </c>
      <c r="E71" s="869"/>
      <c r="F71" s="1934">
        <f>'Expenditures 15-22'!K224</f>
        <v>0</v>
      </c>
      <c r="G71" s="866"/>
    </row>
    <row r="72" spans="1:8" x14ac:dyDescent="0.2">
      <c r="A72" s="870" t="s">
        <v>482</v>
      </c>
      <c r="B72" s="870" t="s">
        <v>2003</v>
      </c>
      <c r="C72" s="887">
        <f>'Expenditures 15-22'!B280</f>
        <v>3000</v>
      </c>
      <c r="D72" s="877" t="s">
        <v>469</v>
      </c>
      <c r="E72" s="869"/>
      <c r="F72" s="1934">
        <f>'Expenditures 15-22'!K280</f>
        <v>2034</v>
      </c>
      <c r="G72" s="866"/>
    </row>
    <row r="73" spans="1:8" x14ac:dyDescent="0.2">
      <c r="A73" s="870" t="s">
        <v>482</v>
      </c>
      <c r="B73" s="870" t="s">
        <v>2004</v>
      </c>
      <c r="C73" s="887" t="str">
        <f>'Expenditures 15-22'!B285</f>
        <v>4000</v>
      </c>
      <c r="D73" s="888" t="str">
        <f>'Expenditures 15-22'!A285</f>
        <v>Total Payments to Other Govt Units</v>
      </c>
      <c r="E73" s="869"/>
      <c r="F73" s="1934">
        <f>'Expenditures 15-22'!K285</f>
        <v>0</v>
      </c>
      <c r="G73" s="866"/>
    </row>
    <row r="74" spans="1:8" x14ac:dyDescent="0.2">
      <c r="A74" s="870" t="s">
        <v>456</v>
      </c>
      <c r="B74" s="870" t="s">
        <v>2005</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2006</v>
      </c>
      <c r="E76" s="1794" t="s">
        <v>1015</v>
      </c>
      <c r="F76" s="1798">
        <f>SUM(F18:F74)</f>
        <v>8178578</v>
      </c>
      <c r="G76" s="866"/>
    </row>
    <row r="77" spans="1:8" s="894" customFormat="1" ht="12" customHeight="1" thickTop="1" thickBot="1" x14ac:dyDescent="0.25">
      <c r="A77" s="1799"/>
      <c r="B77" s="1796"/>
      <c r="C77" s="1792"/>
      <c r="D77" s="1797" t="s">
        <v>2007</v>
      </c>
      <c r="E77" s="1794"/>
      <c r="F77" s="1800">
        <f>(F14-F76)</f>
        <v>20124536</v>
      </c>
      <c r="G77" s="870"/>
    </row>
    <row r="78" spans="1:8" s="894" customFormat="1" ht="12" customHeight="1" thickTop="1" x14ac:dyDescent="0.2">
      <c r="A78" s="1801"/>
      <c r="B78" s="1796"/>
      <c r="C78" s="1792"/>
      <c r="D78" s="1797" t="s">
        <v>2053</v>
      </c>
      <c r="E78" s="1794"/>
      <c r="F78" s="899">
        <v>1742.7</v>
      </c>
      <c r="G78" s="900"/>
      <c r="H78" s="870"/>
    </row>
    <row r="79" spans="1:8" s="894" customFormat="1" ht="12" customHeight="1" thickBot="1" x14ac:dyDescent="0.25">
      <c r="A79" s="1802"/>
      <c r="B79" s="1796"/>
      <c r="C79" s="1792"/>
      <c r="D79" s="1797" t="s">
        <v>2008</v>
      </c>
      <c r="E79" s="1794" t="s">
        <v>1015</v>
      </c>
      <c r="F79" s="1803">
        <f>IF(F78&gt;0,F77/F78," Complete Line 78")</f>
        <v>11547.906122683193</v>
      </c>
      <c r="G79" s="870"/>
    </row>
    <row r="80" spans="1:8" s="894" customFormat="1" ht="8.25" customHeight="1" thickTop="1" x14ac:dyDescent="0.2">
      <c r="A80" s="901"/>
      <c r="B80" s="870"/>
      <c r="C80" s="872"/>
      <c r="D80" s="902"/>
      <c r="E80" s="869"/>
      <c r="F80" s="903"/>
      <c r="G80" s="870"/>
    </row>
    <row r="81" spans="1:7" s="894" customFormat="1" ht="12" thickBot="1" x14ac:dyDescent="0.25">
      <c r="A81" s="2307" t="s">
        <v>1167</v>
      </c>
      <c r="B81" s="2308"/>
      <c r="C81" s="2308"/>
      <c r="D81" s="2308"/>
      <c r="E81" s="2308"/>
      <c r="F81" s="230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128331</v>
      </c>
      <c r="G94" s="913"/>
    </row>
    <row r="95" spans="1:7" x14ac:dyDescent="0.2">
      <c r="A95" s="909" t="s">
        <v>142</v>
      </c>
      <c r="B95" s="909" t="s">
        <v>177</v>
      </c>
      <c r="C95" s="911">
        <v>1700</v>
      </c>
      <c r="D95" s="919" t="str">
        <f>'Revenues 9-14'!A82</f>
        <v>Total District/School Activity Income</v>
      </c>
      <c r="E95" s="907"/>
      <c r="F95" s="1809">
        <f>SUM('Revenues 9-14'!C82,'Revenues 9-14'!D82)</f>
        <v>107228</v>
      </c>
      <c r="G95" s="913"/>
    </row>
    <row r="96" spans="1:7" x14ac:dyDescent="0.2">
      <c r="A96" s="909" t="s">
        <v>479</v>
      </c>
      <c r="B96" s="909" t="s">
        <v>178</v>
      </c>
      <c r="C96" s="911">
        <f>'Revenues 9-14'!B84</f>
        <v>1811</v>
      </c>
      <c r="D96" s="912" t="str">
        <f>'Revenues 9-14'!A84</f>
        <v>Rentals - Regular Textbooks</v>
      </c>
      <c r="E96" s="907"/>
      <c r="F96" s="1809">
        <f>'Revenues 9-14'!C84</f>
        <v>43489</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148246</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416277</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15400</v>
      </c>
      <c r="G107" s="913"/>
    </row>
    <row r="108" spans="1:7" x14ac:dyDescent="0.2">
      <c r="A108" s="909" t="s">
        <v>479</v>
      </c>
      <c r="B108" s="909" t="s">
        <v>844</v>
      </c>
      <c r="C108" s="921">
        <f>'Revenues 9-14'!B145</f>
        <v>3360</v>
      </c>
      <c r="D108" s="912" t="str">
        <f>'Revenues 9-14'!A145</f>
        <v>State Free Lunch &amp; Breakfast</v>
      </c>
      <c r="E108" s="907"/>
      <c r="F108" s="1809">
        <f>'Revenues 9-14'!C145</f>
        <v>16104</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25746</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1000832</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2770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997448</v>
      </c>
      <c r="G129" s="931"/>
    </row>
    <row r="130" spans="1:7" x14ac:dyDescent="0.2">
      <c r="A130" s="928" t="s">
        <v>689</v>
      </c>
      <c r="B130" s="928" t="s">
        <v>804</v>
      </c>
      <c r="C130" s="933">
        <v>4300</v>
      </c>
      <c r="D130" s="934" t="str">
        <f>'Revenues 9-14'!A211</f>
        <v>Total Title I</v>
      </c>
      <c r="E130" s="907"/>
      <c r="F130" s="1809">
        <f>SUM('Revenues 9-14'!C211,'Revenues 9-14'!D211,'Revenues 9-14'!F211,'Revenues 9-14'!G211)</f>
        <v>952270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12758</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302070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2011</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36212</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130814</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68764</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68630</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89535</v>
      </c>
      <c r="G174" s="928"/>
    </row>
    <row r="175" spans="1:7" x14ac:dyDescent="0.2">
      <c r="A175" s="1939" t="s">
        <v>5</v>
      </c>
      <c r="B175" s="1940" t="s">
        <v>2052</v>
      </c>
      <c r="C175" s="1941">
        <v>3100</v>
      </c>
      <c r="D175" s="1942" t="s">
        <v>2055</v>
      </c>
      <c r="E175" s="907"/>
      <c r="F175" s="1926">
        <v>784702</v>
      </c>
      <c r="G175" s="928"/>
    </row>
    <row r="176" spans="1:7" x14ac:dyDescent="0.2">
      <c r="A176" s="1939" t="s">
        <v>685</v>
      </c>
      <c r="B176" s="1940" t="s">
        <v>2052</v>
      </c>
      <c r="C176" s="1941">
        <v>3300</v>
      </c>
      <c r="D176" s="1942" t="s">
        <v>2056</v>
      </c>
      <c r="E176" s="907"/>
      <c r="F176" s="1926">
        <v>20383</v>
      </c>
      <c r="G176" s="928"/>
    </row>
    <row r="177" spans="1:7" ht="6" customHeight="1" x14ac:dyDescent="0.2">
      <c r="A177" s="928"/>
      <c r="B177" s="928"/>
      <c r="C177" s="950"/>
      <c r="D177" s="928"/>
      <c r="E177" s="907"/>
      <c r="F177" s="951"/>
      <c r="G177" s="948"/>
    </row>
    <row r="178" spans="1:7" x14ac:dyDescent="0.2">
      <c r="A178" s="1790"/>
      <c r="B178" s="1804"/>
      <c r="C178" s="1805"/>
      <c r="D178" s="1806" t="s">
        <v>2009</v>
      </c>
      <c r="E178" s="1807" t="s">
        <v>1015</v>
      </c>
      <c r="F178" s="1808">
        <f>SUM(F84:F136,F161:F176)</f>
        <v>5370020</v>
      </c>
    </row>
    <row r="179" spans="1:7" ht="12" customHeight="1" x14ac:dyDescent="0.2">
      <c r="A179" s="1790"/>
      <c r="B179" s="1804"/>
      <c r="C179" s="1805"/>
      <c r="D179" s="1806" t="s">
        <v>2010</v>
      </c>
      <c r="E179" s="1807"/>
      <c r="F179" s="1809">
        <f>'PCTC-OEPP 27-28'!F77-F178</f>
        <v>14754516</v>
      </c>
    </row>
    <row r="180" spans="1:7" ht="12" customHeight="1" x14ac:dyDescent="0.2">
      <c r="A180" s="1790"/>
      <c r="B180" s="1804"/>
      <c r="C180" s="1805"/>
      <c r="D180" s="1806" t="s">
        <v>1920</v>
      </c>
      <c r="E180" s="1807"/>
      <c r="F180" s="1809">
        <f>'Cap Outlay Deprec 26'!I18</f>
        <v>1171400</v>
      </c>
    </row>
    <row r="181" spans="1:7" ht="12" customHeight="1" x14ac:dyDescent="0.2">
      <c r="A181" s="1790"/>
      <c r="B181" s="1804"/>
      <c r="C181" s="1805"/>
      <c r="D181" s="1806" t="s">
        <v>2011</v>
      </c>
      <c r="E181" s="1807"/>
      <c r="F181" s="1809">
        <f>F179+F180</f>
        <v>15925916</v>
      </c>
    </row>
    <row r="182" spans="1:7" ht="12" customHeight="1" x14ac:dyDescent="0.2">
      <c r="A182" s="1790"/>
      <c r="B182" s="1810"/>
      <c r="C182" s="1805"/>
      <c r="D182" s="1806" t="str">
        <f>D78</f>
        <v>9 Month ADA from District Average Daily Attendance/Prior General State Aid Inquiry 2017-2018</v>
      </c>
      <c r="E182" s="1807"/>
      <c r="F182" s="1811">
        <f>'PCTC-OEPP 27-28'!F78</f>
        <v>1742.7</v>
      </c>
      <c r="G182" s="931"/>
    </row>
    <row r="183" spans="1:7" ht="12" customHeight="1" thickBot="1" x14ac:dyDescent="0.25">
      <c r="A183" s="1790"/>
      <c r="B183" s="1810"/>
      <c r="C183" s="1805"/>
      <c r="D183" s="1806" t="s">
        <v>2012</v>
      </c>
      <c r="E183" s="1807" t="s">
        <v>1626</v>
      </c>
      <c r="F183" s="1812">
        <f>F181/F182</f>
        <v>9138.6446318930393</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3" customFormat="1" ht="12.2" customHeight="1" x14ac:dyDescent="0.2">
      <c r="A186" s="1943" t="s">
        <v>2059</v>
      </c>
      <c r="B186" s="1944"/>
      <c r="C186" s="1945"/>
      <c r="D186" s="1944"/>
      <c r="E186" s="1945"/>
      <c r="F186" s="1944"/>
      <c r="G186" s="1944"/>
    </row>
    <row r="187" spans="1:7" s="1943" customFormat="1" ht="12.2" customHeight="1" x14ac:dyDescent="0.2">
      <c r="A187" s="1946" t="s">
        <v>2060</v>
      </c>
      <c r="C187" s="1945"/>
      <c r="D187" s="1944"/>
      <c r="E187" s="1945"/>
      <c r="F187" s="1944"/>
      <c r="G187" s="1944"/>
    </row>
    <row r="188" spans="1:7" ht="12" customHeight="1" x14ac:dyDescent="0.2">
      <c r="C188" s="950"/>
      <c r="D188" s="931"/>
      <c r="E188" s="950"/>
      <c r="F188" s="931"/>
      <c r="G188" s="931"/>
    </row>
    <row r="189" spans="1:7" x14ac:dyDescent="0.2">
      <c r="A189" s="1947" t="s">
        <v>2058</v>
      </c>
      <c r="B189" s="194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workbookViewId="0">
      <pane ySplit="16" topLeftCell="A17" activePane="bottomLeft" state="frozen"/>
      <selection activeCell="E48" sqref="E48"/>
      <selection pane="bottomLeft" activeCell="B23" sqref="B23"/>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6"/>
      <c r="B3" s="1566"/>
      <c r="C3" s="1566"/>
      <c r="D3" s="1566"/>
      <c r="E3" s="1566"/>
      <c r="F3" s="1566"/>
      <c r="G3" s="1566"/>
    </row>
    <row r="4" spans="1:7" ht="18.75" customHeight="1" x14ac:dyDescent="0.25">
      <c r="A4" s="2321" t="s">
        <v>1921</v>
      </c>
      <c r="B4" s="2322"/>
      <c r="C4" s="2322"/>
      <c r="D4" s="2322"/>
      <c r="E4" s="2322"/>
      <c r="F4" s="2322"/>
      <c r="G4" s="2323"/>
    </row>
    <row r="5" spans="1:7" x14ac:dyDescent="0.25">
      <c r="A5" s="2324"/>
      <c r="B5" s="2325"/>
      <c r="C5" s="2325"/>
      <c r="D5" s="2325"/>
      <c r="E5" s="2325"/>
      <c r="F5" s="2325"/>
      <c r="G5" s="2326"/>
    </row>
    <row r="6" spans="1:7" ht="18.75" x14ac:dyDescent="0.25">
      <c r="A6" s="1555" t="s">
        <v>1922</v>
      </c>
      <c r="B6" s="1556"/>
      <c r="C6" s="1556"/>
      <c r="D6" s="1556"/>
      <c r="E6" s="1556"/>
      <c r="F6" s="1556"/>
      <c r="G6" s="1557"/>
    </row>
    <row r="7" spans="1:7" ht="30.75" customHeight="1" x14ac:dyDescent="0.25">
      <c r="A7" s="2327" t="s">
        <v>2069</v>
      </c>
      <c r="B7" s="2328"/>
      <c r="C7" s="2328"/>
      <c r="D7" s="2328"/>
      <c r="E7" s="2328"/>
      <c r="F7" s="2328"/>
      <c r="G7" s="2329"/>
    </row>
    <row r="8" spans="1:7" ht="15.75" customHeight="1" x14ac:dyDescent="0.25">
      <c r="A8" s="2330" t="s">
        <v>2018</v>
      </c>
      <c r="B8" s="2331"/>
      <c r="C8" s="2331"/>
      <c r="D8" s="2331"/>
      <c r="E8" s="2331"/>
      <c r="F8" s="2331"/>
      <c r="G8" s="2332"/>
    </row>
    <row r="9" spans="1:7" ht="35.25" customHeight="1" x14ac:dyDescent="0.25">
      <c r="A9" s="2327" t="s">
        <v>2072</v>
      </c>
      <c r="B9" s="2328"/>
      <c r="C9" s="2328"/>
      <c r="D9" s="2328"/>
      <c r="E9" s="2328"/>
      <c r="F9" s="2328"/>
      <c r="G9" s="2329"/>
    </row>
    <row r="10" spans="1:7" ht="15" customHeight="1" x14ac:dyDescent="0.25">
      <c r="A10" s="1558" t="s">
        <v>1923</v>
      </c>
      <c r="B10" s="1559"/>
      <c r="C10" s="1559"/>
      <c r="D10" s="1559"/>
      <c r="E10" s="1559"/>
      <c r="F10" s="1559"/>
      <c r="G10" s="1560"/>
    </row>
    <row r="11" spans="1:7" ht="17.25" customHeight="1" x14ac:dyDescent="0.25">
      <c r="A11" s="2327" t="s">
        <v>2071</v>
      </c>
      <c r="B11" s="2328"/>
      <c r="C11" s="2328"/>
      <c r="D11" s="2328"/>
      <c r="E11" s="2328"/>
      <c r="F11" s="2328"/>
      <c r="G11" s="2329"/>
    </row>
    <row r="12" spans="1:7" ht="15" customHeight="1" x14ac:dyDescent="0.25">
      <c r="A12" s="1558" t="s">
        <v>1928</v>
      </c>
      <c r="B12" s="1559"/>
      <c r="C12" s="1559"/>
      <c r="D12" s="1559"/>
      <c r="E12" s="1559"/>
      <c r="F12" s="1559"/>
      <c r="G12" s="1560"/>
    </row>
    <row r="13" spans="1:7" ht="32.25" customHeight="1" x14ac:dyDescent="0.25">
      <c r="A13" s="2318" t="s">
        <v>1929</v>
      </c>
      <c r="B13" s="2319"/>
      <c r="C13" s="2319"/>
      <c r="D13" s="2319"/>
      <c r="E13" s="2319"/>
      <c r="F13" s="2319"/>
      <c r="G13" s="2320"/>
    </row>
    <row r="14" spans="1:7" x14ac:dyDescent="0.25">
      <c r="A14" s="1681" t="s">
        <v>1937</v>
      </c>
      <c r="B14" s="1682"/>
      <c r="C14" s="1682"/>
      <c r="D14" s="1682"/>
      <c r="E14" s="1682"/>
      <c r="F14" s="1682"/>
      <c r="G14" s="1683"/>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1938</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81" t="s">
        <v>2218</v>
      </c>
      <c r="B17" s="1982" t="s">
        <v>2210</v>
      </c>
      <c r="C17" s="1983" t="s">
        <v>2211</v>
      </c>
      <c r="D17" s="1864">
        <v>97552</v>
      </c>
      <c r="E17" s="1561">
        <f t="shared" ref="E17:E39" si="1">IF(D17&lt;=25000,D17,IF(D17&gt;25000,25000,0))</f>
        <v>25000</v>
      </c>
      <c r="F17" s="1813">
        <f t="shared" si="0"/>
        <v>25000</v>
      </c>
      <c r="G17" s="1814">
        <f>IF(F17=0,0,D17-F17)</f>
        <v>72552</v>
      </c>
      <c r="H17" s="1668"/>
    </row>
    <row r="18" spans="1:8" x14ac:dyDescent="0.25">
      <c r="A18" s="1981" t="s">
        <v>2212</v>
      </c>
      <c r="B18" s="1982" t="s">
        <v>2224</v>
      </c>
      <c r="C18" s="1983" t="s">
        <v>2213</v>
      </c>
      <c r="D18" s="1864">
        <v>27900</v>
      </c>
      <c r="E18" s="1561">
        <f t="shared" ref="E18:E38" si="2">IF(D18&lt;=25000,D18,IF(D18&gt;25000,25000,0))</f>
        <v>25000</v>
      </c>
      <c r="F18" s="1813">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38" si="4">IF(F18=0,0,D18-F18)</f>
        <v>2900</v>
      </c>
    </row>
    <row r="19" spans="1:8" x14ac:dyDescent="0.25">
      <c r="A19" s="1981" t="s">
        <v>2218</v>
      </c>
      <c r="B19" s="1982" t="s">
        <v>2210</v>
      </c>
      <c r="C19" s="1983" t="s">
        <v>2214</v>
      </c>
      <c r="D19" s="1864">
        <v>69502</v>
      </c>
      <c r="E19" s="1561">
        <f t="shared" si="2"/>
        <v>25000</v>
      </c>
      <c r="F19" s="1813">
        <f t="shared" si="3"/>
        <v>25000</v>
      </c>
      <c r="G19" s="1814">
        <f t="shared" si="4"/>
        <v>44502</v>
      </c>
    </row>
    <row r="20" spans="1:8" x14ac:dyDescent="0.25">
      <c r="A20" s="1981" t="s">
        <v>2218</v>
      </c>
      <c r="B20" s="1982" t="s">
        <v>2210</v>
      </c>
      <c r="C20" s="1983" t="s">
        <v>2215</v>
      </c>
      <c r="D20" s="1864">
        <v>42543</v>
      </c>
      <c r="E20" s="1561">
        <f t="shared" si="2"/>
        <v>25000</v>
      </c>
      <c r="F20" s="1813">
        <f t="shared" si="3"/>
        <v>25000</v>
      </c>
      <c r="G20" s="1814">
        <f t="shared" si="4"/>
        <v>17543</v>
      </c>
    </row>
    <row r="21" spans="1:8" x14ac:dyDescent="0.25">
      <c r="A21" s="1981" t="s">
        <v>2216</v>
      </c>
      <c r="B21" s="1982" t="s">
        <v>2225</v>
      </c>
      <c r="C21" s="1983" t="s">
        <v>2217</v>
      </c>
      <c r="D21" s="1864">
        <v>158771</v>
      </c>
      <c r="E21" s="1561">
        <f t="shared" si="2"/>
        <v>25000</v>
      </c>
      <c r="F21" s="1813">
        <f t="shared" si="3"/>
        <v>25000</v>
      </c>
      <c r="G21" s="1814">
        <f t="shared" si="4"/>
        <v>133771</v>
      </c>
    </row>
    <row r="22" spans="1:8" x14ac:dyDescent="0.25">
      <c r="A22" s="1981" t="s">
        <v>2216</v>
      </c>
      <c r="B22" s="1982" t="s">
        <v>2225</v>
      </c>
      <c r="C22" s="1983" t="s">
        <v>2219</v>
      </c>
      <c r="D22" s="1864">
        <v>218807</v>
      </c>
      <c r="E22" s="1561">
        <f t="shared" si="2"/>
        <v>25000</v>
      </c>
      <c r="F22" s="1813">
        <f t="shared" si="3"/>
        <v>25000</v>
      </c>
      <c r="G22" s="1814">
        <f t="shared" si="4"/>
        <v>193807</v>
      </c>
    </row>
    <row r="23" spans="1:8" x14ac:dyDescent="0.25">
      <c r="A23" s="1981" t="s">
        <v>2220</v>
      </c>
      <c r="B23" s="1982" t="s">
        <v>2221</v>
      </c>
      <c r="C23" s="1983" t="s">
        <v>2222</v>
      </c>
      <c r="D23" s="1864">
        <v>1233452</v>
      </c>
      <c r="E23" s="1561">
        <f t="shared" si="2"/>
        <v>25000</v>
      </c>
      <c r="F23" s="1813">
        <f t="shared" si="3"/>
        <v>25000</v>
      </c>
      <c r="G23" s="1814">
        <f t="shared" si="4"/>
        <v>1208452</v>
      </c>
    </row>
    <row r="24" spans="1:8" x14ac:dyDescent="0.25">
      <c r="A24" s="1674"/>
      <c r="B24" s="1865"/>
      <c r="C24" s="1676"/>
      <c r="D24" s="1864"/>
      <c r="E24" s="1561">
        <f t="shared" si="2"/>
        <v>0</v>
      </c>
      <c r="F24" s="1813">
        <f t="shared" si="3"/>
        <v>0</v>
      </c>
      <c r="G24" s="1814">
        <f t="shared" si="4"/>
        <v>0</v>
      </c>
    </row>
    <row r="25" spans="1:8" x14ac:dyDescent="0.25">
      <c r="A25" s="1674"/>
      <c r="B25" s="1687"/>
      <c r="C25" s="1675"/>
      <c r="D25" s="1864"/>
      <c r="E25" s="1561">
        <f t="shared" ref="E25:E28" si="5">IF(D25&lt;=25000,D25,IF(D25&gt;25000,25000,0))</f>
        <v>0</v>
      </c>
      <c r="F25" s="1813">
        <f t="shared" ref="F25:F28" si="6">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4">
        <f t="shared" ref="G25:G28" si="7">IF(F25=0,0,D25-F25)</f>
        <v>0</v>
      </c>
    </row>
    <row r="26" spans="1:8" x14ac:dyDescent="0.25">
      <c r="A26" s="1674"/>
      <c r="B26" s="1687"/>
      <c r="C26" s="1675"/>
      <c r="D26" s="1864"/>
      <c r="E26" s="1561">
        <f t="shared" si="5"/>
        <v>0</v>
      </c>
      <c r="F26" s="1813">
        <f t="shared" si="6"/>
        <v>0</v>
      </c>
      <c r="G26" s="1814">
        <f t="shared" si="7"/>
        <v>0</v>
      </c>
    </row>
    <row r="27" spans="1:8" x14ac:dyDescent="0.25">
      <c r="A27" s="1674"/>
      <c r="B27" s="1687"/>
      <c r="C27" s="1675"/>
      <c r="D27" s="1864"/>
      <c r="E27" s="1561">
        <f t="shared" si="5"/>
        <v>0</v>
      </c>
      <c r="F27" s="1813">
        <f t="shared" si="6"/>
        <v>0</v>
      </c>
      <c r="G27" s="1814">
        <f t="shared" si="7"/>
        <v>0</v>
      </c>
    </row>
    <row r="28" spans="1:8" x14ac:dyDescent="0.25">
      <c r="A28" s="1674"/>
      <c r="B28" s="1687"/>
      <c r="C28" s="1675"/>
      <c r="D28" s="1864"/>
      <c r="E28" s="1561">
        <f t="shared" si="5"/>
        <v>0</v>
      </c>
      <c r="F28" s="1813">
        <f t="shared" si="6"/>
        <v>0</v>
      </c>
      <c r="G28" s="1814">
        <f t="shared" si="7"/>
        <v>0</v>
      </c>
    </row>
    <row r="29" spans="1:8" x14ac:dyDescent="0.25">
      <c r="A29" s="1674"/>
      <c r="B29" s="1687"/>
      <c r="C29" s="1675"/>
      <c r="D29" s="1864"/>
      <c r="E29" s="1561">
        <f t="shared" ref="E29:E32" si="8">IF(D29&lt;=25000,D29,IF(D29&gt;25000,25000,0))</f>
        <v>0</v>
      </c>
      <c r="F29" s="1813">
        <f t="shared" ref="F29:F32" si="9">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0</v>
      </c>
      <c r="G29" s="1814">
        <f t="shared" ref="G29:G32" si="10">IF(F29=0,0,D29-F29)</f>
        <v>0</v>
      </c>
    </row>
    <row r="30" spans="1:8" x14ac:dyDescent="0.25">
      <c r="A30" s="1674"/>
      <c r="B30" s="1687"/>
      <c r="C30" s="1675"/>
      <c r="D30" s="1864"/>
      <c r="E30" s="1561">
        <f t="shared" si="8"/>
        <v>0</v>
      </c>
      <c r="F30" s="1813">
        <f t="shared" si="9"/>
        <v>0</v>
      </c>
      <c r="G30" s="1814">
        <f t="shared" si="10"/>
        <v>0</v>
      </c>
    </row>
    <row r="31" spans="1:8" x14ac:dyDescent="0.25">
      <c r="A31" s="1674"/>
      <c r="B31" s="1687"/>
      <c r="C31" s="1675"/>
      <c r="D31" s="1864"/>
      <c r="E31" s="1561">
        <f t="shared" si="8"/>
        <v>0</v>
      </c>
      <c r="F31" s="1813">
        <f t="shared" si="9"/>
        <v>0</v>
      </c>
      <c r="G31" s="1814">
        <f t="shared" si="10"/>
        <v>0</v>
      </c>
    </row>
    <row r="32" spans="1:8" x14ac:dyDescent="0.25">
      <c r="A32" s="1674"/>
      <c r="B32" s="1687"/>
      <c r="C32" s="1675"/>
      <c r="D32" s="1864"/>
      <c r="E32" s="1561">
        <f t="shared" si="8"/>
        <v>0</v>
      </c>
      <c r="F32" s="1813">
        <f t="shared" si="9"/>
        <v>0</v>
      </c>
      <c r="G32" s="1814">
        <f t="shared" si="10"/>
        <v>0</v>
      </c>
    </row>
    <row r="33" spans="1:7" x14ac:dyDescent="0.25">
      <c r="A33" s="1674"/>
      <c r="B33" s="1687"/>
      <c r="C33" s="1675"/>
      <c r="D33" s="1864"/>
      <c r="E33" s="1561">
        <f t="shared" ref="E33:E37" si="11">IF(D33&lt;=25000,D33,IF(D33&gt;25000,25000,0))</f>
        <v>0</v>
      </c>
      <c r="F33" s="1813">
        <f t="shared" ref="F33:F37" si="12">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4">
        <f t="shared" ref="G33:G37" si="13">IF(F33=0,0,D33-F33)</f>
        <v>0</v>
      </c>
    </row>
    <row r="34" spans="1:7" x14ac:dyDescent="0.25">
      <c r="A34" s="1674"/>
      <c r="B34" s="1687"/>
      <c r="C34" s="1675"/>
      <c r="D34" s="1864"/>
      <c r="E34" s="1561">
        <f t="shared" si="11"/>
        <v>0</v>
      </c>
      <c r="F34" s="1813">
        <f t="shared" si="12"/>
        <v>0</v>
      </c>
      <c r="G34" s="1814">
        <f t="shared" si="13"/>
        <v>0</v>
      </c>
    </row>
    <row r="35" spans="1:7" x14ac:dyDescent="0.25">
      <c r="A35" s="1674"/>
      <c r="B35" s="1687"/>
      <c r="C35" s="1675"/>
      <c r="D35" s="1864"/>
      <c r="E35" s="1561">
        <f t="shared" si="11"/>
        <v>0</v>
      </c>
      <c r="F35" s="1813">
        <f t="shared" si="12"/>
        <v>0</v>
      </c>
      <c r="G35" s="1814">
        <f t="shared" si="13"/>
        <v>0</v>
      </c>
    </row>
    <row r="36" spans="1:7" x14ac:dyDescent="0.25">
      <c r="A36" s="1674"/>
      <c r="B36" s="1687"/>
      <c r="C36" s="1675"/>
      <c r="D36" s="1864"/>
      <c r="E36" s="1561">
        <f t="shared" si="11"/>
        <v>0</v>
      </c>
      <c r="F36" s="1813">
        <f t="shared" si="12"/>
        <v>0</v>
      </c>
      <c r="G36" s="1814">
        <f t="shared" si="13"/>
        <v>0</v>
      </c>
    </row>
    <row r="37" spans="1:7" x14ac:dyDescent="0.25">
      <c r="A37" s="1674"/>
      <c r="B37" s="1687"/>
      <c r="C37" s="1675"/>
      <c r="D37" s="1864"/>
      <c r="E37" s="1561">
        <f t="shared" si="11"/>
        <v>0</v>
      </c>
      <c r="F37" s="1813">
        <f t="shared" si="12"/>
        <v>0</v>
      </c>
      <c r="G37" s="1814">
        <f t="shared" si="13"/>
        <v>0</v>
      </c>
    </row>
    <row r="38" spans="1:7" x14ac:dyDescent="0.25">
      <c r="A38" s="1674"/>
      <c r="B38" s="1686"/>
      <c r="C38" s="1675"/>
      <c r="D38" s="1864"/>
      <c r="E38" s="1561">
        <f t="shared" si="2"/>
        <v>0</v>
      </c>
      <c r="F38" s="1813">
        <f t="shared" si="3"/>
        <v>0</v>
      </c>
      <c r="G38" s="1814">
        <f t="shared" si="4"/>
        <v>0</v>
      </c>
    </row>
    <row r="39" spans="1:7" x14ac:dyDescent="0.25">
      <c r="A39" s="1817" t="s">
        <v>158</v>
      </c>
      <c r="B39" s="1818"/>
      <c r="C39" s="1819"/>
      <c r="D39" s="1815">
        <f>SUM(D17:D38)</f>
        <v>1848527</v>
      </c>
      <c r="E39" s="1562">
        <f t="shared" si="1"/>
        <v>25000</v>
      </c>
      <c r="F39" s="1815">
        <f>SUM(F17:F38)</f>
        <v>175000</v>
      </c>
      <c r="G39" s="1816">
        <f>SUM(G17:G38)</f>
        <v>1673527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48" sqref="E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3" t="s">
        <v>1778</v>
      </c>
      <c r="B5" s="2334"/>
      <c r="C5" s="2334"/>
      <c r="D5" s="2334"/>
      <c r="E5" s="2334"/>
      <c r="F5" s="2334"/>
      <c r="G5" s="2335"/>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356899</v>
      </c>
      <c r="F10" s="975"/>
      <c r="G10" s="976"/>
      <c r="H10" s="162"/>
      <c r="I10" s="162"/>
    </row>
    <row r="11" spans="1:9" s="669" customFormat="1" ht="22.5" customHeight="1" x14ac:dyDescent="0.2">
      <c r="A11" s="2338" t="s">
        <v>1940</v>
      </c>
      <c r="B11" s="2339"/>
      <c r="C11" s="2339"/>
      <c r="D11" s="2340"/>
      <c r="E11" s="978">
        <f>74935+11753</f>
        <v>86688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11277808</v>
      </c>
      <c r="F19" s="1820"/>
      <c r="G19" s="1822">
        <f>'Expenditures 15-22'!K33-SUM('Expenditures 15-22'!G33,'Expenditures 15-22'!I33)+'Expenditures 15-22'!D229</f>
        <v>11277808</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882250</v>
      </c>
      <c r="F21" s="1823"/>
      <c r="G21" s="1826">
        <f>'Expenditures 15-22'!K42-SUM('Expenditures 15-22'!G42,'Expenditures 15-22'!I42)+'Expenditures 15-22'!K120-SUM('Expenditures 15-22'!G120,'Expenditures 15-22'!I120)+'Expenditures 15-22'!K180-SUM('Expenditures 15-22'!G180,'Expenditures 15-22'!I180)+'Expenditures 15-22'!D238</f>
        <v>882250</v>
      </c>
      <c r="H21" s="988"/>
      <c r="I21" s="162"/>
    </row>
    <row r="22" spans="1:9" s="669" customFormat="1" ht="12" customHeight="1" x14ac:dyDescent="0.2">
      <c r="A22" s="995" t="s">
        <v>585</v>
      </c>
      <c r="B22" s="996"/>
      <c r="C22" s="994">
        <v>2200</v>
      </c>
      <c r="D22" s="1823"/>
      <c r="E22" s="1825">
        <f>'Expenditures 15-22'!K47-SUM('Expenditures 15-22'!G47,'Expenditures 15-22'!I47)+'Expenditures 15-22'!D243</f>
        <v>334843</v>
      </c>
      <c r="F22" s="1823"/>
      <c r="G22" s="1826">
        <f>'Expenditures 15-22'!K47-SUM('Expenditures 15-22'!G47,'Expenditures 15-22'!I47)+'Expenditures 15-22'!D243</f>
        <v>334843</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1046387</v>
      </c>
      <c r="F23" s="1823"/>
      <c r="G23" s="1825">
        <f>'Expenditures 15-22'!K53-SUM('Expenditures 15-22'!G53,'Expenditures 15-22'!I53)+'Expenditures 15-22'!D257+'Expenditures 15-22'!K330-SUM('Expenditures 15-22'!G330,'Expenditures 15-22'!I330)</f>
        <v>1046387</v>
      </c>
      <c r="H23" s="988"/>
      <c r="I23" s="162"/>
    </row>
    <row r="24" spans="1:9" s="669" customFormat="1" ht="12" customHeight="1" x14ac:dyDescent="0.2">
      <c r="A24" s="995" t="s">
        <v>587</v>
      </c>
      <c r="B24" s="996"/>
      <c r="C24" s="994">
        <v>2400</v>
      </c>
      <c r="D24" s="1823"/>
      <c r="E24" s="1825">
        <f>'Expenditures 15-22'!K57-SUM('Expenditures 15-22'!G57,'Expenditures 15-22'!I57)+'Expenditures 15-22'!D261</f>
        <v>1120953</v>
      </c>
      <c r="F24" s="1823"/>
      <c r="G24" s="1826">
        <f>'Expenditures 15-22'!K57-SUM('Expenditures 15-22'!G57,'Expenditures 15-22'!I57)+'Expenditures 15-22'!D261</f>
        <v>1120953</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63232</v>
      </c>
      <c r="E26" s="1825">
        <f>'Expenditures 15-22'!K122-SUM('Expenditures 15-22'!G122,'Expenditures 15-22'!I122)+E7</f>
        <v>0</v>
      </c>
      <c r="F26" s="1825">
        <f>'Expenditures 15-22'!K59-SUM('Expenditures 15-22'!G59,'Expenditures 15-22'!I59)+'Expenditures 15-22'!D263-E7</f>
        <v>63232</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1861945</v>
      </c>
      <c r="F28" s="1827">
        <f>'Expenditures 15-22'!K61-SUM('Expenditures 15-22'!G61,'Expenditures 15-22'!I61)+'Expenditures 15-22'!K124-SUM('Expenditures 15-22'!G124,'Expenditures 15-22'!I124)+'Expenditures 15-22'!D266-E9</f>
        <v>1861945</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1392526</v>
      </c>
      <c r="F29" s="1823"/>
      <c r="G29" s="1826">
        <f>'Expenditures 15-22'!K62-SUM('Expenditures 15-22'!G62,'Expenditures 15-22'!I62)+'Expenditures 15-22'!K125-SUM('Expenditures 15-22'!G125,'Expenditures 15-22'!I125)+'Expenditures 15-22'!K182-SUM('Expenditures 15-22'!G182,'Expenditures 15-22'!I182)+'Expenditures 15-22'!D267</f>
        <v>1392526</v>
      </c>
      <c r="H29" s="986"/>
    </row>
    <row r="30" spans="1:9" ht="12" customHeight="1" x14ac:dyDescent="0.2">
      <c r="A30" s="995" t="s">
        <v>102</v>
      </c>
      <c r="B30" s="998"/>
      <c r="C30" s="994">
        <v>2560</v>
      </c>
      <c r="D30" s="1823"/>
      <c r="E30" s="1825">
        <f>'Expenditures 15-22'!K63-SUM('Expenditures 15-22'!G63,'Expenditures 15-22'!I63)+'Expenditures 15-22'!D268-E10</f>
        <v>774102</v>
      </c>
      <c r="F30" s="1823"/>
      <c r="G30" s="1825">
        <f>'Expenditures 15-22'!K63-SUM('Expenditures 15-22'!G63,'Expenditures 15-22'!I63)+'Expenditures 15-22'!D268-E10</f>
        <v>774102</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1839</v>
      </c>
      <c r="E36" s="1825">
        <f>E13</f>
        <v>0</v>
      </c>
      <c r="F36" s="1825">
        <f>'Expenditures 15-22'!K70-SUM('Expenditures 15-22'!G70,'Expenditures 15-22'!I70)+'Expenditures 15-22'!D275-E13</f>
        <v>1839</v>
      </c>
      <c r="G36" s="1825">
        <f>E13</f>
        <v>0</v>
      </c>
    </row>
    <row r="37" spans="1:7" ht="12" customHeight="1" x14ac:dyDescent="0.2">
      <c r="A37" s="995" t="s">
        <v>424</v>
      </c>
      <c r="B37" s="998"/>
      <c r="C37" s="994">
        <v>2660</v>
      </c>
      <c r="D37" s="1825">
        <f>'Expenditures 15-22'!K71-SUM('Expenditures 15-22'!G71,'Expenditures 15-22'!I71)+'Expenditures 15-22'!D276-E14</f>
        <v>664393</v>
      </c>
      <c r="E37" s="1825">
        <f>E14</f>
        <v>0</v>
      </c>
      <c r="F37" s="1825">
        <f>'Expenditures 15-22'!K71-SUM('Expenditures 15-22'!G71,'Expenditures 15-22'!I71)+'Expenditures 15-22'!D276-E14</f>
        <v>664393</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33124</v>
      </c>
      <c r="F39" s="1823"/>
      <c r="G39" s="1825">
        <f>'Expenditures 15-22'!K75-SUM('Expenditures 15-22'!G75,'Expenditures 15-22'!I75)+'Expenditures 15-22'!K130-SUM('Expenditures 15-22'!G130,'Expenditures 15-22'!I130)+'Expenditures 15-22'!K185-SUM('Expenditures 15-22'!G185,'Expenditures 15-22'!I185)+'Expenditures 15-22'!D280</f>
        <v>33124</v>
      </c>
    </row>
    <row r="40" spans="1:7" ht="12" customHeight="1" x14ac:dyDescent="0.2">
      <c r="A40" s="991" t="s">
        <v>1926</v>
      </c>
      <c r="B40" s="992"/>
      <c r="C40" s="994"/>
      <c r="D40" s="1823"/>
      <c r="E40" s="1827">
        <f>-'Contracts Paid in CY 29'!G39</f>
        <v>-1673527</v>
      </c>
      <c r="F40" s="1823"/>
      <c r="G40" s="1827">
        <f>-'Contracts Paid in CY 29'!G39</f>
        <v>-1673527</v>
      </c>
    </row>
    <row r="41" spans="1:7" ht="12" customHeight="1" x14ac:dyDescent="0.2">
      <c r="A41" s="999" t="s">
        <v>158</v>
      </c>
      <c r="B41" s="1000"/>
      <c r="C41" s="1001"/>
      <c r="D41" s="1827">
        <f>SUM(D19:D39)</f>
        <v>729464</v>
      </c>
      <c r="E41" s="1827">
        <f>SUM(E19:E40)</f>
        <v>17050411</v>
      </c>
      <c r="F41" s="1827">
        <f>SUM(F19:F39)</f>
        <v>2591409</v>
      </c>
      <c r="G41" s="1827">
        <f>SUM(G19:G40)</f>
        <v>15188466</v>
      </c>
    </row>
    <row r="42" spans="1:7" x14ac:dyDescent="0.2">
      <c r="A42" s="988"/>
      <c r="B42" s="162"/>
      <c r="C42" s="1002"/>
      <c r="D42" s="2336" t="s">
        <v>543</v>
      </c>
      <c r="E42" s="2337"/>
      <c r="F42" s="1003" t="s">
        <v>544</v>
      </c>
      <c r="G42" s="1004"/>
    </row>
    <row r="43" spans="1:7" ht="12" customHeight="1" x14ac:dyDescent="0.2">
      <c r="A43" s="988"/>
      <c r="B43" s="162"/>
      <c r="C43" s="1002"/>
      <c r="D43" s="1828" t="s">
        <v>493</v>
      </c>
      <c r="E43" s="1829">
        <f>D41</f>
        <v>729464</v>
      </c>
      <c r="F43" s="1828" t="s">
        <v>495</v>
      </c>
      <c r="G43" s="1829">
        <f>F41</f>
        <v>2591409</v>
      </c>
    </row>
    <row r="44" spans="1:7" ht="12" customHeight="1" x14ac:dyDescent="0.2">
      <c r="A44" s="988"/>
      <c r="B44" s="162"/>
      <c r="C44" s="1002"/>
      <c r="D44" s="1828" t="s">
        <v>494</v>
      </c>
      <c r="E44" s="1829">
        <f>E41</f>
        <v>17050411</v>
      </c>
      <c r="F44" s="1828" t="s">
        <v>494</v>
      </c>
      <c r="G44" s="1829">
        <f>G41</f>
        <v>15188466</v>
      </c>
    </row>
    <row r="45" spans="1:7" ht="12" customHeight="1" x14ac:dyDescent="0.2">
      <c r="A45" s="988"/>
      <c r="B45" s="162"/>
      <c r="C45" s="162"/>
      <c r="D45" s="1830" t="s">
        <v>1063</v>
      </c>
      <c r="E45" s="1831">
        <f>(E43/E44)</f>
        <v>4.2782781013313988E-2</v>
      </c>
      <c r="F45" s="1830" t="s">
        <v>1063</v>
      </c>
      <c r="G45" s="1831">
        <f>(G43/G44)</f>
        <v>0.17061690100896298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48" sqref="E48"/>
      <selection pane="bottomLeft" activeCell="E48" sqref="E48"/>
    </sheetView>
  </sheetViews>
  <sheetFormatPr defaultColWidth="9.140625" defaultRowHeight="12.75" x14ac:dyDescent="0.2"/>
  <cols>
    <col min="1" max="1" width="54.5703125" style="1896" customWidth="1"/>
    <col min="2" max="2" width="4.140625" style="1896" customWidth="1"/>
    <col min="3" max="4" width="9.85546875" style="1868" customWidth="1"/>
    <col min="5" max="5" width="12.5703125" style="1897" customWidth="1"/>
    <col min="6" max="6" width="67.5703125" style="1868" customWidth="1"/>
    <col min="7" max="7" width="9.140625" style="1868" customWidth="1"/>
    <col min="8" max="8" width="5.5703125" style="1898" bestFit="1" customWidth="1"/>
    <col min="9" max="10" width="2" style="1898" bestFit="1" customWidth="1"/>
    <col min="11" max="11" width="9" style="1898" customWidth="1"/>
    <col min="12" max="16384" width="9.140625" style="1868"/>
  </cols>
  <sheetData>
    <row r="1" spans="1:10" x14ac:dyDescent="0.2">
      <c r="A1" s="2344" t="s">
        <v>1446</v>
      </c>
      <c r="B1" s="2344"/>
      <c r="C1" s="2344"/>
      <c r="D1" s="2344"/>
      <c r="E1" s="2344"/>
      <c r="F1" s="2344"/>
    </row>
    <row r="2" spans="1:10" x14ac:dyDescent="0.2">
      <c r="A2" s="1907" t="s">
        <v>2042</v>
      </c>
      <c r="B2" s="1869"/>
      <c r="C2" s="1907"/>
      <c r="D2" s="1869"/>
      <c r="E2" s="1869"/>
      <c r="F2" s="1870"/>
    </row>
    <row r="3" spans="1:10" x14ac:dyDescent="0.2">
      <c r="A3" s="1907" t="s">
        <v>1700</v>
      </c>
      <c r="B3" s="1869"/>
      <c r="C3" s="1907"/>
      <c r="D3" s="1869"/>
      <c r="E3" s="1869"/>
      <c r="F3" s="1870"/>
    </row>
    <row r="4" spans="1:10" ht="3.75" customHeight="1" x14ac:dyDescent="0.2">
      <c r="A4" s="1869"/>
      <c r="B4" s="1869"/>
      <c r="C4" s="1869"/>
      <c r="D4" s="1869"/>
      <c r="E4" s="1869"/>
      <c r="F4" s="1870"/>
    </row>
    <row r="5" spans="1:10" ht="15" x14ac:dyDescent="0.25">
      <c r="A5" s="2345" t="s">
        <v>1627</v>
      </c>
      <c r="B5" s="2346"/>
      <c r="C5" s="2347"/>
      <c r="D5" s="2347"/>
      <c r="E5" s="2347"/>
      <c r="F5" s="2347"/>
    </row>
    <row r="6" spans="1:10" ht="12" customHeight="1" x14ac:dyDescent="0.25">
      <c r="A6" s="1871"/>
      <c r="B6" s="1872"/>
      <c r="C6" s="2348" t="str">
        <f>COVER!A17</f>
        <v>Murphysboro CUSD 186</v>
      </c>
      <c r="D6" s="2348"/>
      <c r="E6" s="2348"/>
      <c r="F6" s="1873"/>
    </row>
    <row r="7" spans="1:10" ht="11.25" customHeight="1" thickBot="1" x14ac:dyDescent="0.3">
      <c r="A7" s="1871"/>
      <c r="B7" s="1872"/>
      <c r="C7" s="2349">
        <f>COVER!A13</f>
        <v>30039186026</v>
      </c>
      <c r="D7" s="2349"/>
      <c r="E7" s="2349"/>
      <c r="F7" s="1873"/>
    </row>
    <row r="8" spans="1:10" ht="25.5" customHeight="1" thickBot="1" x14ac:dyDescent="0.25">
      <c r="A8" s="1913" t="s">
        <v>2019</v>
      </c>
      <c r="B8" s="1874"/>
      <c r="C8" s="1909" t="s">
        <v>1780</v>
      </c>
      <c r="D8" s="1908" t="s">
        <v>1781</v>
      </c>
      <c r="E8" s="1910" t="s">
        <v>1447</v>
      </c>
      <c r="F8" s="1908"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1" t="s">
        <v>1448</v>
      </c>
      <c r="F10" s="1912" t="s">
        <v>1449</v>
      </c>
    </row>
    <row r="11" spans="1:10" ht="12" customHeight="1" x14ac:dyDescent="0.2">
      <c r="A11" s="1884" t="s">
        <v>1450</v>
      </c>
      <c r="B11" s="1885"/>
      <c r="C11" s="1977"/>
      <c r="D11" s="1977"/>
      <c r="E11" s="1980"/>
      <c r="F11" s="1979"/>
      <c r="H11" s="1898">
        <f t="shared" ref="H11:H33" si="0">IF(C11="X",5,0)</f>
        <v>0</v>
      </c>
      <c r="I11" s="1898">
        <f t="shared" ref="I11:I33" si="1">IF(D11="X",5,0)</f>
        <v>0</v>
      </c>
      <c r="J11" s="1898">
        <f t="shared" ref="J11:J33" si="2">IF(E11="X",5,0)</f>
        <v>0</v>
      </c>
    </row>
    <row r="12" spans="1:10" ht="12" customHeight="1" x14ac:dyDescent="0.2">
      <c r="A12" s="1884" t="s">
        <v>1451</v>
      </c>
      <c r="B12" s="1885"/>
      <c r="C12" s="1977"/>
      <c r="D12" s="1977"/>
      <c r="E12" s="1978"/>
      <c r="F12" s="1979"/>
      <c r="H12" s="1898">
        <f t="shared" si="0"/>
        <v>0</v>
      </c>
      <c r="I12" s="1898">
        <f t="shared" si="1"/>
        <v>0</v>
      </c>
      <c r="J12" s="1898">
        <f t="shared" si="2"/>
        <v>0</v>
      </c>
    </row>
    <row r="13" spans="1:10" ht="12" customHeight="1" x14ac:dyDescent="0.2">
      <c r="A13" s="1884" t="s">
        <v>1452</v>
      </c>
      <c r="B13" s="1885"/>
      <c r="C13" s="1977"/>
      <c r="D13" s="1977"/>
      <c r="E13" s="1978"/>
      <c r="F13" s="1979"/>
      <c r="H13" s="1898">
        <f t="shared" si="0"/>
        <v>0</v>
      </c>
      <c r="I13" s="1898">
        <f t="shared" si="1"/>
        <v>0</v>
      </c>
      <c r="J13" s="1898">
        <f t="shared" si="2"/>
        <v>0</v>
      </c>
    </row>
    <row r="14" spans="1:10" ht="12" customHeight="1" x14ac:dyDescent="0.2">
      <c r="A14" s="1884" t="s">
        <v>1453</v>
      </c>
      <c r="B14" s="1885"/>
      <c r="C14" s="1977" t="s">
        <v>2073</v>
      </c>
      <c r="D14" s="1977" t="s">
        <v>2073</v>
      </c>
      <c r="E14" s="1978" t="s">
        <v>2073</v>
      </c>
      <c r="F14" s="1979" t="s">
        <v>2182</v>
      </c>
      <c r="H14" s="1898">
        <f t="shared" si="0"/>
        <v>5</v>
      </c>
      <c r="I14" s="1898">
        <f t="shared" si="1"/>
        <v>5</v>
      </c>
      <c r="J14" s="1898">
        <f t="shared" si="2"/>
        <v>5</v>
      </c>
    </row>
    <row r="15" spans="1:10" ht="12" customHeight="1" x14ac:dyDescent="0.2">
      <c r="A15" s="1884" t="s">
        <v>1454</v>
      </c>
      <c r="B15" s="1885"/>
      <c r="C15" s="1977" t="s">
        <v>2073</v>
      </c>
      <c r="D15" s="1977" t="s">
        <v>2073</v>
      </c>
      <c r="E15" s="1978" t="s">
        <v>2073</v>
      </c>
      <c r="F15" s="1979" t="s">
        <v>2208</v>
      </c>
      <c r="H15" s="1898">
        <f t="shared" si="0"/>
        <v>5</v>
      </c>
      <c r="I15" s="1898">
        <f t="shared" si="1"/>
        <v>5</v>
      </c>
      <c r="J15" s="1898">
        <f t="shared" si="2"/>
        <v>5</v>
      </c>
    </row>
    <row r="16" spans="1:10" ht="12" customHeight="1" x14ac:dyDescent="0.2">
      <c r="A16" s="1884" t="s">
        <v>1455</v>
      </c>
      <c r="B16" s="1885"/>
      <c r="C16" s="1977"/>
      <c r="D16" s="1977"/>
      <c r="E16" s="1978"/>
      <c r="F16" s="1979"/>
      <c r="H16" s="1898">
        <f t="shared" si="0"/>
        <v>0</v>
      </c>
      <c r="I16" s="1898">
        <f t="shared" si="1"/>
        <v>0</v>
      </c>
      <c r="J16" s="1898">
        <f t="shared" si="2"/>
        <v>0</v>
      </c>
    </row>
    <row r="17" spans="1:12" ht="12" customHeight="1" x14ac:dyDescent="0.2">
      <c r="A17" s="1884" t="s">
        <v>1456</v>
      </c>
      <c r="B17" s="1885"/>
      <c r="C17" s="1977"/>
      <c r="D17" s="1977"/>
      <c r="E17" s="1978"/>
      <c r="F17" s="1979"/>
      <c r="H17" s="1898">
        <f t="shared" si="0"/>
        <v>0</v>
      </c>
      <c r="I17" s="1898">
        <f t="shared" si="1"/>
        <v>0</v>
      </c>
      <c r="J17" s="1898">
        <f t="shared" si="2"/>
        <v>0</v>
      </c>
    </row>
    <row r="18" spans="1:12" ht="12" customHeight="1" x14ac:dyDescent="0.2">
      <c r="A18" s="1884" t="s">
        <v>1457</v>
      </c>
      <c r="B18" s="1885"/>
      <c r="C18" s="1977"/>
      <c r="D18" s="1977"/>
      <c r="E18" s="1978"/>
      <c r="F18" s="1979"/>
      <c r="H18" s="1898">
        <f t="shared" si="0"/>
        <v>0</v>
      </c>
      <c r="I18" s="1898">
        <f t="shared" si="1"/>
        <v>0</v>
      </c>
      <c r="J18" s="1898">
        <f t="shared" si="2"/>
        <v>0</v>
      </c>
    </row>
    <row r="19" spans="1:12" ht="12" customHeight="1" x14ac:dyDescent="0.2">
      <c r="A19" s="1884" t="s">
        <v>1608</v>
      </c>
      <c r="B19" s="1885"/>
      <c r="C19" s="1977" t="s">
        <v>2073</v>
      </c>
      <c r="D19" s="1977" t="s">
        <v>2073</v>
      </c>
      <c r="E19" s="1978" t="s">
        <v>2073</v>
      </c>
      <c r="F19" s="1979" t="s">
        <v>2183</v>
      </c>
      <c r="H19" s="1898">
        <f t="shared" si="0"/>
        <v>5</v>
      </c>
      <c r="I19" s="1898">
        <f t="shared" si="1"/>
        <v>5</v>
      </c>
      <c r="J19" s="1898">
        <f t="shared" si="2"/>
        <v>5</v>
      </c>
    </row>
    <row r="20" spans="1:12" ht="12" customHeight="1" x14ac:dyDescent="0.2">
      <c r="A20" s="1884" t="s">
        <v>1609</v>
      </c>
      <c r="B20" s="1885"/>
      <c r="C20" s="1977" t="s">
        <v>2073</v>
      </c>
      <c r="D20" s="1977" t="s">
        <v>2073</v>
      </c>
      <c r="E20" s="1978" t="s">
        <v>2073</v>
      </c>
      <c r="F20" s="1979" t="s">
        <v>2184</v>
      </c>
      <c r="H20" s="1898">
        <f t="shared" si="0"/>
        <v>5</v>
      </c>
      <c r="I20" s="1898">
        <f t="shared" si="1"/>
        <v>5</v>
      </c>
      <c r="J20" s="1898">
        <f t="shared" si="2"/>
        <v>5</v>
      </c>
    </row>
    <row r="21" spans="1:12" ht="12" customHeight="1" x14ac:dyDescent="0.2">
      <c r="A21" s="1884" t="s">
        <v>1610</v>
      </c>
      <c r="B21" s="1885"/>
      <c r="C21" s="1977"/>
      <c r="D21" s="1977"/>
      <c r="E21" s="1978"/>
      <c r="F21" s="1979"/>
      <c r="H21" s="1898">
        <f t="shared" si="0"/>
        <v>0</v>
      </c>
      <c r="I21" s="1898">
        <f t="shared" si="1"/>
        <v>0</v>
      </c>
      <c r="J21" s="1898">
        <f t="shared" si="2"/>
        <v>0</v>
      </c>
    </row>
    <row r="22" spans="1:12" ht="12" customHeight="1" x14ac:dyDescent="0.2">
      <c r="A22" s="1884" t="s">
        <v>1611</v>
      </c>
      <c r="B22" s="1885"/>
      <c r="C22" s="1977"/>
      <c r="D22" s="1977"/>
      <c r="E22" s="1978"/>
      <c r="F22" s="1979"/>
      <c r="H22" s="1898">
        <f t="shared" si="0"/>
        <v>0</v>
      </c>
      <c r="I22" s="1898">
        <f t="shared" si="1"/>
        <v>0</v>
      </c>
      <c r="J22" s="1898">
        <f t="shared" si="2"/>
        <v>0</v>
      </c>
    </row>
    <row r="23" spans="1:12" ht="12" customHeight="1" x14ac:dyDescent="0.2">
      <c r="A23" s="1884" t="s">
        <v>1612</v>
      </c>
      <c r="B23" s="1885"/>
      <c r="C23" s="1977"/>
      <c r="D23" s="1977"/>
      <c r="E23" s="1978"/>
      <c r="F23" s="1979"/>
      <c r="H23" s="1898">
        <f t="shared" si="0"/>
        <v>0</v>
      </c>
      <c r="I23" s="1898">
        <f t="shared" si="1"/>
        <v>0</v>
      </c>
      <c r="J23" s="1898">
        <f t="shared" si="2"/>
        <v>0</v>
      </c>
    </row>
    <row r="24" spans="1:12" ht="12" customHeight="1" x14ac:dyDescent="0.2">
      <c r="A24" s="1884" t="s">
        <v>1613</v>
      </c>
      <c r="B24" s="1885"/>
      <c r="C24" s="1977"/>
      <c r="D24" s="1977"/>
      <c r="E24" s="1978"/>
      <c r="F24" s="1979"/>
      <c r="H24" s="1898">
        <f t="shared" si="0"/>
        <v>0</v>
      </c>
      <c r="I24" s="1898">
        <f t="shared" si="1"/>
        <v>0</v>
      </c>
      <c r="J24" s="1898">
        <f t="shared" si="2"/>
        <v>0</v>
      </c>
    </row>
    <row r="25" spans="1:12" ht="12" customHeight="1" x14ac:dyDescent="0.2">
      <c r="A25" s="1884" t="s">
        <v>1614</v>
      </c>
      <c r="B25" s="1885"/>
      <c r="C25" s="1977"/>
      <c r="D25" s="1977"/>
      <c r="E25" s="1978"/>
      <c r="F25" s="1979"/>
      <c r="H25" s="1898">
        <f t="shared" si="0"/>
        <v>0</v>
      </c>
      <c r="I25" s="1898">
        <f t="shared" si="1"/>
        <v>0</v>
      </c>
      <c r="J25" s="1898">
        <f t="shared" si="2"/>
        <v>0</v>
      </c>
    </row>
    <row r="26" spans="1:12" ht="12" customHeight="1" x14ac:dyDescent="0.2">
      <c r="A26" s="1884" t="s">
        <v>1615</v>
      </c>
      <c r="B26" s="1885"/>
      <c r="C26" s="1977" t="s">
        <v>2073</v>
      </c>
      <c r="D26" s="1977" t="s">
        <v>2073</v>
      </c>
      <c r="E26" s="1978" t="s">
        <v>2073</v>
      </c>
      <c r="F26" s="1979" t="s">
        <v>2185</v>
      </c>
      <c r="H26" s="1898">
        <f t="shared" si="0"/>
        <v>5</v>
      </c>
      <c r="I26" s="1898">
        <f t="shared" si="1"/>
        <v>5</v>
      </c>
      <c r="J26" s="1898">
        <f t="shared" si="2"/>
        <v>5</v>
      </c>
    </row>
    <row r="27" spans="1:12" x14ac:dyDescent="0.2">
      <c r="A27" s="1884" t="s">
        <v>1616</v>
      </c>
      <c r="B27" s="1885"/>
      <c r="C27" s="1977"/>
      <c r="D27" s="1977"/>
      <c r="E27" s="1978"/>
      <c r="F27" s="1979"/>
      <c r="H27" s="1898">
        <f t="shared" si="0"/>
        <v>0</v>
      </c>
      <c r="I27" s="1898">
        <f t="shared" si="1"/>
        <v>0</v>
      </c>
      <c r="J27" s="1898">
        <f t="shared" si="2"/>
        <v>0</v>
      </c>
    </row>
    <row r="28" spans="1:12" ht="12" customHeight="1" x14ac:dyDescent="0.2">
      <c r="A28" s="1884" t="s">
        <v>1617</v>
      </c>
      <c r="B28" s="1885"/>
      <c r="C28" s="1977"/>
      <c r="D28" s="1977"/>
      <c r="E28" s="1978"/>
      <c r="F28" s="1979"/>
      <c r="H28" s="1898">
        <f t="shared" si="0"/>
        <v>0</v>
      </c>
      <c r="I28" s="1898">
        <f t="shared" si="1"/>
        <v>0</v>
      </c>
      <c r="J28" s="1898">
        <f t="shared" si="2"/>
        <v>0</v>
      </c>
    </row>
    <row r="29" spans="1:12" ht="12" customHeight="1" x14ac:dyDescent="0.2">
      <c r="A29" s="1884" t="s">
        <v>1618</v>
      </c>
      <c r="B29" s="1885"/>
      <c r="C29" s="1977" t="s">
        <v>2073</v>
      </c>
      <c r="D29" s="1977" t="s">
        <v>2073</v>
      </c>
      <c r="E29" s="1978" t="s">
        <v>2073</v>
      </c>
      <c r="F29" s="1979" t="s">
        <v>2186</v>
      </c>
      <c r="H29" s="1898">
        <f t="shared" si="0"/>
        <v>5</v>
      </c>
      <c r="I29" s="1898">
        <f t="shared" si="1"/>
        <v>5</v>
      </c>
      <c r="J29" s="1898">
        <f t="shared" si="2"/>
        <v>5</v>
      </c>
    </row>
    <row r="30" spans="1:12" ht="12" customHeight="1" x14ac:dyDescent="0.2">
      <c r="A30" s="1884" t="s">
        <v>1619</v>
      </c>
      <c r="B30" s="1885"/>
      <c r="C30" s="1977" t="s">
        <v>2073</v>
      </c>
      <c r="D30" s="1977" t="s">
        <v>2073</v>
      </c>
      <c r="E30" s="1978" t="s">
        <v>2073</v>
      </c>
      <c r="F30" s="1979" t="s">
        <v>2187</v>
      </c>
      <c r="H30" s="1898">
        <f t="shared" si="0"/>
        <v>5</v>
      </c>
      <c r="I30" s="1898">
        <f t="shared" si="1"/>
        <v>5</v>
      </c>
      <c r="J30" s="1898">
        <f t="shared" si="2"/>
        <v>5</v>
      </c>
    </row>
    <row r="31" spans="1:12" ht="12" customHeight="1" x14ac:dyDescent="0.2">
      <c r="A31" s="1884" t="s">
        <v>1620</v>
      </c>
      <c r="B31" s="1885"/>
      <c r="C31" s="1886"/>
      <c r="D31" s="1886"/>
      <c r="E31" s="1888"/>
      <c r="F31" s="1887"/>
      <c r="H31" s="1898">
        <f t="shared" si="0"/>
        <v>0</v>
      </c>
      <c r="I31" s="1898">
        <f t="shared" si="1"/>
        <v>0</v>
      </c>
      <c r="J31" s="1898">
        <f t="shared" si="2"/>
        <v>0</v>
      </c>
      <c r="L31" s="1889"/>
    </row>
    <row r="32" spans="1:12" ht="12" customHeight="1" x14ac:dyDescent="0.2">
      <c r="A32" s="1884" t="s">
        <v>1621</v>
      </c>
      <c r="B32" s="1885"/>
      <c r="C32" s="1886"/>
      <c r="D32" s="1886"/>
      <c r="E32" s="1888"/>
      <c r="F32" s="1887"/>
      <c r="H32" s="1898">
        <f t="shared" si="0"/>
        <v>0</v>
      </c>
      <c r="I32" s="1898">
        <f t="shared" si="1"/>
        <v>0</v>
      </c>
      <c r="J32" s="1898">
        <f t="shared" si="2"/>
        <v>0</v>
      </c>
    </row>
    <row r="33" spans="1:11" ht="12" customHeight="1" x14ac:dyDescent="0.2">
      <c r="A33" s="1884" t="s">
        <v>1622</v>
      </c>
      <c r="B33" s="1885"/>
      <c r="C33" s="1886"/>
      <c r="D33" s="1886"/>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35</v>
      </c>
      <c r="I34" s="1898">
        <f>SUM(I11:I32)</f>
        <v>35</v>
      </c>
      <c r="J34" s="1898">
        <f>SUM(J11:J32)</f>
        <v>35</v>
      </c>
      <c r="K34" s="1898">
        <f>SUM(H34:J34)</f>
        <v>105</v>
      </c>
    </row>
    <row r="35" spans="1:11" ht="12" customHeight="1" x14ac:dyDescent="0.2">
      <c r="A35" s="1891" t="s">
        <v>1459</v>
      </c>
      <c r="B35" s="1892"/>
      <c r="C35" s="2350"/>
      <c r="D35" s="2350"/>
      <c r="E35" s="2350"/>
      <c r="F35" s="2351"/>
    </row>
    <row r="36" spans="1:11" ht="12" customHeight="1" x14ac:dyDescent="0.2">
      <c r="A36" s="2341"/>
      <c r="B36" s="2342"/>
      <c r="C36" s="2342"/>
      <c r="D36" s="2342"/>
      <c r="E36" s="2342"/>
      <c r="F36" s="2343"/>
    </row>
    <row r="37" spans="1:11" ht="12" customHeight="1" x14ac:dyDescent="0.2">
      <c r="A37" s="2341"/>
      <c r="B37" s="2342"/>
      <c r="C37" s="2342"/>
      <c r="D37" s="2342"/>
      <c r="E37" s="2342"/>
      <c r="F37" s="2343"/>
    </row>
    <row r="38" spans="1:11" ht="12" customHeight="1" x14ac:dyDescent="0.2">
      <c r="A38" s="2355"/>
      <c r="B38" s="2356"/>
      <c r="C38" s="2356"/>
      <c r="D38" s="2356"/>
      <c r="E38" s="2356"/>
      <c r="F38" s="2357"/>
    </row>
    <row r="39" spans="1:11" ht="4.5" hidden="1" customHeight="1" x14ac:dyDescent="0.2">
      <c r="A39" s="1893"/>
      <c r="B39" s="1893"/>
      <c r="C39" s="1893"/>
      <c r="D39" s="1893"/>
      <c r="E39" s="1893"/>
      <c r="F39" s="1893"/>
    </row>
    <row r="40" spans="1:11" s="1890" customFormat="1" ht="12" customHeight="1" x14ac:dyDescent="0.25">
      <c r="A40" s="1894" t="s">
        <v>1458</v>
      </c>
      <c r="B40" s="1895"/>
      <c r="C40" s="2358"/>
      <c r="D40" s="2358"/>
      <c r="E40" s="2358"/>
      <c r="F40" s="2359"/>
      <c r="H40" s="1899"/>
      <c r="I40" s="1899"/>
      <c r="J40" s="1899"/>
      <c r="K40" s="1899"/>
    </row>
    <row r="41" spans="1:11" s="1890" customFormat="1" ht="12" customHeight="1" x14ac:dyDescent="0.25">
      <c r="A41" s="2360"/>
      <c r="B41" s="2361"/>
      <c r="C41" s="2361"/>
      <c r="D41" s="2361"/>
      <c r="E41" s="2361"/>
      <c r="F41" s="2362"/>
      <c r="H41" s="1899"/>
      <c r="I41" s="1899"/>
      <c r="J41" s="1899"/>
      <c r="K41" s="1899"/>
    </row>
    <row r="42" spans="1:11" s="1890" customFormat="1" ht="12" customHeight="1" x14ac:dyDescent="0.25">
      <c r="A42" s="2360"/>
      <c r="B42" s="2361"/>
      <c r="C42" s="2361"/>
      <c r="D42" s="2361"/>
      <c r="E42" s="2361"/>
      <c r="F42" s="2362"/>
      <c r="H42" s="1899"/>
      <c r="I42" s="1899"/>
      <c r="J42" s="1899"/>
      <c r="K42" s="1899"/>
    </row>
    <row r="43" spans="1:11" s="1890" customFormat="1" ht="15" x14ac:dyDescent="0.25">
      <c r="A43" s="2352"/>
      <c r="B43" s="2353"/>
      <c r="C43" s="2353"/>
      <c r="D43" s="2353"/>
      <c r="E43" s="2353"/>
      <c r="F43" s="2354"/>
      <c r="H43" s="1899"/>
      <c r="I43" s="1899"/>
      <c r="J43" s="1899"/>
      <c r="K43" s="1899"/>
    </row>
    <row r="44" spans="1:11" s="1890" customFormat="1" ht="12" hidden="1" customHeight="1" x14ac:dyDescent="0.25">
      <c r="A44" s="2352"/>
      <c r="B44" s="2353"/>
      <c r="C44" s="2353"/>
      <c r="D44" s="2353"/>
      <c r="E44" s="2353"/>
      <c r="F44" s="2354"/>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E48" sqref="E4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3"/>
      <c r="C6" s="1663"/>
      <c r="D6" s="1663"/>
      <c r="E6" s="1664"/>
      <c r="F6" s="1016"/>
      <c r="G6" s="1010"/>
      <c r="H6" s="1017" t="s">
        <v>1086</v>
      </c>
      <c r="I6" s="2368" t="str">
        <f>COVER!A17</f>
        <v>Murphysboro CUSD 186</v>
      </c>
      <c r="J6" s="2369"/>
      <c r="Q6" s="1684"/>
    </row>
    <row r="7" spans="1:17" x14ac:dyDescent="0.2">
      <c r="A7" s="2370" t="s">
        <v>924</v>
      </c>
      <c r="B7" s="2371"/>
      <c r="C7" s="2371"/>
      <c r="D7" s="2371"/>
      <c r="E7" s="2372"/>
      <c r="F7" s="1018"/>
      <c r="G7" s="1010"/>
      <c r="H7" s="1017" t="s">
        <v>390</v>
      </c>
      <c r="I7" s="2373">
        <f>COVER!A13</f>
        <v>30039186026</v>
      </c>
      <c r="J7" s="2373"/>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4" t="s">
        <v>502</v>
      </c>
      <c r="B11" s="2375"/>
      <c r="C11" s="237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138521</v>
      </c>
      <c r="F12" s="1040"/>
      <c r="G12" s="1832">
        <f t="shared" ref="G12:G18" si="0">SUM(E12:F12)</f>
        <v>138521</v>
      </c>
      <c r="H12" s="1041">
        <v>146250</v>
      </c>
      <c r="I12" s="1040"/>
      <c r="J12" s="1832">
        <f t="shared" ref="J12:J18" si="1">SUM(H12:I12)</f>
        <v>146250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55066</v>
      </c>
      <c r="F15" s="1832">
        <f>'Expenditures 15-22'!K122</f>
        <v>0</v>
      </c>
      <c r="G15" s="1832">
        <f t="shared" si="0"/>
        <v>55066</v>
      </c>
      <c r="H15" s="1041">
        <v>57100</v>
      </c>
      <c r="I15" s="1041"/>
      <c r="J15" s="1832">
        <f t="shared" si="1"/>
        <v>57100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77" t="s">
        <v>7</v>
      </c>
      <c r="C18" s="2378"/>
      <c r="D18" s="2379"/>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193587</v>
      </c>
      <c r="F19" s="1834">
        <f t="shared" si="2"/>
        <v>0</v>
      </c>
      <c r="G19" s="1834">
        <f t="shared" si="2"/>
        <v>193587</v>
      </c>
      <c r="H19" s="1834">
        <f t="shared" si="2"/>
        <v>203350</v>
      </c>
      <c r="I19" s="1834">
        <f t="shared" si="2"/>
        <v>0</v>
      </c>
      <c r="J19" s="1834">
        <f t="shared" si="2"/>
        <v>203350</v>
      </c>
    </row>
    <row r="20" spans="1:10" ht="13.5" thickTop="1" x14ac:dyDescent="0.2">
      <c r="A20" s="1036">
        <v>9</v>
      </c>
      <c r="B20" s="2380" t="s">
        <v>1703</v>
      </c>
      <c r="C20" s="2380"/>
      <c r="D20" s="2381"/>
      <c r="E20" s="1047"/>
      <c r="F20" s="1047"/>
      <c r="G20" s="1047"/>
      <c r="H20" s="1047"/>
      <c r="I20" s="1047"/>
      <c r="J20" s="1835">
        <f>IF(AND(G19&gt;0,J19&gt;0),(((J19-G19)/G19)),"Enter Budget Data")</f>
        <v>5.0432105461627075E-2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6"/>
      <c r="D26" s="2386"/>
      <c r="E26" s="1051"/>
      <c r="F26" s="2385"/>
      <c r="G26" s="2385"/>
    </row>
    <row r="27" spans="1:10" x14ac:dyDescent="0.2">
      <c r="B27" s="1048"/>
      <c r="C27" s="1052" t="s">
        <v>1093</v>
      </c>
      <c r="D27" s="1053"/>
      <c r="E27" s="1054"/>
      <c r="F27" s="2382" t="s">
        <v>1589</v>
      </c>
      <c r="G27" s="2382"/>
    </row>
    <row r="28" spans="1:10" ht="28.5" customHeight="1" x14ac:dyDescent="0.2">
      <c r="B28" s="1048"/>
      <c r="C28" s="2384" t="s">
        <v>2078</v>
      </c>
      <c r="D28" s="2384"/>
      <c r="E28" s="1055"/>
      <c r="F28" s="2384" t="s">
        <v>2079</v>
      </c>
      <c r="G28" s="2384"/>
    </row>
    <row r="29" spans="1:10" x14ac:dyDescent="0.2">
      <c r="B29" s="1048"/>
      <c r="C29" s="1056" t="s">
        <v>1642</v>
      </c>
      <c r="E29" s="1057"/>
      <c r="F29" s="2383" t="s">
        <v>1590</v>
      </c>
      <c r="G29" s="238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5" t="s">
        <v>134</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63"/>
    </row>
    <row r="36" spans="1:10" ht="13.5" customHeight="1" x14ac:dyDescent="0.2">
      <c r="B36" s="1062"/>
      <c r="C36" s="2367" t="s">
        <v>1939</v>
      </c>
      <c r="D36" s="2366"/>
      <c r="E36" s="2366"/>
      <c r="F36" s="2366"/>
      <c r="G36" s="2366"/>
      <c r="H36" s="2366"/>
      <c r="I36" s="2366"/>
      <c r="J36" s="1064"/>
    </row>
    <row r="37" spans="1:10" ht="22.5" customHeight="1" x14ac:dyDescent="0.2">
      <c r="C37" s="2366"/>
      <c r="D37" s="2366"/>
      <c r="E37" s="2366"/>
      <c r="F37" s="2366"/>
      <c r="G37" s="2366"/>
      <c r="H37" s="2366"/>
      <c r="I37" s="2366"/>
      <c r="J37" s="1064"/>
    </row>
    <row r="38" spans="1:10" ht="7.5" customHeight="1" x14ac:dyDescent="0.2">
      <c r="C38" s="1063"/>
      <c r="D38" s="1065"/>
      <c r="E38" s="1066"/>
      <c r="F38" s="1067"/>
      <c r="G38" s="1066"/>
    </row>
    <row r="39" spans="1:10" ht="13.5" customHeight="1" x14ac:dyDescent="0.2">
      <c r="B39" s="1062"/>
      <c r="C39" s="2363" t="s">
        <v>937</v>
      </c>
      <c r="D39" s="2364"/>
      <c r="E39" s="2364"/>
      <c r="F39" s="2364"/>
      <c r="G39" s="2364"/>
      <c r="H39" s="2364"/>
      <c r="I39" s="236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48" sqref="E4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4" t="s">
        <v>2188</v>
      </c>
    </row>
    <row r="6" spans="1:2" x14ac:dyDescent="0.2">
      <c r="A6" s="1069">
        <v>2</v>
      </c>
      <c r="B6" s="4" t="s">
        <v>2189</v>
      </c>
    </row>
    <row r="7" spans="1:2" x14ac:dyDescent="0.2">
      <c r="A7" s="1069">
        <v>3</v>
      </c>
      <c r="B7" s="4" t="s">
        <v>2190</v>
      </c>
    </row>
    <row r="8" spans="1:2" x14ac:dyDescent="0.2">
      <c r="A8" s="1069">
        <v>4</v>
      </c>
      <c r="B8" s="4" t="s">
        <v>2191</v>
      </c>
    </row>
    <row r="9" spans="1:2" x14ac:dyDescent="0.2">
      <c r="A9" s="1069">
        <v>5</v>
      </c>
      <c r="B9" s="4" t="s">
        <v>2192</v>
      </c>
    </row>
    <row r="10" spans="1:2" x14ac:dyDescent="0.2">
      <c r="A10" s="1069">
        <v>6</v>
      </c>
      <c r="B10" s="4" t="s">
        <v>2193</v>
      </c>
    </row>
    <row r="11" spans="1:2" x14ac:dyDescent="0.2">
      <c r="A11" s="1069">
        <v>7</v>
      </c>
      <c r="B11" s="4" t="s">
        <v>2194</v>
      </c>
    </row>
    <row r="12" spans="1:2" x14ac:dyDescent="0.2">
      <c r="A12" s="1069">
        <v>8</v>
      </c>
      <c r="B12" s="4" t="s">
        <v>2195</v>
      </c>
    </row>
    <row r="13" spans="1:2" x14ac:dyDescent="0.2">
      <c r="A13" s="1069">
        <v>9</v>
      </c>
      <c r="B13" s="4" t="s">
        <v>2196</v>
      </c>
    </row>
    <row r="14" spans="1:2" x14ac:dyDescent="0.2">
      <c r="A14" s="1069">
        <v>10</v>
      </c>
      <c r="B14" s="4" t="s">
        <v>2197</v>
      </c>
    </row>
    <row r="15" spans="1:2" x14ac:dyDescent="0.2">
      <c r="A15" s="1069">
        <v>11</v>
      </c>
      <c r="B15" s="4" t="s">
        <v>2198</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Murphysboro CUSD 186</v>
      </c>
    </row>
    <row r="65" spans="2:2" x14ac:dyDescent="0.2">
      <c r="B65" s="1071">
        <f>COVER!A13</f>
        <v>30039186026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7" t="s">
        <v>1709</v>
      </c>
    </row>
    <row r="23" spans="1:5" x14ac:dyDescent="0.2">
      <c r="A23" s="168"/>
      <c r="B23" s="162" t="s">
        <v>1964</v>
      </c>
      <c r="D23" s="167" t="s">
        <v>658</v>
      </c>
      <c r="E23" s="1857"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4" t="s">
        <v>1125</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715</v>
      </c>
      <c r="B40" s="2101"/>
      <c r="C40" s="2101"/>
      <c r="D40" s="2101"/>
      <c r="E40" s="2101"/>
    </row>
    <row r="41" spans="1:5" x14ac:dyDescent="0.2">
      <c r="A41" s="2102" t="s">
        <v>1706</v>
      </c>
      <c r="B41" s="2102"/>
      <c r="C41" s="2102"/>
      <c r="D41" s="2102"/>
      <c r="E41" s="2102"/>
    </row>
    <row r="42" spans="1:5" ht="12.75" customHeight="1" x14ac:dyDescent="0.2">
      <c r="A42" s="2103" t="s">
        <v>1080</v>
      </c>
      <c r="B42" s="2103"/>
      <c r="C42" s="2103"/>
      <c r="D42" s="2103"/>
      <c r="E42" s="2103"/>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48" sqref="E4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7" t="s">
        <v>1784</v>
      </c>
      <c r="B18" s="238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1733550</xdr:colOff>
                <xdr:row>5</xdr:row>
                <xdr:rowOff>133350</xdr:rowOff>
              </from>
              <to>
                <xdr:col>1</xdr:col>
                <xdr:colOff>2647950</xdr:colOff>
                <xdr:row>10</xdr:row>
                <xdr:rowOff>9525</xdr:rowOff>
              </to>
            </anchor>
          </objectPr>
        </oleObject>
      </mc:Choice>
      <mc:Fallback>
        <oleObject progId="Acrobat Document" dvAspect="DVASPECT_ICON" shapeId="2969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48" sqref="E4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8" t="s">
        <v>1790</v>
      </c>
      <c r="B1" s="2389"/>
      <c r="C1" s="2389"/>
      <c r="D1" s="2389"/>
      <c r="E1" s="2389"/>
      <c r="F1" s="2390"/>
    </row>
    <row r="2" spans="1:8" ht="45" customHeight="1" x14ac:dyDescent="0.2">
      <c r="A2" s="2398" t="s">
        <v>1791</v>
      </c>
      <c r="B2" s="2399"/>
      <c r="C2" s="2399"/>
      <c r="D2" s="2399"/>
      <c r="E2" s="2399"/>
      <c r="F2" s="2400"/>
      <c r="G2" s="1075"/>
      <c r="H2" s="1075"/>
    </row>
    <row r="3" spans="1:8" ht="57" customHeight="1" x14ac:dyDescent="0.2">
      <c r="A3" s="2401" t="s">
        <v>1786</v>
      </c>
      <c r="B3" s="2402"/>
      <c r="C3" s="2402"/>
      <c r="D3" s="2402"/>
      <c r="E3" s="2402"/>
      <c r="F3" s="2403"/>
      <c r="G3" s="1075"/>
      <c r="H3" s="1075"/>
    </row>
    <row r="4" spans="1:8" ht="14.25" customHeight="1" x14ac:dyDescent="0.2">
      <c r="A4" s="2407" t="s">
        <v>2050</v>
      </c>
      <c r="B4" s="2408"/>
      <c r="C4" s="2408"/>
      <c r="D4" s="2408"/>
      <c r="E4" s="2408"/>
      <c r="F4" s="2409"/>
      <c r="G4" s="1075"/>
      <c r="H4" s="1075"/>
    </row>
    <row r="5" spans="1:8" ht="14.25" customHeight="1" x14ac:dyDescent="0.2">
      <c r="A5" s="2410" t="s">
        <v>2051</v>
      </c>
      <c r="B5" s="2411"/>
      <c r="C5" s="2411"/>
      <c r="D5" s="2411"/>
      <c r="E5" s="2411"/>
      <c r="F5" s="2412"/>
      <c r="G5" s="1075"/>
      <c r="H5" s="1075"/>
    </row>
    <row r="6" spans="1:8" s="1076" customFormat="1" ht="41.25" customHeight="1" x14ac:dyDescent="0.2">
      <c r="A6" s="2404" t="s">
        <v>1792</v>
      </c>
      <c r="B6" s="2405"/>
      <c r="C6" s="2405"/>
      <c r="D6" s="2405"/>
      <c r="E6" s="2405"/>
      <c r="F6" s="240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25147993</v>
      </c>
      <c r="C8" s="1836">
        <f>'Acct Summary 7-8'!D8</f>
        <v>1028883</v>
      </c>
      <c r="D8" s="1836">
        <f>'Acct Summary 7-8'!F8</f>
        <v>1626782</v>
      </c>
      <c r="E8" s="1836">
        <f>'Acct Summary 7-8'!I8</f>
        <v>85179</v>
      </c>
      <c r="F8" s="1836">
        <f>SUM(B8:E8)</f>
        <v>27888837</v>
      </c>
    </row>
    <row r="9" spans="1:8" s="1080" customFormat="1" ht="14.25" customHeight="1" thickBot="1" x14ac:dyDescent="0.25">
      <c r="A9" s="1079" t="s">
        <v>1436</v>
      </c>
      <c r="B9" s="1837">
        <f>'Acct Summary 7-8'!C17</f>
        <v>24050291</v>
      </c>
      <c r="C9" s="1837">
        <f>'Acct Summary 7-8'!D17</f>
        <v>941790</v>
      </c>
      <c r="D9" s="1837">
        <f>'Acct Summary 7-8'!F17</f>
        <v>1386427</v>
      </c>
      <c r="E9" s="1836"/>
      <c r="F9" s="1836">
        <f>SUM(B9:E9)</f>
        <v>26378508</v>
      </c>
    </row>
    <row r="10" spans="1:8" s="1080" customFormat="1" ht="14.25" thickTop="1" thickBot="1" x14ac:dyDescent="0.25">
      <c r="A10" s="1081" t="s">
        <v>1437</v>
      </c>
      <c r="B10" s="1838">
        <f>(B8-B9)</f>
        <v>1097702</v>
      </c>
      <c r="C10" s="1838">
        <f>(C8-C9)</f>
        <v>87093</v>
      </c>
      <c r="D10" s="1838">
        <f>(D8-D9)</f>
        <v>240355</v>
      </c>
      <c r="E10" s="1837">
        <f>(E8-E9)</f>
        <v>85179</v>
      </c>
      <c r="F10" s="1839">
        <f>SUM(F8-F9)</f>
        <v>1510329</v>
      </c>
    </row>
    <row r="11" spans="1:8" s="1080" customFormat="1" ht="14.25" thickTop="1" thickBot="1" x14ac:dyDescent="0.25">
      <c r="A11" s="1082" t="s">
        <v>1785</v>
      </c>
      <c r="B11" s="1840">
        <f>'Acct Summary 7-8'!C81</f>
        <v>3478939</v>
      </c>
      <c r="C11" s="1840">
        <f>'Acct Summary 7-8'!D81</f>
        <v>795035</v>
      </c>
      <c r="D11" s="1840">
        <f>'Acct Summary 7-8'!F81</f>
        <v>316141</v>
      </c>
      <c r="E11" s="1840">
        <f>'Acct Summary 7-8'!I81</f>
        <v>948603</v>
      </c>
      <c r="F11" s="1841">
        <f>SUM(B11:E11)</f>
        <v>5538718</v>
      </c>
    </row>
    <row r="12" spans="1:8" ht="16.5" customHeight="1" thickTop="1" x14ac:dyDescent="0.2">
      <c r="A12" s="1083"/>
      <c r="B12" s="1084"/>
      <c r="C12" s="2392" t="str">
        <f>IF(AND(F10&lt;0,F11&gt;=0,ABS(F10*3)&gt;ABS(F11)),A16,IF(AND(F10&lt;0,F11&gt;0,ABS(F10*3)&lt;=ABS(F11)),A17,IF(AND(F10&lt;0,F11&lt;0),A16,IF(F11=0,A19,A18))))</f>
        <v>Balanced - no deficit reduction plan is required.</v>
      </c>
      <c r="D12" s="2393"/>
      <c r="E12" s="2393"/>
      <c r="F12" s="2394"/>
    </row>
    <row r="13" spans="1:8" ht="19.5" customHeight="1" x14ac:dyDescent="0.2">
      <c r="A13" s="1085"/>
      <c r="B13" s="1086"/>
      <c r="C13" s="2392"/>
      <c r="D13" s="2393"/>
      <c r="E13" s="2393"/>
      <c r="F13" s="2394"/>
      <c r="H13" s="1075"/>
    </row>
    <row r="14" spans="1:8" ht="19.5" customHeight="1" x14ac:dyDescent="0.2">
      <c r="A14" s="1085"/>
      <c r="B14" s="1086"/>
      <c r="C14" s="2392"/>
      <c r="D14" s="2393"/>
      <c r="E14" s="2393"/>
      <c r="F14" s="2394"/>
      <c r="H14" s="1075"/>
    </row>
    <row r="15" spans="1:8" ht="17.25" customHeight="1" x14ac:dyDescent="0.2">
      <c r="A15" s="1085"/>
      <c r="B15" s="1086"/>
      <c r="C15" s="2395"/>
      <c r="D15" s="2396"/>
      <c r="E15" s="2396"/>
      <c r="F15" s="2397"/>
      <c r="H15" s="1075"/>
    </row>
    <row r="16" spans="1:8" s="310" customFormat="1" ht="51.75" hidden="1" customHeight="1" x14ac:dyDescent="0.2">
      <c r="A16" s="2391" t="s">
        <v>1787</v>
      </c>
      <c r="B16" s="2391"/>
      <c r="C16" s="2391"/>
      <c r="D16" s="2391"/>
      <c r="E16" s="239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1" sqref="D8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413" t="s">
        <v>686</v>
      </c>
      <c r="B3" s="2414"/>
      <c r="C3" s="2414"/>
      <c r="D3" s="2415"/>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4" t="s">
        <v>1584</v>
      </c>
      <c r="D7" s="2425"/>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6" t="s">
        <v>1065</v>
      </c>
      <c r="B15" s="2417"/>
      <c r="C15" s="2417"/>
      <c r="D15" s="2418"/>
    </row>
    <row r="16" spans="1:4" s="669" customFormat="1" ht="24" customHeight="1" x14ac:dyDescent="0.2">
      <c r="A16" s="2419" t="s">
        <v>684</v>
      </c>
      <c r="B16" s="2420"/>
      <c r="C16" s="2420"/>
      <c r="D16" s="242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8" t="s">
        <v>332</v>
      </c>
      <c r="D21" s="2429"/>
    </row>
    <row r="22" spans="1:10" ht="12.75" x14ac:dyDescent="0.2">
      <c r="A22" s="1140"/>
      <c r="B22" s="1141">
        <v>2</v>
      </c>
      <c r="C22" s="2426" t="s">
        <v>1605</v>
      </c>
      <c r="D22" s="242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30" t="s">
        <v>557</v>
      </c>
      <c r="D43" s="243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2" t="s">
        <v>817</v>
      </c>
      <c r="D56" s="242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22" t="s">
        <v>1797</v>
      </c>
      <c r="D70" s="242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30039186026</v>
      </c>
    </row>
    <row r="3" spans="1:2" x14ac:dyDescent="0.2">
      <c r="A3" t="s">
        <v>1013</v>
      </c>
      <c r="B3" s="138" t="str">
        <f>COVER!A15</f>
        <v>Jackson</v>
      </c>
    </row>
    <row r="4" spans="1:2" x14ac:dyDescent="0.2">
      <c r="A4" t="s">
        <v>1064</v>
      </c>
      <c r="B4" s="138" t="str">
        <f>COVER!A17</f>
        <v>Murphysboro CUSD 186</v>
      </c>
    </row>
    <row r="5" spans="1:2" x14ac:dyDescent="0.2">
      <c r="A5" t="s">
        <v>728</v>
      </c>
      <c r="B5" s="138" t="str">
        <f>COVER!A38</f>
        <v>Christopher Grode</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Saint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3085070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3414637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-64302</v>
      </c>
      <c r="C91" s="2" t="s">
        <v>594</v>
      </c>
      <c r="D91" s="2" t="str">
        <f t="shared" si="0"/>
        <v>Error?</v>
      </c>
    </row>
    <row r="92" spans="1:4" x14ac:dyDescent="0.2">
      <c r="A92" s="5">
        <v>31</v>
      </c>
      <c r="B92" s="138">
        <f>'Assets-Liab 5-6'!C39</f>
        <v>3478939</v>
      </c>
      <c r="D92" s="2" t="str">
        <f t="shared" si="0"/>
        <v>Error?</v>
      </c>
    </row>
    <row r="93" spans="1:4" x14ac:dyDescent="0.2">
      <c r="A93" s="5">
        <v>32</v>
      </c>
      <c r="B93" s="138">
        <f>'Assets-Liab 5-6'!C41</f>
        <v>3414637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792683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795035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795035</v>
      </c>
      <c r="D123" s="2" t="str">
        <f t="shared" si="0"/>
        <v>Error?</v>
      </c>
    </row>
    <row r="124" spans="1:4" x14ac:dyDescent="0.2">
      <c r="A124" s="5">
        <v>63</v>
      </c>
      <c r="B124" s="138">
        <f>'Assets-Liab 5-6'!D41</f>
        <v>795035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356336</v>
      </c>
      <c r="D129" s="2" t="str">
        <f t="shared" si="1"/>
        <v>Error?</v>
      </c>
    </row>
    <row r="130" spans="1:4" x14ac:dyDescent="0.2">
      <c r="A130" s="5">
        <v>69</v>
      </c>
      <c r="B130" s="138">
        <f>'Assets-Liab 5-6'!E12</f>
        <v>0</v>
      </c>
      <c r="D130" s="2" t="str">
        <f t="shared" si="1"/>
        <v>Error?</v>
      </c>
    </row>
    <row r="131" spans="1:4" x14ac:dyDescent="0.2">
      <c r="A131" s="5">
        <v>70</v>
      </c>
      <c r="B131" s="138">
        <f>'Assets-Liab 5-6'!E13</f>
        <v>361336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361336</v>
      </c>
      <c r="D140" s="2" t="str">
        <f t="shared" si="1"/>
        <v>Error?</v>
      </c>
    </row>
    <row r="141" spans="1:4" x14ac:dyDescent="0.2">
      <c r="A141" s="5">
        <v>80</v>
      </c>
      <c r="B141" s="138">
        <f>'Assets-Liab 5-6'!E41</f>
        <v>361336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306159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316141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316141</v>
      </c>
      <c r="D170" s="2" t="str">
        <f t="shared" si="1"/>
        <v>Error?</v>
      </c>
    </row>
    <row r="171" spans="1:4" x14ac:dyDescent="0.2">
      <c r="A171" s="5">
        <v>110</v>
      </c>
      <c r="B171" s="138">
        <f>'Assets-Liab 5-6'!F41</f>
        <v>316141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85136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85236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85236</v>
      </c>
      <c r="D189" s="2" t="str">
        <f t="shared" si="1"/>
        <v>Error?</v>
      </c>
    </row>
    <row r="190" spans="1:4" x14ac:dyDescent="0.2">
      <c r="A190" s="5">
        <v>129</v>
      </c>
      <c r="B190" s="138">
        <f>'Assets-Liab 5-6'!G41</f>
        <v>85236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5194724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5194824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5194824</v>
      </c>
      <c r="D212" s="2" t="str">
        <f t="shared" si="2"/>
        <v>Error?</v>
      </c>
    </row>
    <row r="213" spans="1:4" x14ac:dyDescent="0.2">
      <c r="A213" s="12">
        <v>152</v>
      </c>
      <c r="B213" s="138">
        <f>'Assets-Liab 5-6'!H41</f>
        <v>5194824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294101</v>
      </c>
      <c r="D273" s="2" t="str">
        <f t="shared" si="3"/>
        <v>Error?</v>
      </c>
    </row>
    <row r="274" spans="1:4" x14ac:dyDescent="0.2">
      <c r="A274" s="5">
        <v>213</v>
      </c>
      <c r="B274" s="138">
        <f>'Assets-Liab 5-6'!M17</f>
        <v>34696310</v>
      </c>
      <c r="D274" s="2" t="str">
        <f t="shared" si="3"/>
        <v>Error?</v>
      </c>
    </row>
    <row r="275" spans="1:4" x14ac:dyDescent="0.2">
      <c r="A275" s="5">
        <v>214</v>
      </c>
      <c r="B275" s="138">
        <f>'Assets-Liab 5-6'!M18</f>
        <v>3876515</v>
      </c>
      <c r="D275" s="2" t="str">
        <f t="shared" si="3"/>
        <v>Error?</v>
      </c>
    </row>
    <row r="276" spans="1:4" x14ac:dyDescent="0.2">
      <c r="A276" s="5">
        <v>215</v>
      </c>
      <c r="B276" s="138">
        <f>'Assets-Liab 5-6'!M19</f>
        <v>5171551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44038477</v>
      </c>
      <c r="C279" s="2" t="s">
        <v>594</v>
      </c>
      <c r="D279" s="2" t="str">
        <f t="shared" si="3"/>
        <v>Error?</v>
      </c>
    </row>
    <row r="280" spans="1:4" x14ac:dyDescent="0.2">
      <c r="A280" s="5">
        <v>219</v>
      </c>
      <c r="B280" s="138">
        <f>'Assets-Liab 5-6'!M40</f>
        <v>44038477</v>
      </c>
      <c r="D280" s="2" t="str">
        <f t="shared" si="3"/>
        <v>Error?</v>
      </c>
    </row>
    <row r="281" spans="1:4" x14ac:dyDescent="0.2">
      <c r="A281" s="5">
        <v>220</v>
      </c>
      <c r="B281" s="138">
        <f>'Assets-Liab 5-6'!M41</f>
        <v>44038477</v>
      </c>
      <c r="C281" s="2" t="s">
        <v>594</v>
      </c>
      <c r="D281" s="2" t="str">
        <f t="shared" si="3"/>
        <v>Error?</v>
      </c>
    </row>
    <row r="282" spans="1:4" x14ac:dyDescent="0.2">
      <c r="A282" s="5">
        <v>221</v>
      </c>
      <c r="B282" s="138">
        <f>'Assets-Liab 5-6'!N21</f>
        <v>361336</v>
      </c>
      <c r="D282" s="2" t="str">
        <f t="shared" si="3"/>
        <v>Error?</v>
      </c>
    </row>
    <row r="283" spans="1:4" x14ac:dyDescent="0.2">
      <c r="A283" s="5">
        <v>222</v>
      </c>
      <c r="B283" s="138">
        <f>'Assets-Liab 5-6'!N22</f>
        <v>6998664</v>
      </c>
      <c r="D283" s="2" t="str">
        <f t="shared" si="3"/>
        <v>Error?</v>
      </c>
    </row>
    <row r="284" spans="1:4" x14ac:dyDescent="0.2">
      <c r="A284" s="5">
        <v>223</v>
      </c>
      <c r="B284" s="138">
        <f>'Assets-Liab 5-6'!N23</f>
        <v>7360000</v>
      </c>
      <c r="C284" s="2" t="s">
        <v>594</v>
      </c>
      <c r="D284" s="2" t="str">
        <f t="shared" si="3"/>
        <v>Error?</v>
      </c>
    </row>
    <row r="285" spans="1:4" x14ac:dyDescent="0.2">
      <c r="A285" s="5">
        <v>224</v>
      </c>
      <c r="B285" s="138">
        <f>'Assets-Liab 5-6'!N36</f>
        <v>7360000</v>
      </c>
      <c r="D285" s="2" t="str">
        <f t="shared" si="3"/>
        <v>Error?</v>
      </c>
    </row>
    <row r="286" spans="1:4" x14ac:dyDescent="0.2">
      <c r="A286" s="10">
        <v>225</v>
      </c>
      <c r="D286" s="2" t="str">
        <f t="shared" si="3"/>
        <v>OK</v>
      </c>
    </row>
    <row r="287" spans="1:4" x14ac:dyDescent="0.2">
      <c r="A287" s="5">
        <v>226</v>
      </c>
      <c r="B287" s="138">
        <f>'Assets-Liab 5-6'!N37</f>
        <v>7360000</v>
      </c>
      <c r="C287" s="2" t="s">
        <v>594</v>
      </c>
      <c r="D287" s="2" t="str">
        <f t="shared" si="3"/>
        <v>Error?</v>
      </c>
    </row>
    <row r="288" spans="1:4" x14ac:dyDescent="0.2">
      <c r="A288" s="5">
        <v>227</v>
      </c>
      <c r="B288" s="138">
        <f>'Assets-Liab 5-6'!N41</f>
        <v>7360000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9947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326350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5490000</v>
      </c>
      <c r="D618" s="2" t="str">
        <f t="shared" si="8"/>
        <v>Error?</v>
      </c>
    </row>
    <row r="619" spans="1:4" x14ac:dyDescent="0.2">
      <c r="A619" s="5">
        <v>558</v>
      </c>
      <c r="B619" s="138">
        <f>'Acct Summary 7-8'!H34</f>
        <v>10282</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5537588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58132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27016</v>
      </c>
      <c r="D717" s="2" t="str">
        <f t="shared" si="10"/>
        <v>Error?</v>
      </c>
    </row>
    <row r="718" spans="1:4" x14ac:dyDescent="0.2">
      <c r="A718" s="5">
        <v>657</v>
      </c>
      <c r="B718" s="138">
        <f>'Expenditures 15-22'!C14</f>
        <v>203129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7943812</v>
      </c>
      <c r="C720" s="2" t="s">
        <v>594</v>
      </c>
      <c r="D720" s="2" t="str">
        <f t="shared" si="10"/>
        <v>Error?</v>
      </c>
    </row>
    <row r="721" spans="1:4" x14ac:dyDescent="0.2">
      <c r="A721" s="5">
        <v>660</v>
      </c>
      <c r="B721" s="138">
        <f>'Expenditures 15-22'!C36</f>
        <v>270169</v>
      </c>
      <c r="D721" s="2" t="str">
        <f t="shared" si="10"/>
        <v>Error?</v>
      </c>
    </row>
    <row r="722" spans="1:4" x14ac:dyDescent="0.2">
      <c r="A722" s="5">
        <v>661</v>
      </c>
      <c r="B722" s="138">
        <f>'Expenditures 15-22'!C37</f>
        <v>113215</v>
      </c>
      <c r="D722" s="2" t="str">
        <f t="shared" si="10"/>
        <v>Error?</v>
      </c>
    </row>
    <row r="723" spans="1:4" x14ac:dyDescent="0.2">
      <c r="A723" s="5">
        <v>662</v>
      </c>
      <c r="B723" s="138">
        <f>'Expenditures 15-22'!C38</f>
        <v>75704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103367</v>
      </c>
      <c r="D725" s="2" t="str">
        <f t="shared" si="10"/>
        <v>Error?</v>
      </c>
    </row>
    <row r="726" spans="1:4" x14ac:dyDescent="0.2">
      <c r="A726" s="5">
        <v>665</v>
      </c>
      <c r="B726" s="138">
        <f>'Expenditures 15-22'!C41</f>
        <v>80192</v>
      </c>
      <c r="D726" s="2" t="str">
        <f t="shared" si="10"/>
        <v>Error?</v>
      </c>
    </row>
    <row r="727" spans="1:4" x14ac:dyDescent="0.2">
      <c r="A727" s="5">
        <v>666</v>
      </c>
      <c r="B727" s="138">
        <f>'Expenditures 15-22'!C42</f>
        <v>642647</v>
      </c>
      <c r="C727" s="2" t="s">
        <v>594</v>
      </c>
      <c r="D727" s="2" t="str">
        <f t="shared" si="10"/>
        <v>Error?</v>
      </c>
    </row>
    <row r="728" spans="1:4" x14ac:dyDescent="0.2">
      <c r="A728" s="5">
        <v>667</v>
      </c>
      <c r="B728" s="138">
        <f>'Expenditures 15-22'!C44</f>
        <v>56842</v>
      </c>
      <c r="D728" s="2" t="str">
        <f t="shared" si="10"/>
        <v>Error?</v>
      </c>
    </row>
    <row r="729" spans="1:4" x14ac:dyDescent="0.2">
      <c r="A729" s="5">
        <v>668</v>
      </c>
      <c r="B729" s="138">
        <f>'Expenditures 15-22'!C45</f>
        <v>118267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175109</v>
      </c>
      <c r="C731" s="2" t="s">
        <v>594</v>
      </c>
      <c r="D731" s="2" t="str">
        <f t="shared" si="10"/>
        <v>Error?</v>
      </c>
    </row>
    <row r="732" spans="1:4" x14ac:dyDescent="0.2">
      <c r="A732" s="5">
        <v>671</v>
      </c>
      <c r="B732" s="138">
        <f>'Expenditures 15-22'!C49</f>
        <v>12408</v>
      </c>
      <c r="D732" s="2" t="str">
        <f t="shared" si="10"/>
        <v>Error?</v>
      </c>
    </row>
    <row r="733" spans="1:4" x14ac:dyDescent="0.2">
      <c r="A733" s="5">
        <v>672</v>
      </c>
      <c r="B733" s="138">
        <f>'Expenditures 15-22'!C50</f>
        <v>113576</v>
      </c>
      <c r="D733" s="2" t="str">
        <f t="shared" si="10"/>
        <v>Error?</v>
      </c>
    </row>
    <row r="734" spans="1:4" x14ac:dyDescent="0.2">
      <c r="A734" s="5">
        <v>673</v>
      </c>
      <c r="B734" s="138">
        <f>'Expenditures 15-22'!C53</f>
        <v>125984</v>
      </c>
      <c r="C734" s="2" t="s">
        <v>594</v>
      </c>
      <c r="D734" s="2" t="str">
        <f t="shared" si="10"/>
        <v>Error?</v>
      </c>
    </row>
    <row r="735" spans="1:4" x14ac:dyDescent="0.2">
      <c r="A735" s="5">
        <v>674</v>
      </c>
      <c r="B735" s="138">
        <f>'Expenditures 15-22'!C55</f>
        <v>821964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821964</v>
      </c>
      <c r="C737" s="2" t="s">
        <v>594</v>
      </c>
      <c r="D737" s="2" t="str">
        <f t="shared" si="10"/>
        <v>Error?</v>
      </c>
    </row>
    <row r="738" spans="1:4" x14ac:dyDescent="0.2">
      <c r="A738" s="5">
        <v>677</v>
      </c>
      <c r="B738" s="138">
        <f>'Expenditures 15-22'!C59</f>
        <v>44555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592762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391001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1028318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140252</v>
      </c>
      <c r="D751" s="2" t="str">
        <f t="shared" si="10"/>
        <v>Error?</v>
      </c>
    </row>
    <row r="752" spans="1:4" x14ac:dyDescent="0.2">
      <c r="A752" s="10">
        <v>691</v>
      </c>
      <c r="D752" s="2" t="str">
        <f t="shared" si="10"/>
        <v>OK</v>
      </c>
    </row>
    <row r="753" spans="1:4" x14ac:dyDescent="0.2">
      <c r="A753" s="5">
        <v>692</v>
      </c>
      <c r="B753" s="138">
        <f>'Expenditures 15-22'!C72</f>
        <v>140252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2934274</v>
      </c>
      <c r="C755" s="2" t="s">
        <v>594</v>
      </c>
      <c r="D755" s="2" t="str">
        <f t="shared" si="10"/>
        <v>Error?</v>
      </c>
    </row>
    <row r="756" spans="1:4" x14ac:dyDescent="0.2">
      <c r="A756" s="5">
        <v>695</v>
      </c>
      <c r="B756" s="138">
        <f>'Expenditures 15-22'!C75</f>
        <v>29094</v>
      </c>
      <c r="D756" s="2" t="str">
        <f t="shared" si="10"/>
        <v>Error?</v>
      </c>
    </row>
    <row r="757" spans="1:4" x14ac:dyDescent="0.2">
      <c r="A757" s="5">
        <v>696</v>
      </c>
      <c r="B757" s="138">
        <f>'Expenditures 15-22'!C114</f>
        <v>10907180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1561657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20852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4229</v>
      </c>
      <c r="D775" s="2" t="str">
        <f t="shared" si="11"/>
        <v>Error?</v>
      </c>
    </row>
    <row r="776" spans="1:4" x14ac:dyDescent="0.2">
      <c r="A776" s="5">
        <v>715</v>
      </c>
      <c r="B776" s="138">
        <f>'Expenditures 15-22'!D14</f>
        <v>11603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2308151</v>
      </c>
      <c r="C778" s="2" t="s">
        <v>594</v>
      </c>
      <c r="D778" s="2" t="str">
        <f t="shared" si="11"/>
        <v>Error?</v>
      </c>
    </row>
    <row r="779" spans="1:4" x14ac:dyDescent="0.2">
      <c r="A779" s="5">
        <v>718</v>
      </c>
      <c r="B779" s="138">
        <f>'Expenditures 15-22'!D36</f>
        <v>70947</v>
      </c>
      <c r="D779" s="2" t="str">
        <f t="shared" si="11"/>
        <v>Error?</v>
      </c>
    </row>
    <row r="780" spans="1:4" x14ac:dyDescent="0.2">
      <c r="A780" s="5">
        <v>719</v>
      </c>
      <c r="B780" s="138">
        <f>'Expenditures 15-22'!D37</f>
        <v>31230</v>
      </c>
      <c r="D780" s="2" t="str">
        <f t="shared" si="11"/>
        <v>Error?</v>
      </c>
    </row>
    <row r="781" spans="1:4" x14ac:dyDescent="0.2">
      <c r="A781" s="5">
        <v>720</v>
      </c>
      <c r="B781" s="138">
        <f>'Expenditures 15-22'!D38</f>
        <v>21813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29644</v>
      </c>
      <c r="D783" s="2" t="str">
        <f t="shared" si="11"/>
        <v>Error?</v>
      </c>
    </row>
    <row r="784" spans="1:4" x14ac:dyDescent="0.2">
      <c r="A784" s="5">
        <v>723</v>
      </c>
      <c r="B784" s="138">
        <f>'Expenditures 15-22'!D41</f>
        <v>23472</v>
      </c>
      <c r="D784" s="2" t="str">
        <f t="shared" si="11"/>
        <v>Error?</v>
      </c>
    </row>
    <row r="785" spans="1:4" x14ac:dyDescent="0.2">
      <c r="A785" s="5">
        <v>724</v>
      </c>
      <c r="B785" s="138">
        <f>'Expenditures 15-22'!D42</f>
        <v>177106</v>
      </c>
      <c r="C785" s="2" t="s">
        <v>594</v>
      </c>
      <c r="D785" s="2" t="str">
        <f t="shared" si="11"/>
        <v>Error?</v>
      </c>
    </row>
    <row r="786" spans="1:4" x14ac:dyDescent="0.2">
      <c r="A786" s="5">
        <v>725</v>
      </c>
      <c r="B786" s="138">
        <f>'Expenditures 15-22'!D44</f>
        <v>4574</v>
      </c>
      <c r="D786" s="2" t="str">
        <f t="shared" si="11"/>
        <v>Error?</v>
      </c>
    </row>
    <row r="787" spans="1:4" x14ac:dyDescent="0.2">
      <c r="A787" s="5">
        <v>726</v>
      </c>
      <c r="B787" s="138">
        <f>'Expenditures 15-22'!D45</f>
        <v>31253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35827</v>
      </c>
      <c r="C789" s="2" t="s">
        <v>594</v>
      </c>
      <c r="D789" s="2" t="str">
        <f t="shared" si="11"/>
        <v>Error?</v>
      </c>
    </row>
    <row r="790" spans="1:4" x14ac:dyDescent="0.2">
      <c r="A790" s="5">
        <v>729</v>
      </c>
      <c r="B790" s="138">
        <f>'Expenditures 15-22'!D49</f>
        <v>252137</v>
      </c>
      <c r="D790" s="2" t="str">
        <f t="shared" si="11"/>
        <v>Error?</v>
      </c>
    </row>
    <row r="791" spans="1:4" x14ac:dyDescent="0.2">
      <c r="A791" s="5">
        <v>730</v>
      </c>
      <c r="B791" s="138">
        <f>'Expenditures 15-22'!D50</f>
        <v>22575</v>
      </c>
      <c r="D791" s="2" t="str">
        <f t="shared" si="11"/>
        <v>Error?</v>
      </c>
    </row>
    <row r="792" spans="1:4" x14ac:dyDescent="0.2">
      <c r="A792" s="5">
        <v>731</v>
      </c>
      <c r="B792" s="138">
        <f>'Expenditures 15-22'!D53</f>
        <v>274712</v>
      </c>
      <c r="C792" s="2" t="s">
        <v>594</v>
      </c>
      <c r="D792" s="2" t="str">
        <f t="shared" si="11"/>
        <v>Error?</v>
      </c>
    </row>
    <row r="793" spans="1:4" x14ac:dyDescent="0.2">
      <c r="A793" s="5">
        <v>732</v>
      </c>
      <c r="B793" s="138">
        <f>'Expenditures 15-22'!D55</f>
        <v>188768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188768</v>
      </c>
      <c r="C795" s="2" t="s">
        <v>594</v>
      </c>
      <c r="D795" s="2" t="str">
        <f t="shared" si="11"/>
        <v>Error?</v>
      </c>
    </row>
    <row r="796" spans="1:4" x14ac:dyDescent="0.2">
      <c r="A796" s="5">
        <v>735</v>
      </c>
      <c r="B796" s="138">
        <f>'Expenditures 15-22'!D59</f>
        <v>5329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117060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162296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284685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26118</v>
      </c>
      <c r="D809" s="2" t="str">
        <f t="shared" si="11"/>
        <v>Error?</v>
      </c>
    </row>
    <row r="810" spans="1:4" x14ac:dyDescent="0.2">
      <c r="A810" s="10">
        <v>749</v>
      </c>
      <c r="D810" s="2" t="str">
        <f t="shared" si="11"/>
        <v>OK</v>
      </c>
    </row>
    <row r="811" spans="1:4" x14ac:dyDescent="0.2">
      <c r="A811" s="5">
        <v>750</v>
      </c>
      <c r="B811" s="138">
        <f>'Expenditures 15-22'!D72</f>
        <v>26118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987216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3295367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117529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101637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219560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2167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16103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18270</v>
      </c>
      <c r="C843" s="2" t="s">
        <v>594</v>
      </c>
      <c r="D843" s="2" t="str">
        <f t="shared" si="12"/>
        <v>Error?</v>
      </c>
    </row>
    <row r="844" spans="1:4" x14ac:dyDescent="0.2">
      <c r="A844" s="5">
        <v>783</v>
      </c>
      <c r="B844" s="138">
        <f>'Expenditures 15-22'!E44</f>
        <v>63178</v>
      </c>
      <c r="D844" s="2" t="str">
        <f t="shared" si="12"/>
        <v>Error?</v>
      </c>
    </row>
    <row r="845" spans="1:4" x14ac:dyDescent="0.2">
      <c r="A845" s="5">
        <v>784</v>
      </c>
      <c r="B845" s="138">
        <f>'Expenditures 15-22'!E45</f>
        <v>10988</v>
      </c>
      <c r="D845" s="2" t="str">
        <f t="shared" si="12"/>
        <v>Error?</v>
      </c>
    </row>
    <row r="846" spans="1:4" x14ac:dyDescent="0.2">
      <c r="A846" s="5">
        <v>785</v>
      </c>
      <c r="B846" s="138">
        <f>'Expenditures 15-22'!E46</f>
        <v>40401</v>
      </c>
      <c r="D846" s="2" t="str">
        <f t="shared" si="12"/>
        <v>Error?</v>
      </c>
    </row>
    <row r="847" spans="1:4" x14ac:dyDescent="0.2">
      <c r="A847" s="5">
        <v>786</v>
      </c>
      <c r="B847" s="138">
        <f>'Expenditures 15-22'!E47</f>
        <v>114567</v>
      </c>
      <c r="C847" s="2" t="s">
        <v>594</v>
      </c>
      <c r="D847" s="2" t="str">
        <f t="shared" si="12"/>
        <v>Error?</v>
      </c>
    </row>
    <row r="848" spans="1:4" x14ac:dyDescent="0.2">
      <c r="A848" s="5">
        <v>787</v>
      </c>
      <c r="B848" s="138">
        <f>'Expenditures 15-22'!E49</f>
        <v>76355</v>
      </c>
      <c r="D848" s="2" t="str">
        <f t="shared" si="12"/>
        <v>Error?</v>
      </c>
    </row>
    <row r="849" spans="1:4" x14ac:dyDescent="0.2">
      <c r="A849" s="5">
        <v>788</v>
      </c>
      <c r="B849" s="138">
        <f>'Expenditures 15-22'!E50</f>
        <v>870</v>
      </c>
      <c r="D849" s="2" t="str">
        <f t="shared" si="12"/>
        <v>Error?</v>
      </c>
    </row>
    <row r="850" spans="1:4" x14ac:dyDescent="0.2">
      <c r="A850" s="5">
        <v>789</v>
      </c>
      <c r="B850" s="138">
        <f>'Expenditures 15-22'!E53</f>
        <v>77225</v>
      </c>
      <c r="C850" s="2" t="s">
        <v>594</v>
      </c>
      <c r="D850" s="2" t="str">
        <f t="shared" si="12"/>
        <v>Error?</v>
      </c>
    </row>
    <row r="851" spans="1:4" x14ac:dyDescent="0.2">
      <c r="A851" s="5">
        <v>790</v>
      </c>
      <c r="B851" s="138">
        <f>'Expenditures 15-22'!E55</f>
        <v>3012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3012</v>
      </c>
      <c r="C853" s="2" t="s">
        <v>594</v>
      </c>
      <c r="D853" s="2" t="str">
        <f t="shared" si="12"/>
        <v>Error?</v>
      </c>
    </row>
    <row r="854" spans="1:4" x14ac:dyDescent="0.2">
      <c r="A854" s="5">
        <v>793</v>
      </c>
      <c r="B854" s="138">
        <f>'Expenditures 15-22'!E59</f>
        <v>3248</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120209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37596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161053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455306</v>
      </c>
      <c r="D867" s="2" t="str">
        <f t="shared" si="12"/>
        <v>Error?</v>
      </c>
    </row>
    <row r="868" spans="1:4" x14ac:dyDescent="0.2">
      <c r="A868" s="10">
        <v>807</v>
      </c>
      <c r="D868" s="2" t="str">
        <f t="shared" si="12"/>
        <v>OK</v>
      </c>
    </row>
    <row r="869" spans="1:4" x14ac:dyDescent="0.2">
      <c r="A869" s="5">
        <v>808</v>
      </c>
      <c r="B869" s="138">
        <f>'Expenditures 15-22'!E72</f>
        <v>455306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829433</v>
      </c>
      <c r="C871" s="2" t="s">
        <v>594</v>
      </c>
      <c r="D871" s="2" t="str">
        <f t="shared" si="12"/>
        <v>Error?</v>
      </c>
    </row>
    <row r="872" spans="1:4" x14ac:dyDescent="0.2">
      <c r="A872" s="5">
        <v>811</v>
      </c>
      <c r="B872" s="138">
        <f>'Expenditures 15-22'!E75</f>
        <v>609</v>
      </c>
      <c r="D872" s="2" t="str">
        <f t="shared" si="12"/>
        <v>Error?</v>
      </c>
    </row>
    <row r="873" spans="1:4" x14ac:dyDescent="0.2">
      <c r="A873" s="5">
        <v>812</v>
      </c>
      <c r="B873" s="138">
        <f>'Expenditures 15-22'!E114</f>
        <v>7012377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480763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38912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536846</v>
      </c>
      <c r="C894" s="2" t="s">
        <v>594</v>
      </c>
      <c r="D894" s="2" t="str">
        <f t="shared" si="12"/>
        <v>Error?</v>
      </c>
    </row>
    <row r="895" spans="1:4" x14ac:dyDescent="0.2">
      <c r="A895" s="5">
        <v>834</v>
      </c>
      <c r="B895" s="138">
        <f>'Expenditures 15-22'!F36</f>
        <v>59</v>
      </c>
      <c r="D895" s="2" t="str">
        <f t="shared" ref="D895:D958" si="13">IF(ISBLANK(B895),"OK",IF(A895-B895=0,"OK","Error?"))</f>
        <v>Error?</v>
      </c>
    </row>
    <row r="896" spans="1:4" x14ac:dyDescent="0.2">
      <c r="A896" s="5">
        <v>835</v>
      </c>
      <c r="B896" s="138">
        <f>'Expenditures 15-22'!F37</f>
        <v>930</v>
      </c>
      <c r="D896" s="2" t="str">
        <f t="shared" si="13"/>
        <v>Error?</v>
      </c>
    </row>
    <row r="897" spans="1:4" x14ac:dyDescent="0.2">
      <c r="A897" s="5">
        <v>836</v>
      </c>
      <c r="B897" s="138">
        <f>'Expenditures 15-22'!F38</f>
        <v>1508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2029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4526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7491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7491</v>
      </c>
      <c r="C905" s="2" t="s">
        <v>594</v>
      </c>
      <c r="D905" s="2" t="str">
        <f t="shared" si="13"/>
        <v>Error?</v>
      </c>
    </row>
    <row r="906" spans="1:4" x14ac:dyDescent="0.2">
      <c r="A906" s="5">
        <v>845</v>
      </c>
      <c r="B906" s="138">
        <f>'Expenditures 15-22'!F49</f>
        <v>7955</v>
      </c>
      <c r="D906" s="2" t="str">
        <f t="shared" si="13"/>
        <v>Error?</v>
      </c>
    </row>
    <row r="907" spans="1:4" x14ac:dyDescent="0.2">
      <c r="A907" s="5">
        <v>846</v>
      </c>
      <c r="B907" s="138">
        <f>'Expenditures 15-22'!F50</f>
        <v>166</v>
      </c>
      <c r="D907" s="2" t="str">
        <f t="shared" si="13"/>
        <v>Error?</v>
      </c>
    </row>
    <row r="908" spans="1:4" x14ac:dyDescent="0.2">
      <c r="A908" s="5">
        <v>847</v>
      </c>
      <c r="B908" s="138">
        <f>'Expenditures 15-22'!F53</f>
        <v>8121</v>
      </c>
      <c r="C908" s="2" t="s">
        <v>594</v>
      </c>
      <c r="D908" s="2" t="str">
        <f t="shared" si="13"/>
        <v>Error?</v>
      </c>
    </row>
    <row r="909" spans="1:4" x14ac:dyDescent="0.2">
      <c r="A909" s="5">
        <v>848</v>
      </c>
      <c r="B909" s="138">
        <f>'Expenditures 15-22'!F55</f>
        <v>203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203</v>
      </c>
      <c r="C911" s="2" t="s">
        <v>594</v>
      </c>
      <c r="D911" s="2" t="str">
        <f t="shared" si="13"/>
        <v>Error?</v>
      </c>
    </row>
    <row r="912" spans="1:4" x14ac:dyDescent="0.2">
      <c r="A912" s="5">
        <v>851</v>
      </c>
      <c r="B912" s="138">
        <f>'Expenditures 15-22'!F59</f>
        <v>382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400460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462463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863305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1839</v>
      </c>
      <c r="D923" s="2" t="str">
        <f t="shared" si="13"/>
        <v>Error?</v>
      </c>
    </row>
    <row r="924" spans="1:4" x14ac:dyDescent="0.2">
      <c r="A924" s="10">
        <v>863</v>
      </c>
      <c r="D924" s="2" t="str">
        <f t="shared" si="13"/>
        <v>OK</v>
      </c>
    </row>
    <row r="925" spans="1:4" x14ac:dyDescent="0.2">
      <c r="A925" s="5">
        <v>864</v>
      </c>
      <c r="B925" s="138">
        <f>'Expenditures 15-22'!F71</f>
        <v>29735</v>
      </c>
      <c r="D925" s="2" t="str">
        <f t="shared" si="13"/>
        <v>Error?</v>
      </c>
    </row>
    <row r="926" spans="1:4" x14ac:dyDescent="0.2">
      <c r="A926" s="10">
        <v>865</v>
      </c>
      <c r="D926" s="2" t="str">
        <f t="shared" si="13"/>
        <v>OK</v>
      </c>
    </row>
    <row r="927" spans="1:4" x14ac:dyDescent="0.2">
      <c r="A927" s="5">
        <v>866</v>
      </c>
      <c r="B927" s="138">
        <f>'Expenditures 15-22'!F72</f>
        <v>31574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915220</v>
      </c>
      <c r="C929" s="2" t="s">
        <v>594</v>
      </c>
      <c r="D929" s="2" t="str">
        <f t="shared" si="13"/>
        <v>Error?</v>
      </c>
    </row>
    <row r="930" spans="1:4" x14ac:dyDescent="0.2">
      <c r="A930" s="5">
        <v>869</v>
      </c>
      <c r="B930" s="138">
        <f>'Expenditures 15-22'!F75</f>
        <v>1387</v>
      </c>
      <c r="D930" s="2" t="str">
        <f t="shared" si="13"/>
        <v>Error?</v>
      </c>
    </row>
    <row r="931" spans="1:4" x14ac:dyDescent="0.2">
      <c r="A931" s="5">
        <v>870</v>
      </c>
      <c r="B931" s="138">
        <f>'Expenditures 15-22'!F114</f>
        <v>1453453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110586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18385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130537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982</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4625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5607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66981</v>
      </c>
      <c r="D983" s="2" t="str">
        <f t="shared" si="14"/>
        <v>Error?</v>
      </c>
    </row>
    <row r="984" spans="1:4" x14ac:dyDescent="0.2">
      <c r="A984" s="10">
        <v>923</v>
      </c>
      <c r="D984" s="2" t="str">
        <f t="shared" si="14"/>
        <v>OK</v>
      </c>
    </row>
    <row r="985" spans="1:4" x14ac:dyDescent="0.2">
      <c r="A985" s="5">
        <v>924</v>
      </c>
      <c r="B985" s="138">
        <f>'Expenditures 15-22'!G72</f>
        <v>66981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72588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203125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12501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12501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128</v>
      </c>
      <c r="D1022" s="2" t="str">
        <f t="shared" si="14"/>
        <v>Error?</v>
      </c>
    </row>
    <row r="1023" spans="1:4" x14ac:dyDescent="0.2">
      <c r="A1023" s="5">
        <v>962</v>
      </c>
      <c r="B1023" s="138">
        <f>'Expenditures 15-22'!H50</f>
        <v>1334</v>
      </c>
      <c r="D1023" s="2" t="str">
        <f t="shared" ref="D1023:D1086" si="15">IF(ISBLANK(B1023),"OK",IF(A1023-B1023=0,"OK","Error?"))</f>
        <v>Error?</v>
      </c>
    </row>
    <row r="1024" spans="1:4" x14ac:dyDescent="0.2">
      <c r="A1024" s="5">
        <v>963</v>
      </c>
      <c r="B1024" s="138">
        <f>'Expenditures 15-22'!H53</f>
        <v>1462</v>
      </c>
      <c r="C1024" s="2" t="s">
        <v>594</v>
      </c>
      <c r="D1024" s="2" t="str">
        <f t="shared" si="15"/>
        <v>Error?</v>
      </c>
    </row>
    <row r="1025" spans="1:4" x14ac:dyDescent="0.2">
      <c r="A1025" s="5">
        <v>964</v>
      </c>
      <c r="B1025" s="138">
        <f>'Expenditures 15-22'!H55</f>
        <v>1389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1389</v>
      </c>
      <c r="C1027" s="2" t="s">
        <v>594</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1162867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1178789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7808123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78984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31245</v>
      </c>
      <c r="C1105" s="2" t="s">
        <v>594</v>
      </c>
      <c r="D1105" s="2" t="str">
        <f t="shared" si="16"/>
        <v>Error?</v>
      </c>
    </row>
    <row r="1106" spans="1:4" x14ac:dyDescent="0.2">
      <c r="A1106" s="5">
        <v>1045</v>
      </c>
      <c r="B1106" s="138">
        <f>'Expenditures 15-22'!K14</f>
        <v>386167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11151407</v>
      </c>
      <c r="C1108" s="2" t="s">
        <v>594</v>
      </c>
      <c r="D1108" s="2" t="str">
        <f t="shared" si="16"/>
        <v>Error?</v>
      </c>
    </row>
    <row r="1109" spans="1:4" x14ac:dyDescent="0.2">
      <c r="A1109" s="5">
        <v>1048</v>
      </c>
      <c r="B1109" s="138">
        <f>'Expenditures 15-22'!K36</f>
        <v>341175</v>
      </c>
      <c r="C1109" s="2" t="s">
        <v>594</v>
      </c>
      <c r="D1109" s="2" t="str">
        <f t="shared" si="16"/>
        <v>Error?</v>
      </c>
    </row>
    <row r="1110" spans="1:4" x14ac:dyDescent="0.2">
      <c r="A1110" s="5">
        <v>1049</v>
      </c>
      <c r="B1110" s="138">
        <f>'Expenditures 15-22'!K37</f>
        <v>145375</v>
      </c>
      <c r="C1110" s="2" t="s">
        <v>594</v>
      </c>
      <c r="D1110" s="2" t="str">
        <f t="shared" si="16"/>
        <v>Error?</v>
      </c>
    </row>
    <row r="1111" spans="1:4" x14ac:dyDescent="0.2">
      <c r="A1111" s="5">
        <v>1050</v>
      </c>
      <c r="B1111" s="138">
        <f>'Expenditures 15-22'!K38</f>
        <v>101192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151143</v>
      </c>
      <c r="C1113" s="2" t="s">
        <v>594</v>
      </c>
      <c r="D1113" s="2" t="str">
        <f t="shared" si="16"/>
        <v>Error?</v>
      </c>
    </row>
    <row r="1114" spans="1:4" x14ac:dyDescent="0.2">
      <c r="A1114" s="5">
        <v>1053</v>
      </c>
      <c r="B1114" s="138">
        <f>'Expenditures 15-22'!K41</f>
        <v>103664</v>
      </c>
      <c r="C1114" s="2" t="s">
        <v>594</v>
      </c>
      <c r="D1114" s="2" t="str">
        <f t="shared" si="16"/>
        <v>Error?</v>
      </c>
    </row>
    <row r="1115" spans="1:4" x14ac:dyDescent="0.2">
      <c r="A1115" s="5">
        <v>1054</v>
      </c>
      <c r="B1115" s="138">
        <f>'Expenditures 15-22'!K42</f>
        <v>842549</v>
      </c>
      <c r="C1115" s="2" t="s">
        <v>594</v>
      </c>
      <c r="D1115" s="2" t="str">
        <f t="shared" si="16"/>
        <v>Error?</v>
      </c>
    </row>
    <row r="1116" spans="1:4" x14ac:dyDescent="0.2">
      <c r="A1116" s="5">
        <v>1055</v>
      </c>
      <c r="B1116" s="138">
        <f>'Expenditures 15-22'!K44</f>
        <v>124594</v>
      </c>
      <c r="C1116" s="2" t="s">
        <v>594</v>
      </c>
      <c r="D1116" s="2" t="str">
        <f t="shared" si="16"/>
        <v>Error?</v>
      </c>
    </row>
    <row r="1117" spans="1:4" x14ac:dyDescent="0.2">
      <c r="A1117" s="5">
        <v>1056</v>
      </c>
      <c r="B1117" s="138">
        <f>'Expenditures 15-22'!K45</f>
        <v>167999</v>
      </c>
      <c r="C1117" s="2" t="s">
        <v>594</v>
      </c>
      <c r="D1117" s="2" t="str">
        <f t="shared" si="16"/>
        <v>Error?</v>
      </c>
    </row>
    <row r="1118" spans="1:4" x14ac:dyDescent="0.2">
      <c r="A1118" s="5">
        <v>1057</v>
      </c>
      <c r="B1118" s="138">
        <f>'Expenditures 15-22'!K46</f>
        <v>40401</v>
      </c>
      <c r="C1118" s="2" t="s">
        <v>594</v>
      </c>
      <c r="D1118" s="2" t="str">
        <f t="shared" si="16"/>
        <v>Error?</v>
      </c>
    </row>
    <row r="1119" spans="1:4" x14ac:dyDescent="0.2">
      <c r="A1119" s="5">
        <v>1058</v>
      </c>
      <c r="B1119" s="138">
        <f>'Expenditures 15-22'!K47</f>
        <v>332994</v>
      </c>
      <c r="C1119" s="2" t="s">
        <v>594</v>
      </c>
      <c r="D1119" s="2" t="str">
        <f t="shared" si="16"/>
        <v>Error?</v>
      </c>
    </row>
    <row r="1120" spans="1:4" x14ac:dyDescent="0.2">
      <c r="A1120" s="5">
        <v>1059</v>
      </c>
      <c r="B1120" s="138">
        <f>'Expenditures 15-22'!K49</f>
        <v>348983</v>
      </c>
      <c r="C1120" s="2" t="s">
        <v>594</v>
      </c>
      <c r="D1120" s="2" t="str">
        <f t="shared" si="16"/>
        <v>Error?</v>
      </c>
    </row>
    <row r="1121" spans="1:4" x14ac:dyDescent="0.2">
      <c r="A1121" s="5">
        <v>1060</v>
      </c>
      <c r="B1121" s="138">
        <f>'Expenditures 15-22'!K50</f>
        <v>138521</v>
      </c>
      <c r="C1121" s="2" t="s">
        <v>594</v>
      </c>
      <c r="D1121" s="2" t="str">
        <f t="shared" si="16"/>
        <v>Error?</v>
      </c>
    </row>
    <row r="1122" spans="1:4" x14ac:dyDescent="0.2">
      <c r="A1122" s="5">
        <v>1061</v>
      </c>
      <c r="B1122" s="138">
        <f>'Expenditures 15-22'!K53</f>
        <v>487504</v>
      </c>
      <c r="C1122" s="2" t="s">
        <v>594</v>
      </c>
      <c r="D1122" s="2" t="str">
        <f t="shared" si="16"/>
        <v>Error?</v>
      </c>
    </row>
    <row r="1123" spans="1:4" x14ac:dyDescent="0.2">
      <c r="A1123" s="5">
        <v>1062</v>
      </c>
      <c r="B1123" s="138">
        <f>'Expenditures 15-22'!K55</f>
        <v>1015336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1015336</v>
      </c>
      <c r="C1125" s="2" t="s">
        <v>594</v>
      </c>
      <c r="D1125" s="2" t="str">
        <f t="shared" si="16"/>
        <v>Error?</v>
      </c>
    </row>
    <row r="1126" spans="1:4" x14ac:dyDescent="0.2">
      <c r="A1126" s="5">
        <v>1065</v>
      </c>
      <c r="B1126" s="138">
        <f>'Expenditures 15-22'!K59</f>
        <v>55066</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1230491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1057981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2343538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1839</v>
      </c>
      <c r="C1137" s="2" t="s">
        <v>594</v>
      </c>
      <c r="D1137" s="2" t="str">
        <f t="shared" si="16"/>
        <v>Error?</v>
      </c>
    </row>
    <row r="1138" spans="1:4" x14ac:dyDescent="0.2">
      <c r="A1138" s="10">
        <v>1077</v>
      </c>
      <c r="D1138" s="2" t="str">
        <f t="shared" si="16"/>
        <v>OK</v>
      </c>
    </row>
    <row r="1139" spans="1:4" x14ac:dyDescent="0.2">
      <c r="A1139" s="5">
        <v>1078</v>
      </c>
      <c r="B1139" s="138">
        <f>'Expenditures 15-22'!K71</f>
        <v>718392</v>
      </c>
      <c r="C1139" s="2" t="s">
        <v>594</v>
      </c>
      <c r="D1139" s="2" t="str">
        <f t="shared" si="16"/>
        <v>Error?</v>
      </c>
    </row>
    <row r="1140" spans="1:4" x14ac:dyDescent="0.2">
      <c r="A1140" s="10">
        <v>1079</v>
      </c>
      <c r="D1140" s="2" t="str">
        <f t="shared" si="16"/>
        <v>OK</v>
      </c>
    </row>
    <row r="1141" spans="1:4" x14ac:dyDescent="0.2">
      <c r="A1141" s="5">
        <v>1080</v>
      </c>
      <c r="B1141" s="138">
        <f>'Expenditures 15-22'!K72</f>
        <v>720231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5742152</v>
      </c>
      <c r="C1143" s="2" t="s">
        <v>594</v>
      </c>
      <c r="D1143" s="2" t="str">
        <f t="shared" si="16"/>
        <v>Error?</v>
      </c>
    </row>
    <row r="1144" spans="1:4" x14ac:dyDescent="0.2">
      <c r="A1144" s="5">
        <v>1083</v>
      </c>
      <c r="B1144" s="138">
        <f>'Expenditures 15-22'!K75</f>
        <v>31090</v>
      </c>
      <c r="C1144" s="2" t="s">
        <v>594</v>
      </c>
      <c r="D1144" s="2" t="str">
        <f t="shared" si="16"/>
        <v>Error?</v>
      </c>
    </row>
    <row r="1145" spans="1:4" x14ac:dyDescent="0.2">
      <c r="A1145" s="5">
        <v>1084</v>
      </c>
      <c r="B1145" s="138">
        <f>'Expenditures 15-22'!K102</f>
        <v>7125642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24050291</v>
      </c>
      <c r="C1152" s="2" t="s">
        <v>594</v>
      </c>
      <c r="D1152" s="2" t="str">
        <f t="shared" si="17"/>
        <v>Error?</v>
      </c>
    </row>
    <row r="1153" spans="1:4" x14ac:dyDescent="0.2">
      <c r="A1153" s="5">
        <v>1092</v>
      </c>
      <c r="B1153" s="138">
        <f>'Expenditures 15-22'!K115</f>
        <v>1097702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332023</v>
      </c>
      <c r="D1237" s="2" t="str">
        <f t="shared" si="18"/>
        <v>Error?</v>
      </c>
    </row>
    <row r="1238" spans="1:4" x14ac:dyDescent="0.2">
      <c r="A1238" s="10">
        <v>1177</v>
      </c>
      <c r="D1238" s="2" t="str">
        <f t="shared" si="18"/>
        <v>OK</v>
      </c>
    </row>
    <row r="1239" spans="1:4" x14ac:dyDescent="0.2">
      <c r="A1239" s="5">
        <v>1178</v>
      </c>
      <c r="B1239" s="138">
        <f>'Expenditures 15-22'!E127</f>
        <v>332023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332023</v>
      </c>
      <c r="C1241" s="2" t="s">
        <v>594</v>
      </c>
      <c r="D1241" s="2" t="str">
        <f t="shared" si="18"/>
        <v>Error?</v>
      </c>
    </row>
    <row r="1242" spans="1:4" x14ac:dyDescent="0.2">
      <c r="A1242" s="5">
        <v>1181</v>
      </c>
      <c r="B1242" s="138">
        <f>'Expenditures 15-22'!E151</f>
        <v>332023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183080</v>
      </c>
      <c r="D1245" s="2" t="str">
        <f t="shared" si="18"/>
        <v>Error?</v>
      </c>
    </row>
    <row r="1246" spans="1:4" x14ac:dyDescent="0.2">
      <c r="A1246" s="10">
        <v>1185</v>
      </c>
      <c r="D1246" s="2" t="str">
        <f t="shared" si="18"/>
        <v>OK</v>
      </c>
    </row>
    <row r="1247" spans="1:4" x14ac:dyDescent="0.2">
      <c r="A1247" s="5">
        <v>1186</v>
      </c>
      <c r="B1247" s="138">
        <f>'Expenditures 15-22'!F127</f>
        <v>183080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183080</v>
      </c>
      <c r="C1249" s="2" t="s">
        <v>594</v>
      </c>
      <c r="D1249" s="2" t="str">
        <f t="shared" si="18"/>
        <v>Error?</v>
      </c>
    </row>
    <row r="1250" spans="1:4" x14ac:dyDescent="0.2">
      <c r="A1250" s="5">
        <v>1189</v>
      </c>
      <c r="B1250" s="138">
        <f>'Expenditures 15-22'!F151</f>
        <v>183080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32279</v>
      </c>
      <c r="D1252" s="2" t="str">
        <f t="shared" si="18"/>
        <v>Error?</v>
      </c>
    </row>
    <row r="1253" spans="1:4" x14ac:dyDescent="0.2">
      <c r="A1253" s="5">
        <v>1192</v>
      </c>
      <c r="B1253" s="138">
        <f>'Expenditures 15-22'!G124</f>
        <v>394408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426687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426687</v>
      </c>
      <c r="C1258" s="2" t="s">
        <v>594</v>
      </c>
      <c r="D1258" s="2" t="str">
        <f t="shared" si="18"/>
        <v>Error?</v>
      </c>
    </row>
    <row r="1259" spans="1:4" x14ac:dyDescent="0.2">
      <c r="A1259" s="5">
        <v>1198</v>
      </c>
      <c r="B1259" s="138">
        <f>'Expenditures 15-22'!G151</f>
        <v>426687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32279</v>
      </c>
      <c r="C1275" s="2" t="s">
        <v>594</v>
      </c>
      <c r="D1275" s="2" t="str">
        <f t="shared" si="18"/>
        <v>Error?</v>
      </c>
    </row>
    <row r="1276" spans="1:4" x14ac:dyDescent="0.2">
      <c r="A1276" s="5">
        <v>1215</v>
      </c>
      <c r="B1276" s="138">
        <f>'Expenditures 15-22'!K124</f>
        <v>909511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941790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941790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941790</v>
      </c>
      <c r="C1288" s="2" t="s">
        <v>594</v>
      </c>
      <c r="D1288" s="2" t="str">
        <f t="shared" si="19"/>
        <v>Error?</v>
      </c>
    </row>
    <row r="1289" spans="1:4" x14ac:dyDescent="0.2">
      <c r="A1289" s="5">
        <v>1228</v>
      </c>
      <c r="B1289" s="138">
        <f>'Expenditures 15-22'!K152</f>
        <v>87093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249145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390000</v>
      </c>
      <c r="D1315" s="2" t="str">
        <f t="shared" si="19"/>
        <v>Error?</v>
      </c>
    </row>
    <row r="1316" spans="1:4" x14ac:dyDescent="0.2">
      <c r="A1316" s="5">
        <v>1255</v>
      </c>
      <c r="B1316" s="138">
        <f>'Expenditures 15-22'!H171</f>
        <v>98214</v>
      </c>
      <c r="D1316" s="2" t="str">
        <f t="shared" si="19"/>
        <v>Error?</v>
      </c>
    </row>
    <row r="1317" spans="1:4" x14ac:dyDescent="0.2">
      <c r="A1317" s="5">
        <v>1256</v>
      </c>
      <c r="B1317" s="138">
        <f>'Expenditures 15-22'!H172</f>
        <v>737359</v>
      </c>
      <c r="C1317" s="2" t="s">
        <v>594</v>
      </c>
      <c r="D1317" s="2" t="str">
        <f t="shared" si="19"/>
        <v>Error?</v>
      </c>
    </row>
    <row r="1318" spans="1:4" x14ac:dyDescent="0.2">
      <c r="A1318" s="5">
        <v>1257</v>
      </c>
      <c r="B1318" s="138">
        <f>'Expenditures 15-22'!H174</f>
        <v>737359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249145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390000</v>
      </c>
      <c r="C1329" s="2" t="s">
        <v>594</v>
      </c>
      <c r="D1329" s="2" t="str">
        <f t="shared" si="19"/>
        <v>Error?</v>
      </c>
    </row>
    <row r="1330" spans="1:4" x14ac:dyDescent="0.2">
      <c r="A1330" s="5">
        <v>1269</v>
      </c>
      <c r="B1330" s="138">
        <f>'Expenditures 15-22'!K171</f>
        <v>98214</v>
      </c>
      <c r="C1330" s="2" t="s">
        <v>594</v>
      </c>
      <c r="D1330" s="2" t="str">
        <f t="shared" si="19"/>
        <v>Error?</v>
      </c>
    </row>
    <row r="1331" spans="1:4" x14ac:dyDescent="0.2">
      <c r="A1331" s="5">
        <v>1270</v>
      </c>
      <c r="B1331" s="138">
        <f>'Expenditures 15-22'!K172</f>
        <v>737359</v>
      </c>
      <c r="C1331" s="2" t="s">
        <v>594</v>
      </c>
      <c r="D1331" s="2" t="str">
        <f t="shared" si="19"/>
        <v>Error?</v>
      </c>
    </row>
    <row r="1332" spans="1:4" x14ac:dyDescent="0.2">
      <c r="A1332" s="5">
        <v>1271</v>
      </c>
      <c r="B1332" s="138">
        <f>'Expenditures 15-22'!K174</f>
        <v>737359</v>
      </c>
      <c r="C1332" s="2" t="s">
        <v>594</v>
      </c>
      <c r="D1332" s="2" t="str">
        <f t="shared" si="19"/>
        <v>Error?</v>
      </c>
    </row>
    <row r="1333" spans="1:4" x14ac:dyDescent="0.2">
      <c r="A1333" s="5">
        <v>1272</v>
      </c>
      <c r="B1333" s="138">
        <f>'Expenditures 15-22'!K175</f>
        <v>-243947</v>
      </c>
      <c r="C1333" s="2" t="s">
        <v>594</v>
      </c>
      <c r="D1333" s="2" t="str">
        <f t="shared" si="19"/>
        <v>Error?</v>
      </c>
    </row>
    <row r="1334" spans="1:4" x14ac:dyDescent="0.2">
      <c r="A1334" s="10">
        <v>1273</v>
      </c>
      <c r="D1334" s="2" t="str">
        <f t="shared" si="19"/>
        <v>OK</v>
      </c>
    </row>
    <row r="1335" spans="1:4" x14ac:dyDescent="0.2">
      <c r="A1335" s="5">
        <v>1274</v>
      </c>
      <c r="B1335" s="138">
        <f>'Expenditures 15-22'!C182</f>
        <v>29704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29704</v>
      </c>
      <c r="C1339" s="2" t="s">
        <v>594</v>
      </c>
      <c r="D1339" s="2" t="str">
        <f t="shared" si="19"/>
        <v>Error?</v>
      </c>
    </row>
    <row r="1340" spans="1:4" x14ac:dyDescent="0.2">
      <c r="A1340" s="5">
        <v>1279</v>
      </c>
      <c r="B1340" s="138">
        <f>'Expenditures 15-22'!C210</f>
        <v>29704</v>
      </c>
      <c r="C1340" s="2" t="s">
        <v>594</v>
      </c>
      <c r="D1340" s="2" t="str">
        <f t="shared" si="19"/>
        <v>Error?</v>
      </c>
    </row>
    <row r="1341" spans="1:4" x14ac:dyDescent="0.2">
      <c r="A1341" s="5">
        <v>1280</v>
      </c>
      <c r="B1341" s="138">
        <f>'Expenditures 15-22'!D182</f>
        <v>3219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3219</v>
      </c>
      <c r="C1345" s="2" t="s">
        <v>594</v>
      </c>
      <c r="D1345" s="2" t="str">
        <f t="shared" si="20"/>
        <v>Error?</v>
      </c>
    </row>
    <row r="1346" spans="1:4" x14ac:dyDescent="0.2">
      <c r="A1346" s="5">
        <v>1285</v>
      </c>
      <c r="B1346" s="138">
        <f>'Expenditures 15-22'!D210</f>
        <v>3219</v>
      </c>
      <c r="C1346" s="2" t="s">
        <v>594</v>
      </c>
      <c r="D1346" s="2" t="str">
        <f t="shared" si="20"/>
        <v>Error?</v>
      </c>
    </row>
    <row r="1347" spans="1:4" x14ac:dyDescent="0.2">
      <c r="A1347" s="5">
        <v>1286</v>
      </c>
      <c r="B1347" s="138">
        <f>'Expenditures 15-22'!E182</f>
        <v>1232316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1232316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1232316</v>
      </c>
      <c r="C1353" s="2" t="s">
        <v>594</v>
      </c>
      <c r="D1353" s="2" t="str">
        <f t="shared" si="20"/>
        <v>Error?</v>
      </c>
    </row>
    <row r="1354" spans="1:4" x14ac:dyDescent="0.2">
      <c r="A1354" s="5">
        <v>1293</v>
      </c>
      <c r="B1354" s="138">
        <f>'Expenditures 15-22'!F182</f>
        <v>121188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121188</v>
      </c>
      <c r="C1358" s="2" t="s">
        <v>594</v>
      </c>
      <c r="D1358" s="2" t="str">
        <f t="shared" si="20"/>
        <v>Error?</v>
      </c>
    </row>
    <row r="1359" spans="1:4" x14ac:dyDescent="0.2">
      <c r="A1359" s="5">
        <v>1298</v>
      </c>
      <c r="B1359" s="138">
        <f>'Expenditures 15-22'!F210</f>
        <v>121188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1386427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1386427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1386427</v>
      </c>
      <c r="C1388" s="2" t="s">
        <v>594</v>
      </c>
      <c r="D1388" s="2" t="str">
        <f t="shared" si="20"/>
        <v>Error?</v>
      </c>
    </row>
    <row r="1389" spans="1:4" x14ac:dyDescent="0.2">
      <c r="A1389" s="5">
        <v>1328</v>
      </c>
      <c r="B1389" s="138">
        <f>'Expenditures 15-22'!K211</f>
        <v>240355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6062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392</v>
      </c>
      <c r="D1407" s="2" t="str">
        <f t="shared" ref="D1407:D1470" si="21">IF(ISBLANK(B1407),"OK",IF(A1407-B1407=0,"OK","Error?"))</f>
        <v>Error?</v>
      </c>
    </row>
    <row r="1408" spans="1:4" x14ac:dyDescent="0.2">
      <c r="A1408" s="5">
        <v>1347</v>
      </c>
      <c r="B1408" s="138">
        <f>'Expenditures 15-22'!D223</f>
        <v>13835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256938</v>
      </c>
      <c r="C1410" s="2" t="s">
        <v>594</v>
      </c>
      <c r="D1410" s="2" t="str">
        <f t="shared" si="21"/>
        <v>Error?</v>
      </c>
    </row>
    <row r="1411" spans="1:4" x14ac:dyDescent="0.2">
      <c r="A1411" s="5">
        <v>1350</v>
      </c>
      <c r="B1411" s="138">
        <f>'Expenditures 15-22'!D232</f>
        <v>19892</v>
      </c>
      <c r="D1411" s="2" t="str">
        <f t="shared" si="21"/>
        <v>Error?</v>
      </c>
    </row>
    <row r="1412" spans="1:4" x14ac:dyDescent="0.2">
      <c r="A1412" s="5">
        <v>1351</v>
      </c>
      <c r="B1412" s="138">
        <f>'Expenditures 15-22'!D233</f>
        <v>1615</v>
      </c>
      <c r="D1412" s="2" t="str">
        <f t="shared" si="21"/>
        <v>Error?</v>
      </c>
    </row>
    <row r="1413" spans="1:4" x14ac:dyDescent="0.2">
      <c r="A1413" s="5">
        <v>1352</v>
      </c>
      <c r="B1413" s="138">
        <f>'Expenditures 15-22'!D234</f>
        <v>1083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1466</v>
      </c>
      <c r="D1415" s="2" t="str">
        <f t="shared" si="21"/>
        <v>Error?</v>
      </c>
    </row>
    <row r="1416" spans="1:4" x14ac:dyDescent="0.2">
      <c r="A1416" s="5">
        <v>1355</v>
      </c>
      <c r="B1416" s="138">
        <f>'Expenditures 15-22'!D237</f>
        <v>15645</v>
      </c>
      <c r="D1416" s="2" t="str">
        <f t="shared" si="21"/>
        <v>Error?</v>
      </c>
    </row>
    <row r="1417" spans="1:4" x14ac:dyDescent="0.2">
      <c r="A1417" s="5">
        <v>1356</v>
      </c>
      <c r="B1417" s="138">
        <f>'Expenditures 15-22'!D238</f>
        <v>39701</v>
      </c>
      <c r="C1417" s="2" t="s">
        <v>594</v>
      </c>
      <c r="D1417" s="2" t="str">
        <f t="shared" si="21"/>
        <v>Error?</v>
      </c>
    </row>
    <row r="1418" spans="1:4" x14ac:dyDescent="0.2">
      <c r="A1418" s="5">
        <v>1357</v>
      </c>
      <c r="B1418" s="138">
        <f>'Expenditures 15-22'!D240</f>
        <v>183</v>
      </c>
      <c r="D1418" s="2" t="str">
        <f t="shared" si="21"/>
        <v>Error?</v>
      </c>
    </row>
    <row r="1419" spans="1:4" x14ac:dyDescent="0.2">
      <c r="A1419" s="5">
        <v>1358</v>
      </c>
      <c r="B1419" s="138">
        <f>'Expenditures 15-22'!D241</f>
        <v>1666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1849</v>
      </c>
      <c r="C1421" s="2" t="s">
        <v>594</v>
      </c>
      <c r="D1421" s="2" t="str">
        <f t="shared" si="21"/>
        <v>Error?</v>
      </c>
    </row>
    <row r="1422" spans="1:4" x14ac:dyDescent="0.2">
      <c r="A1422" s="5">
        <v>1361</v>
      </c>
      <c r="B1422" s="138">
        <f>'Expenditures 15-22'!D245</f>
        <v>152563</v>
      </c>
      <c r="D1422" s="2" t="str">
        <f t="shared" si="21"/>
        <v>Error?</v>
      </c>
    </row>
    <row r="1423" spans="1:4" x14ac:dyDescent="0.2">
      <c r="A1423" s="5">
        <v>1362</v>
      </c>
      <c r="B1423" s="138">
        <f>'Expenditures 15-22'!D246</f>
        <v>1455</v>
      </c>
      <c r="D1423" s="2" t="str">
        <f t="shared" si="21"/>
        <v>Error?</v>
      </c>
    </row>
    <row r="1424" spans="1:4" x14ac:dyDescent="0.2">
      <c r="A1424" s="5">
        <v>1363</v>
      </c>
      <c r="B1424" s="138">
        <f>'Expenditures 15-22'!D257</f>
        <v>154018</v>
      </c>
      <c r="C1424" s="2" t="s">
        <v>594</v>
      </c>
      <c r="D1424" s="2" t="str">
        <f t="shared" si="21"/>
        <v>Error?</v>
      </c>
    </row>
    <row r="1425" spans="1:4" x14ac:dyDescent="0.2">
      <c r="A1425" s="5">
        <v>1364</v>
      </c>
      <c r="B1425" s="138">
        <f>'Expenditures 15-22'!D259</f>
        <v>105617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105617</v>
      </c>
      <c r="C1427" s="2" t="s">
        <v>594</v>
      </c>
      <c r="D1427" s="2" t="str">
        <f t="shared" si="21"/>
        <v>Error?</v>
      </c>
    </row>
    <row r="1428" spans="1:4" x14ac:dyDescent="0.2">
      <c r="A1428" s="5">
        <v>1367</v>
      </c>
      <c r="B1428" s="138">
        <f>'Expenditures 15-22'!D263</f>
        <v>9148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116351</v>
      </c>
      <c r="D1431" s="2" t="str">
        <f t="shared" si="21"/>
        <v>Error?</v>
      </c>
    </row>
    <row r="1432" spans="1:4" x14ac:dyDescent="0.2">
      <c r="A1432" s="5">
        <v>1371</v>
      </c>
      <c r="B1432" s="138">
        <f>'Expenditures 15-22'!D267</f>
        <v>6099</v>
      </c>
      <c r="D1432" s="2" t="str">
        <f t="shared" si="21"/>
        <v>Error?</v>
      </c>
    </row>
    <row r="1433" spans="1:4" x14ac:dyDescent="0.2">
      <c r="A1433" s="5">
        <v>1372</v>
      </c>
      <c r="B1433" s="138">
        <f>'Expenditures 15-22'!D268</f>
        <v>77645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209243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12982</v>
      </c>
      <c r="D1442" s="2" t="str">
        <f t="shared" si="21"/>
        <v>Error?</v>
      </c>
    </row>
    <row r="1443" spans="1:4" x14ac:dyDescent="0.2">
      <c r="A1443" s="10">
        <v>1382</v>
      </c>
      <c r="D1443" s="2" t="str">
        <f t="shared" si="21"/>
        <v>OK</v>
      </c>
    </row>
    <row r="1444" spans="1:4" x14ac:dyDescent="0.2">
      <c r="A1444" s="5">
        <v>1383</v>
      </c>
      <c r="B1444" s="138">
        <f>'Expenditures 15-22'!D277</f>
        <v>12982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523410</v>
      </c>
      <c r="C1446" s="2" t="s">
        <v>594</v>
      </c>
      <c r="D1446" s="2" t="str">
        <f t="shared" si="21"/>
        <v>Error?</v>
      </c>
    </row>
    <row r="1447" spans="1:4" x14ac:dyDescent="0.2">
      <c r="A1447" s="5">
        <v>1386</v>
      </c>
      <c r="B1447" s="138">
        <f>'Expenditures 15-22'!D280</f>
        <v>2034</v>
      </c>
      <c r="D1447" s="2" t="str">
        <f t="shared" si="21"/>
        <v>Error?</v>
      </c>
    </row>
    <row r="1448" spans="1:4" x14ac:dyDescent="0.2">
      <c r="A1448" s="5">
        <v>1387</v>
      </c>
      <c r="B1448" s="138">
        <f>'Expenditures 15-22'!D295</f>
        <v>782382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6062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392</v>
      </c>
      <c r="C1471" s="2" t="s">
        <v>594</v>
      </c>
      <c r="D1471" s="2" t="str">
        <f t="shared" ref="D1471:D1534" si="22">IF(ISBLANK(B1471),"OK",IF(A1471-B1471=0,"OK","Error?"))</f>
        <v>Error?</v>
      </c>
    </row>
    <row r="1472" spans="1:4" x14ac:dyDescent="0.2">
      <c r="A1472" s="5">
        <v>1411</v>
      </c>
      <c r="B1472" s="138">
        <f>'Expenditures 15-22'!K223</f>
        <v>13835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256938</v>
      </c>
      <c r="C1474" s="2" t="s">
        <v>594</v>
      </c>
      <c r="D1474" s="2" t="str">
        <f t="shared" si="22"/>
        <v>Error?</v>
      </c>
    </row>
    <row r="1475" spans="1:4" x14ac:dyDescent="0.2">
      <c r="A1475" s="5">
        <v>1414</v>
      </c>
      <c r="B1475" s="138">
        <f>'Expenditures 15-22'!K232</f>
        <v>19892</v>
      </c>
      <c r="C1475" s="2" t="s">
        <v>594</v>
      </c>
      <c r="D1475" s="2" t="str">
        <f t="shared" si="22"/>
        <v>Error?</v>
      </c>
    </row>
    <row r="1476" spans="1:4" x14ac:dyDescent="0.2">
      <c r="A1476" s="5">
        <v>1415</v>
      </c>
      <c r="B1476" s="138">
        <f>'Expenditures 15-22'!K233</f>
        <v>1615</v>
      </c>
      <c r="C1476" s="2" t="s">
        <v>594</v>
      </c>
      <c r="D1476" s="2" t="str">
        <f t="shared" si="22"/>
        <v>Error?</v>
      </c>
    </row>
    <row r="1477" spans="1:4" x14ac:dyDescent="0.2">
      <c r="A1477" s="5">
        <v>1416</v>
      </c>
      <c r="B1477" s="138">
        <f>'Expenditures 15-22'!K234</f>
        <v>1083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1466</v>
      </c>
      <c r="C1479" s="2" t="s">
        <v>594</v>
      </c>
      <c r="D1479" s="2" t="str">
        <f t="shared" si="22"/>
        <v>Error?</v>
      </c>
    </row>
    <row r="1480" spans="1:4" x14ac:dyDescent="0.2">
      <c r="A1480" s="5">
        <v>1419</v>
      </c>
      <c r="B1480" s="138">
        <f>'Expenditures 15-22'!K237</f>
        <v>15645</v>
      </c>
      <c r="C1480" s="2" t="s">
        <v>594</v>
      </c>
      <c r="D1480" s="2" t="str">
        <f t="shared" si="22"/>
        <v>Error?</v>
      </c>
    </row>
    <row r="1481" spans="1:4" x14ac:dyDescent="0.2">
      <c r="A1481" s="5">
        <v>1420</v>
      </c>
      <c r="B1481" s="138">
        <f>'Expenditures 15-22'!K238</f>
        <v>39701</v>
      </c>
      <c r="C1481" s="2" t="s">
        <v>594</v>
      </c>
      <c r="D1481" s="2" t="str">
        <f t="shared" si="22"/>
        <v>Error?</v>
      </c>
    </row>
    <row r="1482" spans="1:4" x14ac:dyDescent="0.2">
      <c r="A1482" s="5">
        <v>1421</v>
      </c>
      <c r="B1482" s="138">
        <f>'Expenditures 15-22'!K240</f>
        <v>183</v>
      </c>
      <c r="C1482" s="2" t="s">
        <v>594</v>
      </c>
      <c r="D1482" s="2" t="str">
        <f t="shared" si="22"/>
        <v>Error?</v>
      </c>
    </row>
    <row r="1483" spans="1:4" x14ac:dyDescent="0.2">
      <c r="A1483" s="5">
        <v>1422</v>
      </c>
      <c r="B1483" s="138">
        <f>'Expenditures 15-22'!K241</f>
        <v>1666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1849</v>
      </c>
      <c r="C1485" s="2" t="s">
        <v>594</v>
      </c>
      <c r="D1485" s="2" t="str">
        <f t="shared" si="22"/>
        <v>Error?</v>
      </c>
    </row>
    <row r="1486" spans="1:4" x14ac:dyDescent="0.2">
      <c r="A1486" s="5">
        <v>1425</v>
      </c>
      <c r="B1486" s="138">
        <f>'Expenditures 15-22'!K245</f>
        <v>152563</v>
      </c>
      <c r="C1486" s="2" t="s">
        <v>594</v>
      </c>
      <c r="D1486" s="2" t="str">
        <f t="shared" si="22"/>
        <v>Error?</v>
      </c>
    </row>
    <row r="1487" spans="1:4" x14ac:dyDescent="0.2">
      <c r="A1487" s="5">
        <v>1426</v>
      </c>
      <c r="B1487" s="138">
        <f>'Expenditures 15-22'!K246</f>
        <v>1455</v>
      </c>
      <c r="C1487" s="2" t="s">
        <v>594</v>
      </c>
      <c r="D1487" s="2" t="str">
        <f t="shared" si="22"/>
        <v>Error?</v>
      </c>
    </row>
    <row r="1488" spans="1:4" x14ac:dyDescent="0.2">
      <c r="A1488" s="5">
        <v>1427</v>
      </c>
      <c r="B1488" s="138">
        <f>'Expenditures 15-22'!K257</f>
        <v>154018</v>
      </c>
      <c r="C1488" s="2" t="s">
        <v>594</v>
      </c>
      <c r="D1488" s="2" t="str">
        <f t="shared" si="22"/>
        <v>Error?</v>
      </c>
    </row>
    <row r="1489" spans="1:4" x14ac:dyDescent="0.2">
      <c r="A1489" s="5">
        <v>1428</v>
      </c>
      <c r="B1489" s="138">
        <f>'Expenditures 15-22'!K259</f>
        <v>105617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105617</v>
      </c>
      <c r="C1491" s="2" t="s">
        <v>594</v>
      </c>
      <c r="D1491" s="2" t="str">
        <f t="shared" si="22"/>
        <v>Error?</v>
      </c>
    </row>
    <row r="1492" spans="1:4" x14ac:dyDescent="0.2">
      <c r="A1492" s="5">
        <v>1431</v>
      </c>
      <c r="B1492" s="138">
        <f>'Expenditures 15-22'!K263</f>
        <v>9148</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116351</v>
      </c>
      <c r="C1495" s="2" t="s">
        <v>594</v>
      </c>
      <c r="D1495" s="2" t="str">
        <f t="shared" si="22"/>
        <v>Error?</v>
      </c>
    </row>
    <row r="1496" spans="1:4" x14ac:dyDescent="0.2">
      <c r="A1496" s="5">
        <v>1435</v>
      </c>
      <c r="B1496" s="138">
        <f>'Expenditures 15-22'!K267</f>
        <v>6099</v>
      </c>
      <c r="C1496" s="2" t="s">
        <v>594</v>
      </c>
      <c r="D1496" s="2" t="str">
        <f t="shared" si="22"/>
        <v>Error?</v>
      </c>
    </row>
    <row r="1497" spans="1:4" x14ac:dyDescent="0.2">
      <c r="A1497" s="5">
        <v>1436</v>
      </c>
      <c r="B1497" s="138">
        <f>'Expenditures 15-22'!K268</f>
        <v>77645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209243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12982</v>
      </c>
      <c r="C1506" s="2" t="s">
        <v>594</v>
      </c>
      <c r="D1506" s="2" t="str">
        <f t="shared" si="22"/>
        <v>Error?</v>
      </c>
    </row>
    <row r="1507" spans="1:4" x14ac:dyDescent="0.2">
      <c r="A1507" s="10">
        <v>1446</v>
      </c>
      <c r="D1507" s="2" t="str">
        <f t="shared" si="22"/>
        <v>OK</v>
      </c>
    </row>
    <row r="1508" spans="1:4" x14ac:dyDescent="0.2">
      <c r="A1508" s="5">
        <v>1447</v>
      </c>
      <c r="B1508" s="138">
        <f>'Expenditures 15-22'!K277</f>
        <v>12982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523410</v>
      </c>
      <c r="C1510" s="2" t="s">
        <v>594</v>
      </c>
      <c r="D1510" s="2" t="str">
        <f t="shared" si="22"/>
        <v>Error?</v>
      </c>
    </row>
    <row r="1511" spans="1:4" x14ac:dyDescent="0.2">
      <c r="A1511" s="5">
        <v>1450</v>
      </c>
      <c r="B1511" s="138">
        <f>'Expenditures 15-22'!K280</f>
        <v>2034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782382</v>
      </c>
      <c r="C1517" s="2" t="s">
        <v>594</v>
      </c>
      <c r="D1517" s="2" t="str">
        <f t="shared" si="22"/>
        <v>Error?</v>
      </c>
    </row>
    <row r="1518" spans="1:4" x14ac:dyDescent="0.2">
      <c r="A1518" s="5">
        <v>1457</v>
      </c>
      <c r="B1518" s="138">
        <f>'Expenditures 15-22'!K296</f>
        <v>-110379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3361417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3361417</v>
      </c>
      <c r="C1547" s="2" t="s">
        <v>594</v>
      </c>
      <c r="D1547" s="2" t="str">
        <f t="shared" si="23"/>
        <v>Error?</v>
      </c>
    </row>
    <row r="1548" spans="1:4" x14ac:dyDescent="0.2">
      <c r="A1548" s="5">
        <v>1487</v>
      </c>
      <c r="B1548" s="138">
        <f>'Expenditures 15-22'!G312</f>
        <v>3361417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3361417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3361417</v>
      </c>
      <c r="C1559" s="2" t="s">
        <v>594</v>
      </c>
      <c r="D1559" s="2" t="str">
        <f t="shared" si="23"/>
        <v>Error?</v>
      </c>
    </row>
    <row r="1560" spans="1:4" x14ac:dyDescent="0.2">
      <c r="A1560" s="5">
        <v>1499</v>
      </c>
      <c r="B1560" s="138">
        <f>'Expenditures 15-22'!K312</f>
        <v>3361417</v>
      </c>
      <c r="C1560" s="2" t="s">
        <v>594</v>
      </c>
      <c r="D1560" s="2" t="str">
        <f t="shared" si="23"/>
        <v>Error?</v>
      </c>
    </row>
    <row r="1561" spans="1:4" x14ac:dyDescent="0.2">
      <c r="A1561" s="5">
        <v>1500</v>
      </c>
      <c r="B1561" s="138">
        <f>'Expenditures 15-22'!K313</f>
        <v>-2264206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2271290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3478939</v>
      </c>
      <c r="C1630" s="2" t="s">
        <v>594</v>
      </c>
      <c r="D1630" s="2" t="str">
        <f t="shared" si="24"/>
        <v>Error?</v>
      </c>
    </row>
    <row r="1631" spans="1:4" x14ac:dyDescent="0.2">
      <c r="A1631" s="5">
        <v>1570</v>
      </c>
      <c r="B1631" s="138">
        <f>'Acct Summary 7-8'!D79</f>
        <v>806055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795035</v>
      </c>
      <c r="C1644" s="2" t="s">
        <v>594</v>
      </c>
      <c r="D1644" s="2" t="str">
        <f t="shared" si="24"/>
        <v>Error?</v>
      </c>
    </row>
    <row r="1645" spans="1:4" x14ac:dyDescent="0.2">
      <c r="A1645" s="5">
        <v>1584</v>
      </c>
      <c r="B1645" s="138">
        <f>'Acct Summary 7-8'!E79</f>
        <v>53695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361336</v>
      </c>
      <c r="C1658" s="2" t="s">
        <v>594</v>
      </c>
      <c r="D1658" s="2" t="str">
        <f t="shared" si="24"/>
        <v>Error?</v>
      </c>
    </row>
    <row r="1659" spans="1:4" x14ac:dyDescent="0.2">
      <c r="A1659" s="5">
        <v>1598</v>
      </c>
      <c r="B1659" s="138">
        <f>'Acct Summary 7-8'!F79</f>
        <v>75786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316141</v>
      </c>
      <c r="C1672" s="2" t="s">
        <v>594</v>
      </c>
      <c r="D1672" s="2" t="str">
        <f t="shared" si="25"/>
        <v>Error?</v>
      </c>
    </row>
    <row r="1673" spans="1:4" x14ac:dyDescent="0.2">
      <c r="A1673" s="5">
        <v>1612</v>
      </c>
      <c r="B1673" s="138">
        <f>'Acct Summary 7-8'!G79</f>
        <v>195615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85236</v>
      </c>
      <c r="C1686" s="2" t="s">
        <v>594</v>
      </c>
      <c r="D1686" s="2" t="str">
        <f t="shared" si="25"/>
        <v>Error?</v>
      </c>
    </row>
    <row r="1687" spans="1:4" x14ac:dyDescent="0.2">
      <c r="A1687" s="5">
        <v>1626</v>
      </c>
      <c r="B1687" s="138">
        <f>'Acct Summary 7-8'!H79</f>
        <v>2085873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5194824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4379181</v>
      </c>
      <c r="C1744" s="2" t="s">
        <v>594</v>
      </c>
      <c r="D1744" s="2" t="str">
        <f t="shared" si="26"/>
        <v>Error?</v>
      </c>
    </row>
    <row r="1745" spans="1:5" x14ac:dyDescent="0.2">
      <c r="A1745" s="5">
        <v>1684</v>
      </c>
      <c r="B1745" s="138">
        <f>'Tax Sched 23'!B5</f>
        <v>694536</v>
      </c>
      <c r="C1745" s="2" t="s">
        <v>594</v>
      </c>
      <c r="D1745" s="2" t="str">
        <f t="shared" si="26"/>
        <v>Error?</v>
      </c>
    </row>
    <row r="1746" spans="1:5" x14ac:dyDescent="0.2">
      <c r="A1746" s="5">
        <v>1685</v>
      </c>
      <c r="B1746" s="138">
        <f>'Tax Sched 23'!B6</f>
        <v>478793</v>
      </c>
      <c r="C1746" s="2" t="s">
        <v>594</v>
      </c>
      <c r="D1746" s="2" t="str">
        <f t="shared" si="26"/>
        <v>Error?</v>
      </c>
    </row>
    <row r="1747" spans="1:5" x14ac:dyDescent="0.2">
      <c r="A1747" s="5">
        <v>1686</v>
      </c>
      <c r="B1747" s="138">
        <f>'Tax Sched 23'!B7</f>
        <v>347272</v>
      </c>
      <c r="C1747" s="2" t="s">
        <v>594</v>
      </c>
      <c r="D1747" s="2" t="str">
        <f t="shared" si="26"/>
        <v>Error?</v>
      </c>
    </row>
    <row r="1748" spans="1:5" x14ac:dyDescent="0.2">
      <c r="A1748" s="5">
        <v>1687</v>
      </c>
      <c r="B1748" s="138">
        <f>'Tax Sched 23'!B8</f>
        <v>302614</v>
      </c>
      <c r="C1748" s="2" t="s">
        <v>594</v>
      </c>
      <c r="D1748" s="2" t="str">
        <f t="shared" si="26"/>
        <v>Error?</v>
      </c>
    </row>
    <row r="1749" spans="1:5" x14ac:dyDescent="0.2">
      <c r="A1749" s="5">
        <v>1688</v>
      </c>
      <c r="B1749" s="138">
        <f>'Tax Sched 23'!B10</f>
        <v>74417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491130</v>
      </c>
      <c r="C1752" s="2" t="s">
        <v>594</v>
      </c>
      <c r="D1752" s="2" t="str">
        <f t="shared" si="26"/>
        <v>Error?</v>
      </c>
    </row>
    <row r="1753" spans="1:5" x14ac:dyDescent="0.2">
      <c r="A1753" s="5">
        <v>1692</v>
      </c>
      <c r="B1753" s="138">
        <f>'Tax Sched 23'!B12</f>
        <v>79371</v>
      </c>
      <c r="C1753" s="2" t="s">
        <v>594</v>
      </c>
      <c r="D1753" s="2" t="str">
        <f t="shared" si="26"/>
        <v>Error?</v>
      </c>
    </row>
    <row r="1754" spans="1:5" x14ac:dyDescent="0.2">
      <c r="A1754" s="5">
        <v>1693</v>
      </c>
      <c r="B1754" s="138">
        <f>'Tax Sched 23'!B14</f>
        <v>84332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7338951</v>
      </c>
      <c r="C1759" s="2" t="s">
        <v>594</v>
      </c>
      <c r="D1759" s="2" t="str">
        <f t="shared" si="26"/>
        <v>Error?</v>
      </c>
    </row>
    <row r="1760" spans="1:5" x14ac:dyDescent="0.2">
      <c r="A1760" s="5">
        <v>1699</v>
      </c>
      <c r="B1760" s="138">
        <f>'Tax Sched 23'!D4</f>
        <v>4379181</v>
      </c>
      <c r="C1760" s="2" t="s">
        <v>594</v>
      </c>
      <c r="D1760" s="2" t="str">
        <f t="shared" si="26"/>
        <v>Error?</v>
      </c>
    </row>
    <row r="1761" spans="1:5" x14ac:dyDescent="0.2">
      <c r="A1761" s="5">
        <v>1700</v>
      </c>
      <c r="B1761" s="138">
        <f>'Tax Sched 23'!D5</f>
        <v>694536</v>
      </c>
      <c r="C1761" s="2" t="s">
        <v>594</v>
      </c>
      <c r="D1761" s="2" t="str">
        <f t="shared" si="26"/>
        <v>Error?</v>
      </c>
    </row>
    <row r="1762" spans="1:5" s="8" customFormat="1" x14ac:dyDescent="0.2">
      <c r="A1762" s="5">
        <v>1701</v>
      </c>
      <c r="B1762" s="138">
        <f>'Tax Sched 23'!D6</f>
        <v>478793</v>
      </c>
      <c r="C1762" s="2" t="s">
        <v>594</v>
      </c>
      <c r="D1762" s="2" t="str">
        <f t="shared" si="26"/>
        <v>Error?</v>
      </c>
      <c r="E1762" s="9"/>
    </row>
    <row r="1763" spans="1:5" x14ac:dyDescent="0.2">
      <c r="A1763" s="5">
        <v>1702</v>
      </c>
      <c r="B1763" s="138">
        <f>'Tax Sched 23'!D7</f>
        <v>347272</v>
      </c>
      <c r="C1763" s="2" t="s">
        <v>594</v>
      </c>
      <c r="D1763" s="2" t="str">
        <f t="shared" si="26"/>
        <v>Error?</v>
      </c>
    </row>
    <row r="1764" spans="1:5" x14ac:dyDescent="0.2">
      <c r="A1764" s="5">
        <v>1703</v>
      </c>
      <c r="B1764" s="138">
        <f>'Tax Sched 23'!D8</f>
        <v>302614</v>
      </c>
      <c r="C1764" s="2" t="s">
        <v>594</v>
      </c>
      <c r="D1764" s="2" t="str">
        <f t="shared" si="26"/>
        <v>Error?</v>
      </c>
    </row>
    <row r="1765" spans="1:5" x14ac:dyDescent="0.2">
      <c r="A1765" s="5">
        <v>1704</v>
      </c>
      <c r="B1765" s="138">
        <f>'Tax Sched 23'!D10</f>
        <v>74417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491130</v>
      </c>
      <c r="C1768" s="2" t="s">
        <v>594</v>
      </c>
      <c r="D1768" s="2" t="str">
        <f t="shared" si="26"/>
        <v>Error?</v>
      </c>
    </row>
    <row r="1769" spans="1:5" x14ac:dyDescent="0.2">
      <c r="A1769" s="5">
        <v>1708</v>
      </c>
      <c r="B1769" s="138">
        <f>'Tax Sched 23'!D12</f>
        <v>79371</v>
      </c>
      <c r="C1769" s="2" t="s">
        <v>594</v>
      </c>
      <c r="D1769" s="2" t="str">
        <f t="shared" si="26"/>
        <v>Error?</v>
      </c>
    </row>
    <row r="1770" spans="1:5" x14ac:dyDescent="0.2">
      <c r="A1770" s="5">
        <v>1709</v>
      </c>
      <c r="B1770" s="138">
        <f>'Tax Sched 23'!D14</f>
        <v>84332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7338951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4623351</v>
      </c>
      <c r="C1792" s="2" t="s">
        <v>594</v>
      </c>
      <c r="D1792" s="2" t="str">
        <f t="shared" si="27"/>
        <v>Error?</v>
      </c>
    </row>
    <row r="1793" spans="1:4" x14ac:dyDescent="0.2">
      <c r="A1793" s="5">
        <v>1732</v>
      </c>
      <c r="B1793" s="138">
        <f>'Tax Sched 23'!F5</f>
        <v>708001</v>
      </c>
      <c r="C1793" s="2" t="s">
        <v>594</v>
      </c>
      <c r="D1793" s="2" t="str">
        <f t="shared" si="27"/>
        <v>Error?</v>
      </c>
    </row>
    <row r="1794" spans="1:4" x14ac:dyDescent="0.2">
      <c r="A1794" s="5">
        <v>1733</v>
      </c>
      <c r="B1794" s="138">
        <f>'Tax Sched 23'!F6</f>
        <v>355546</v>
      </c>
      <c r="C1794" s="2" t="s">
        <v>594</v>
      </c>
      <c r="D1794" s="2" t="str">
        <f t="shared" si="27"/>
        <v>Error?</v>
      </c>
    </row>
    <row r="1795" spans="1:4" x14ac:dyDescent="0.2">
      <c r="A1795" s="5">
        <v>1734</v>
      </c>
      <c r="B1795" s="138">
        <f>'Tax Sched 23'!F7</f>
        <v>353507</v>
      </c>
      <c r="C1795" s="2" t="s">
        <v>594</v>
      </c>
      <c r="D1795" s="2" t="str">
        <f t="shared" si="27"/>
        <v>Error?</v>
      </c>
    </row>
    <row r="1796" spans="1:4" x14ac:dyDescent="0.2">
      <c r="A1796" s="5">
        <v>1735</v>
      </c>
      <c r="B1796" s="138">
        <f>'Tax Sched 23'!F8</f>
        <v>323500</v>
      </c>
      <c r="C1796" s="2" t="s">
        <v>594</v>
      </c>
      <c r="D1796" s="2" t="str">
        <f t="shared" si="27"/>
        <v>Error?</v>
      </c>
    </row>
    <row r="1797" spans="1:4" x14ac:dyDescent="0.2">
      <c r="A1797" s="5">
        <v>1736</v>
      </c>
      <c r="B1797" s="138">
        <f>'Tax Sched 23'!F10</f>
        <v>76005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477979</v>
      </c>
      <c r="C1800" s="2" t="s">
        <v>594</v>
      </c>
      <c r="D1800" s="2" t="str">
        <f t="shared" si="27"/>
        <v>Error?</v>
      </c>
    </row>
    <row r="1801" spans="1:4" x14ac:dyDescent="0.2">
      <c r="A1801" s="5">
        <v>1740</v>
      </c>
      <c r="B1801" s="138">
        <f>'Tax Sched 23'!F12</f>
        <v>81006</v>
      </c>
      <c r="C1801" s="2" t="s">
        <v>594</v>
      </c>
      <c r="D1801" s="2" t="str">
        <f t="shared" si="27"/>
        <v>Error?</v>
      </c>
    </row>
    <row r="1802" spans="1:4" x14ac:dyDescent="0.2">
      <c r="A1802" s="5">
        <v>1741</v>
      </c>
      <c r="B1802" s="138">
        <f>'Tax Sched 23'!F14</f>
        <v>86008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7496895</v>
      </c>
      <c r="C1807" s="2" t="s">
        <v>594</v>
      </c>
      <c r="D1807" s="2" t="str">
        <f t="shared" si="27"/>
        <v>Error?</v>
      </c>
    </row>
    <row r="1808" spans="1:4" x14ac:dyDescent="0.2">
      <c r="A1808" s="5">
        <v>1747</v>
      </c>
      <c r="B1808" s="138">
        <f>'Tax Sched 23'!E4</f>
        <v>4623351</v>
      </c>
      <c r="D1808" s="2" t="str">
        <f t="shared" si="27"/>
        <v>Error?</v>
      </c>
    </row>
    <row r="1809" spans="1:4" x14ac:dyDescent="0.2">
      <c r="A1809" s="5">
        <v>1748</v>
      </c>
      <c r="B1809" s="138">
        <f>'Tax Sched 23'!E5</f>
        <v>708001</v>
      </c>
      <c r="D1809" s="2" t="str">
        <f t="shared" si="27"/>
        <v>Error?</v>
      </c>
    </row>
    <row r="1810" spans="1:4" x14ac:dyDescent="0.2">
      <c r="A1810" s="5">
        <v>1749</v>
      </c>
      <c r="B1810" s="138">
        <f>'Tax Sched 23'!E6</f>
        <v>355546</v>
      </c>
      <c r="D1810" s="2" t="str">
        <f t="shared" si="27"/>
        <v>Error?</v>
      </c>
    </row>
    <row r="1811" spans="1:4" x14ac:dyDescent="0.2">
      <c r="A1811" s="5">
        <v>1750</v>
      </c>
      <c r="B1811" s="138">
        <f>'Tax Sched 23'!E7</f>
        <v>353507</v>
      </c>
      <c r="D1811" s="2" t="str">
        <f t="shared" si="27"/>
        <v>Error?</v>
      </c>
    </row>
    <row r="1812" spans="1:4" x14ac:dyDescent="0.2">
      <c r="A1812" s="5">
        <v>1751</v>
      </c>
      <c r="B1812" s="138">
        <f>'Tax Sched 23'!E8</f>
        <v>323500</v>
      </c>
      <c r="D1812" s="2" t="str">
        <f t="shared" si="27"/>
        <v>Error?</v>
      </c>
    </row>
    <row r="1813" spans="1:4" x14ac:dyDescent="0.2">
      <c r="A1813" s="5">
        <v>1752</v>
      </c>
      <c r="B1813" s="138">
        <f>'Tax Sched 23'!E10</f>
        <v>76005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477979</v>
      </c>
      <c r="D1816" s="2" t="str">
        <f t="shared" si="27"/>
        <v>Error?</v>
      </c>
    </row>
    <row r="1817" spans="1:4" x14ac:dyDescent="0.2">
      <c r="A1817" s="5">
        <v>1756</v>
      </c>
      <c r="B1817" s="138">
        <f>'Tax Sched 23'!E12</f>
        <v>81006</v>
      </c>
      <c r="D1817" s="2" t="str">
        <f t="shared" si="27"/>
        <v>Error?</v>
      </c>
    </row>
    <row r="1818" spans="1:4" x14ac:dyDescent="0.2">
      <c r="A1818" s="5">
        <v>1757</v>
      </c>
      <c r="B1818" s="138">
        <f>'Tax Sched 23'!E14</f>
        <v>86008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7496895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2260000</v>
      </c>
      <c r="C1939" s="2" t="s">
        <v>594</v>
      </c>
      <c r="D1939" s="2" t="str">
        <f t="shared" si="29"/>
        <v>Error?</v>
      </c>
    </row>
    <row r="1940" spans="1:5" x14ac:dyDescent="0.2">
      <c r="A1940" s="5">
        <v>1879</v>
      </c>
      <c r="B1940" s="138">
        <f>'Short-Term Long-Term Debt 24'!F49</f>
        <v>5490000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84332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84332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84332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294101</v>
      </c>
      <c r="D2008" s="2" t="str">
        <f t="shared" si="30"/>
        <v>Error?</v>
      </c>
    </row>
    <row r="2009" spans="1:4" x14ac:dyDescent="0.2">
      <c r="A2009" s="5">
        <v>1948</v>
      </c>
      <c r="B2009" s="138">
        <f>'Cap Outlay Deprec 26'!C8</f>
        <v>30823700</v>
      </c>
      <c r="D2009" s="2" t="str">
        <f t="shared" si="30"/>
        <v>Error?</v>
      </c>
    </row>
    <row r="2010" spans="1:4" x14ac:dyDescent="0.2">
      <c r="A2010" s="5">
        <v>1949</v>
      </c>
      <c r="B2010" s="138">
        <f>'Cap Outlay Deprec 26'!C10</f>
        <v>3876515</v>
      </c>
      <c r="D2010" s="2" t="str">
        <f t="shared" si="30"/>
        <v>Error?</v>
      </c>
    </row>
    <row r="2011" spans="1:4" x14ac:dyDescent="0.2">
      <c r="A2011" s="5">
        <v>1950</v>
      </c>
      <c r="B2011" s="138">
        <f>'Cap Outlay Deprec 26'!C12</f>
        <v>4482888</v>
      </c>
      <c r="D2011" s="2" t="str">
        <f t="shared" si="30"/>
        <v>Error?</v>
      </c>
    </row>
    <row r="2012" spans="1:4" x14ac:dyDescent="0.2">
      <c r="A2012" s="5">
        <v>1951</v>
      </c>
      <c r="B2012" s="138">
        <f>'Cap Outlay Deprec 26'!C13</f>
        <v>482833</v>
      </c>
      <c r="D2012" s="2" t="str">
        <f t="shared" si="30"/>
        <v>Error?</v>
      </c>
    </row>
    <row r="2013" spans="1:4" x14ac:dyDescent="0.2">
      <c r="A2013" s="5">
        <v>1952</v>
      </c>
      <c r="B2013" s="138">
        <f>'Cap Outlay Deprec 26'!C16</f>
        <v>39960037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3872610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205830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4078440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294101</v>
      </c>
      <c r="C2026" s="2" t="s">
        <v>594</v>
      </c>
      <c r="D2026" s="2" t="str">
        <f t="shared" si="30"/>
        <v>Error?</v>
      </c>
    </row>
    <row r="2027" spans="1:4" x14ac:dyDescent="0.2">
      <c r="A2027" s="5">
        <v>1966</v>
      </c>
      <c r="B2027" s="138">
        <f>'Cap Outlay Deprec 26'!F8</f>
        <v>34696310</v>
      </c>
      <c r="C2027" s="2" t="s">
        <v>594</v>
      </c>
      <c r="D2027" s="2" t="str">
        <f t="shared" si="30"/>
        <v>Error?</v>
      </c>
    </row>
    <row r="2028" spans="1:4" x14ac:dyDescent="0.2">
      <c r="A2028" s="5">
        <v>1967</v>
      </c>
      <c r="B2028" s="138">
        <f>'Cap Outlay Deprec 26'!F10</f>
        <v>3876515</v>
      </c>
      <c r="C2028" s="2" t="s">
        <v>594</v>
      </c>
      <c r="D2028" s="2" t="str">
        <f t="shared" si="30"/>
        <v>Error?</v>
      </c>
    </row>
    <row r="2029" spans="1:4" x14ac:dyDescent="0.2">
      <c r="A2029" s="5">
        <v>1968</v>
      </c>
      <c r="B2029" s="138">
        <f>'Cap Outlay Deprec 26'!F12</f>
        <v>4688718</v>
      </c>
      <c r="C2029" s="2" t="s">
        <v>594</v>
      </c>
      <c r="D2029" s="2" t="str">
        <f t="shared" si="30"/>
        <v>Error?</v>
      </c>
    </row>
    <row r="2030" spans="1:4" x14ac:dyDescent="0.2">
      <c r="A2030" s="5">
        <v>1969</v>
      </c>
      <c r="B2030" s="138">
        <f>'Cap Outlay Deprec 26'!F13</f>
        <v>482833</v>
      </c>
      <c r="C2030" s="2" t="s">
        <v>594</v>
      </c>
      <c r="D2030" s="2" t="str">
        <f t="shared" si="30"/>
        <v>Error?</v>
      </c>
    </row>
    <row r="2031" spans="1:4" x14ac:dyDescent="0.2">
      <c r="A2031" s="5">
        <v>1970</v>
      </c>
      <c r="B2031" s="138">
        <f>'Cap Outlay Deprec 26'!F16</f>
        <v>44038477</v>
      </c>
      <c r="C2031" s="2" t="s">
        <v>594</v>
      </c>
      <c r="D2031" s="2" t="str">
        <f t="shared" si="30"/>
        <v>Error?</v>
      </c>
    </row>
    <row r="2032" spans="1:4" x14ac:dyDescent="0.2">
      <c r="A2032" s="10">
        <v>1971</v>
      </c>
      <c r="D2032" s="2" t="str">
        <f t="shared" si="30"/>
        <v>OK</v>
      </c>
    </row>
    <row r="2033" spans="1:4" x14ac:dyDescent="0.2">
      <c r="A2033" s="5">
        <v>1972</v>
      </c>
      <c r="B2033" s="138">
        <f>'Cap Outlay Deprec 26'!H8</f>
        <v>13011541</v>
      </c>
      <c r="D2033" s="2" t="str">
        <f t="shared" si="30"/>
        <v>Error?</v>
      </c>
    </row>
    <row r="2034" spans="1:4" x14ac:dyDescent="0.2">
      <c r="A2034" s="5">
        <v>1973</v>
      </c>
      <c r="B2034" s="138">
        <f>'Cap Outlay Deprec 26'!H10</f>
        <v>2411421</v>
      </c>
      <c r="D2034" s="2" t="str">
        <f t="shared" si="30"/>
        <v>Error?</v>
      </c>
    </row>
    <row r="2035" spans="1:4" x14ac:dyDescent="0.2">
      <c r="A2035" s="5">
        <v>1974</v>
      </c>
      <c r="B2035" s="138">
        <f>'Cap Outlay Deprec 26'!H12</f>
        <v>2636594</v>
      </c>
      <c r="D2035" s="2" t="str">
        <f t="shared" si="30"/>
        <v>Error?</v>
      </c>
    </row>
    <row r="2036" spans="1:4" x14ac:dyDescent="0.2">
      <c r="A2036" s="5">
        <v>1975</v>
      </c>
      <c r="B2036" s="138">
        <f>'Cap Outlay Deprec 26'!H13</f>
        <v>482833</v>
      </c>
      <c r="D2036" s="2" t="str">
        <f t="shared" si="30"/>
        <v>Error?</v>
      </c>
    </row>
    <row r="2037" spans="1:4" x14ac:dyDescent="0.2">
      <c r="A2037" s="5">
        <v>1976</v>
      </c>
      <c r="B2037" s="138">
        <f>'Cap Outlay Deprec 26'!H16</f>
        <v>18542389</v>
      </c>
      <c r="C2037" s="2" t="s">
        <v>594</v>
      </c>
      <c r="D2037" s="2" t="str">
        <f t="shared" si="30"/>
        <v>Error?</v>
      </c>
    </row>
    <row r="2038" spans="1:4" x14ac:dyDescent="0.2">
      <c r="A2038" s="10">
        <v>1977</v>
      </c>
      <c r="D2038" s="2" t="str">
        <f t="shared" si="30"/>
        <v>OK</v>
      </c>
    </row>
    <row r="2039" spans="1:4" x14ac:dyDescent="0.2">
      <c r="A2039" s="5">
        <v>1978</v>
      </c>
      <c r="B2039" s="138">
        <f>'Cap Outlay Deprec 26'!I8</f>
        <v>684816</v>
      </c>
      <c r="D2039" s="2" t="str">
        <f t="shared" si="30"/>
        <v>Error?</v>
      </c>
    </row>
    <row r="2040" spans="1:4" x14ac:dyDescent="0.2">
      <c r="A2040" s="5">
        <v>1979</v>
      </c>
      <c r="B2040" s="138">
        <f>'Cap Outlay Deprec 26'!I10</f>
        <v>103309</v>
      </c>
      <c r="D2040" s="2" t="str">
        <f t="shared" si="30"/>
        <v>Error?</v>
      </c>
    </row>
    <row r="2041" spans="1:4" x14ac:dyDescent="0.2">
      <c r="A2041" s="5">
        <v>1980</v>
      </c>
      <c r="B2041" s="138">
        <f>'Cap Outlay Deprec 26'!I12</f>
        <v>383275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1171400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13696357</v>
      </c>
      <c r="C2051" s="2" t="s">
        <v>594</v>
      </c>
      <c r="D2051" s="2" t="str">
        <f t="shared" si="31"/>
        <v>Error?</v>
      </c>
    </row>
    <row r="2052" spans="1:4" x14ac:dyDescent="0.2">
      <c r="A2052" s="5">
        <v>1991</v>
      </c>
      <c r="B2052" s="138">
        <f>'Cap Outlay Deprec 26'!K10</f>
        <v>2514730</v>
      </c>
      <c r="C2052" s="2" t="s">
        <v>594</v>
      </c>
      <c r="D2052" s="2" t="str">
        <f t="shared" si="31"/>
        <v>Error?</v>
      </c>
    </row>
    <row r="2053" spans="1:4" x14ac:dyDescent="0.2">
      <c r="A2053" s="5">
        <v>1992</v>
      </c>
      <c r="B2053" s="138">
        <f>'Cap Outlay Deprec 26'!K12</f>
        <v>3019869</v>
      </c>
      <c r="C2053" s="2" t="s">
        <v>594</v>
      </c>
      <c r="D2053" s="2" t="str">
        <f t="shared" si="31"/>
        <v>Error?</v>
      </c>
    </row>
    <row r="2054" spans="1:4" x14ac:dyDescent="0.2">
      <c r="A2054" s="5">
        <v>1993</v>
      </c>
      <c r="B2054" s="138">
        <f>'Cap Outlay Deprec 26'!K13</f>
        <v>482833</v>
      </c>
      <c r="C2054" s="2" t="s">
        <v>594</v>
      </c>
      <c r="D2054" s="2" t="str">
        <f t="shared" si="31"/>
        <v>Error?</v>
      </c>
    </row>
    <row r="2055" spans="1:4" x14ac:dyDescent="0.2">
      <c r="A2055" s="5">
        <v>1994</v>
      </c>
      <c r="B2055" s="138">
        <f>'Cap Outlay Deprec 26'!K16</f>
        <v>19713789</v>
      </c>
      <c r="C2055" s="2" t="s">
        <v>594</v>
      </c>
      <c r="D2055" s="2" t="str">
        <f t="shared" si="31"/>
        <v>Error?</v>
      </c>
    </row>
    <row r="2056" spans="1:4" x14ac:dyDescent="0.2">
      <c r="A2056" s="5">
        <v>1995</v>
      </c>
      <c r="B2056" s="138">
        <f>'Cap Outlay Deprec 26'!L5</f>
        <v>294101</v>
      </c>
      <c r="C2056" s="2" t="s">
        <v>594</v>
      </c>
      <c r="D2056" s="2" t="str">
        <f t="shared" si="31"/>
        <v>Error?</v>
      </c>
    </row>
    <row r="2057" spans="1:4" x14ac:dyDescent="0.2">
      <c r="A2057" s="5">
        <v>1996</v>
      </c>
      <c r="B2057" s="138">
        <f>'Cap Outlay Deprec 26'!L8</f>
        <v>20999953</v>
      </c>
      <c r="C2057" s="2" t="s">
        <v>594</v>
      </c>
      <c r="D2057" s="2" t="str">
        <f t="shared" si="31"/>
        <v>Error?</v>
      </c>
    </row>
    <row r="2058" spans="1:4" x14ac:dyDescent="0.2">
      <c r="A2058" s="5">
        <v>1997</v>
      </c>
      <c r="B2058" s="138">
        <f>'Cap Outlay Deprec 26'!L10</f>
        <v>1361785</v>
      </c>
      <c r="C2058" s="2" t="s">
        <v>594</v>
      </c>
      <c r="D2058" s="2" t="str">
        <f t="shared" si="31"/>
        <v>Error?</v>
      </c>
    </row>
    <row r="2059" spans="1:4" x14ac:dyDescent="0.2">
      <c r="A2059" s="5">
        <v>1998</v>
      </c>
      <c r="B2059" s="138">
        <f>'Cap Outlay Deprec 26'!L12</f>
        <v>1668849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24324688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1162867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7125642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9947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5525200</v>
      </c>
      <c r="C2551" s="2" t="s">
        <v>594</v>
      </c>
      <c r="D2551" s="2" t="str">
        <f t="shared" si="38"/>
        <v>Error?</v>
      </c>
    </row>
    <row r="2552" spans="1:4" x14ac:dyDescent="0.2">
      <c r="A2552" s="10">
        <v>2491</v>
      </c>
      <c r="D2552" s="2" t="str">
        <f t="shared" si="38"/>
        <v>OK</v>
      </c>
    </row>
    <row r="2553" spans="1:4" x14ac:dyDescent="0.2">
      <c r="A2553" s="5">
        <v>2492</v>
      </c>
      <c r="B2553" s="138">
        <f>'Acct Summary 7-8'!C6</f>
        <v>16962281</v>
      </c>
      <c r="C2553" s="2" t="s">
        <v>594</v>
      </c>
      <c r="D2553" s="2" t="str">
        <f t="shared" si="38"/>
        <v>Error?</v>
      </c>
    </row>
    <row r="2554" spans="1:4" x14ac:dyDescent="0.2">
      <c r="A2554" s="5">
        <v>2493</v>
      </c>
      <c r="B2554" s="138">
        <f>'Acct Summary 7-8'!C7</f>
        <v>2660512</v>
      </c>
      <c r="C2554" s="2" t="s">
        <v>594</v>
      </c>
      <c r="D2554" s="2" t="str">
        <f t="shared" si="38"/>
        <v>Error?</v>
      </c>
    </row>
    <row r="2555" spans="1:4" x14ac:dyDescent="0.2">
      <c r="A2555" s="5">
        <v>2494</v>
      </c>
      <c r="B2555" s="138">
        <f>'Acct Summary 7-8'!C8</f>
        <v>25147993</v>
      </c>
      <c r="C2555" s="2" t="s">
        <v>594</v>
      </c>
      <c r="D2555" s="2" t="str">
        <f t="shared" si="38"/>
        <v>Error?</v>
      </c>
    </row>
    <row r="2556" spans="1:4" x14ac:dyDescent="0.2">
      <c r="A2556" s="5">
        <v>2495</v>
      </c>
      <c r="B2556" s="138">
        <f>'Acct Summary 7-8'!C12</f>
        <v>11151407</v>
      </c>
      <c r="C2556" s="2" t="s">
        <v>594</v>
      </c>
      <c r="D2556" s="2" t="str">
        <f t="shared" si="38"/>
        <v>Error?</v>
      </c>
    </row>
    <row r="2557" spans="1:4" x14ac:dyDescent="0.2">
      <c r="A2557" s="5">
        <v>2496</v>
      </c>
      <c r="B2557" s="138">
        <f>'Acct Summary 7-8'!C13</f>
        <v>5742152</v>
      </c>
      <c r="C2557" s="2" t="s">
        <v>594</v>
      </c>
      <c r="D2557" s="2" t="str">
        <f t="shared" si="38"/>
        <v>Error?</v>
      </c>
    </row>
    <row r="2558" spans="1:4" x14ac:dyDescent="0.2">
      <c r="A2558" s="5">
        <v>2497</v>
      </c>
      <c r="B2558" s="138">
        <f>'Acct Summary 7-8'!C14</f>
        <v>31090</v>
      </c>
      <c r="C2558" s="2" t="s">
        <v>594</v>
      </c>
      <c r="D2558" s="2" t="str">
        <f t="shared" si="38"/>
        <v>Error?</v>
      </c>
    </row>
    <row r="2559" spans="1:4" x14ac:dyDescent="0.2">
      <c r="A2559" s="5">
        <v>2498</v>
      </c>
      <c r="B2559" s="138">
        <f>'Acct Summary 7-8'!C15</f>
        <v>7125642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24050291</v>
      </c>
      <c r="C2561" s="2" t="s">
        <v>594</v>
      </c>
      <c r="D2561" s="2" t="str">
        <f t="shared" si="39"/>
        <v>Error?</v>
      </c>
    </row>
    <row r="2562" spans="1:4" x14ac:dyDescent="0.2">
      <c r="A2562" s="5">
        <v>2501</v>
      </c>
      <c r="B2562" s="138">
        <f>'Acct Summary 7-8'!C20</f>
        <v>1097702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1028883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1028883</v>
      </c>
      <c r="C2568" s="2" t="s">
        <v>594</v>
      </c>
      <c r="D2568" s="2" t="str">
        <f t="shared" si="39"/>
        <v>Error?</v>
      </c>
    </row>
    <row r="2569" spans="1:4" x14ac:dyDescent="0.2">
      <c r="A2569" s="5">
        <v>2508</v>
      </c>
      <c r="B2569" s="138">
        <f>'Acct Summary 7-8'!D13</f>
        <v>941790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941790</v>
      </c>
      <c r="C2573" s="2" t="s">
        <v>594</v>
      </c>
      <c r="D2573" s="2" t="str">
        <f t="shared" si="39"/>
        <v>Error?</v>
      </c>
    </row>
    <row r="2574" spans="1:4" x14ac:dyDescent="0.2">
      <c r="A2574" s="5">
        <v>2513</v>
      </c>
      <c r="B2574" s="138">
        <f>'Acct Summary 7-8'!D20</f>
        <v>87093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625950</v>
      </c>
      <c r="C2591" s="2" t="s">
        <v>594</v>
      </c>
      <c r="D2591" s="2" t="str">
        <f t="shared" si="39"/>
        <v>Error?</v>
      </c>
    </row>
    <row r="2592" spans="1:4" x14ac:dyDescent="0.2">
      <c r="A2592" s="10">
        <v>2531</v>
      </c>
      <c r="D2592" s="2" t="str">
        <f t="shared" si="39"/>
        <v>OK</v>
      </c>
    </row>
    <row r="2593" spans="1:4" x14ac:dyDescent="0.2">
      <c r="A2593" s="5">
        <v>2532</v>
      </c>
      <c r="B2593" s="138">
        <f>'Acct Summary 7-8'!F6</f>
        <v>1000832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1626782</v>
      </c>
      <c r="C2595" s="2" t="s">
        <v>594</v>
      </c>
      <c r="D2595" s="2" t="str">
        <f t="shared" si="39"/>
        <v>Error?</v>
      </c>
    </row>
    <row r="2596" spans="1:4" x14ac:dyDescent="0.2">
      <c r="A2596" s="5">
        <v>2535</v>
      </c>
      <c r="B2596" s="138">
        <f>'Acct Summary 7-8'!F13</f>
        <v>1386427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1386427</v>
      </c>
      <c r="C2600" s="2" t="s">
        <v>594</v>
      </c>
      <c r="D2600" s="2" t="str">
        <f t="shared" si="39"/>
        <v>Error?</v>
      </c>
    </row>
    <row r="2601" spans="1:4" x14ac:dyDescent="0.2">
      <c r="A2601" s="5">
        <v>2540</v>
      </c>
      <c r="B2601" s="138">
        <f>'Acct Summary 7-8'!F20</f>
        <v>240355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672003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672003</v>
      </c>
      <c r="C2606" s="2" t="s">
        <v>594</v>
      </c>
      <c r="D2606" s="2" t="str">
        <f t="shared" si="39"/>
        <v>Error?</v>
      </c>
    </row>
    <row r="2607" spans="1:4" x14ac:dyDescent="0.2">
      <c r="A2607" s="5">
        <v>2546</v>
      </c>
      <c r="B2607" s="138">
        <f>'Acct Summary 7-8'!G12</f>
        <v>256938</v>
      </c>
      <c r="C2607" s="2" t="s">
        <v>594</v>
      </c>
      <c r="D2607" s="2" t="str">
        <f t="shared" si="39"/>
        <v>Error?</v>
      </c>
    </row>
    <row r="2608" spans="1:4" x14ac:dyDescent="0.2">
      <c r="A2608" s="5">
        <v>2547</v>
      </c>
      <c r="B2608" s="138">
        <f>'Acct Summary 7-8'!G13</f>
        <v>523410</v>
      </c>
      <c r="C2608" s="2" t="s">
        <v>594</v>
      </c>
      <c r="D2608" s="2" t="str">
        <f t="shared" si="39"/>
        <v>Error?</v>
      </c>
    </row>
    <row r="2609" spans="1:4" x14ac:dyDescent="0.2">
      <c r="A2609" s="5">
        <v>2548</v>
      </c>
      <c r="B2609" s="138">
        <f>'Acct Summary 7-8'!G14</f>
        <v>2034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782382</v>
      </c>
      <c r="C2612" s="2" t="s">
        <v>594</v>
      </c>
      <c r="D2612" s="2" t="str">
        <f t="shared" si="39"/>
        <v>Error?</v>
      </c>
    </row>
    <row r="2613" spans="1:4" x14ac:dyDescent="0.2">
      <c r="A2613" s="5">
        <v>2552</v>
      </c>
      <c r="B2613" s="138">
        <f>'Acct Summary 7-8'!G20</f>
        <v>-110379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493412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493412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737359</v>
      </c>
      <c r="C2634" s="2" t="s">
        <v>594</v>
      </c>
      <c r="D2634" s="2" t="str">
        <f t="shared" si="40"/>
        <v>Error?</v>
      </c>
    </row>
    <row r="2635" spans="1:4" x14ac:dyDescent="0.2">
      <c r="A2635" s="5">
        <v>2574</v>
      </c>
      <c r="B2635" s="138">
        <f>'Acct Summary 7-8'!E17</f>
        <v>737359</v>
      </c>
      <c r="C2635" s="2" t="s">
        <v>594</v>
      </c>
      <c r="D2635" s="2" t="str">
        <f t="shared" si="40"/>
        <v>Error?</v>
      </c>
    </row>
    <row r="2636" spans="1:4" x14ac:dyDescent="0.2">
      <c r="A2636" s="5">
        <v>2575</v>
      </c>
      <c r="B2636" s="138">
        <f>'Acct Summary 7-8'!E20</f>
        <v>-243947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1097211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1097211</v>
      </c>
      <c r="C2658" s="2" t="s">
        <v>594</v>
      </c>
      <c r="D2658" s="2" t="str">
        <f t="shared" si="40"/>
        <v>Error?</v>
      </c>
    </row>
    <row r="2659" spans="1:4" x14ac:dyDescent="0.2">
      <c r="A2659" s="5">
        <v>2598</v>
      </c>
      <c r="B2659" s="138">
        <f>'Acct Summary 7-8'!H13</f>
        <v>3361417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3361417</v>
      </c>
      <c r="C2661" s="2" t="s">
        <v>594</v>
      </c>
      <c r="D2661" s="2" t="str">
        <f t="shared" si="40"/>
        <v>Error?</v>
      </c>
    </row>
    <row r="2662" spans="1:4" x14ac:dyDescent="0.2">
      <c r="A2662" s="5">
        <v>2601</v>
      </c>
      <c r="B2662" s="138">
        <f>'Acct Summary 7-8'!H20</f>
        <v>-2264206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5962775</v>
      </c>
      <c r="C2789" s="2" t="s">
        <v>594</v>
      </c>
      <c r="D2789" s="2" t="str">
        <f t="shared" si="42"/>
        <v>Error?</v>
      </c>
    </row>
    <row r="2790" spans="1:4" x14ac:dyDescent="0.2">
      <c r="A2790" s="5">
        <v>2729</v>
      </c>
      <c r="B2790" s="138">
        <f>'Expenditures 15-22'!E102</f>
        <v>5962775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948503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948603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272136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948603</v>
      </c>
      <c r="D2912" s="2" t="str">
        <f t="shared" si="44"/>
        <v>Error?</v>
      </c>
    </row>
    <row r="2913" spans="1:4" x14ac:dyDescent="0.2">
      <c r="A2913" s="5">
        <v>2852</v>
      </c>
      <c r="B2913" s="138">
        <f>'Assets-Liab 5-6'!I41</f>
        <v>948603</v>
      </c>
      <c r="C2913" s="2" t="s">
        <v>594</v>
      </c>
      <c r="D2913" s="2" t="str">
        <f t="shared" si="44"/>
        <v>Error?</v>
      </c>
    </row>
    <row r="2914" spans="1:4" x14ac:dyDescent="0.2">
      <c r="A2914" s="5">
        <v>2853</v>
      </c>
      <c r="B2914" s="138">
        <f>'Assets-Liab 5-6'!L33</f>
        <v>272136</v>
      </c>
      <c r="D2914" s="2" t="str">
        <f t="shared" si="44"/>
        <v>Error?</v>
      </c>
    </row>
    <row r="2915" spans="1:4" x14ac:dyDescent="0.2">
      <c r="A2915" s="10">
        <v>2854</v>
      </c>
      <c r="D2915" s="2" t="str">
        <f t="shared" si="44"/>
        <v>OK</v>
      </c>
    </row>
    <row r="2916" spans="1:4" x14ac:dyDescent="0.2">
      <c r="A2916" s="5">
        <v>2855</v>
      </c>
      <c r="B2916" s="138">
        <f>'Assets-Liab 5-6'!L34</f>
        <v>272136</v>
      </c>
      <c r="C2916" s="2" t="s">
        <v>594</v>
      </c>
      <c r="D2916" s="2" t="str">
        <f t="shared" si="44"/>
        <v>Error?</v>
      </c>
    </row>
    <row r="2917" spans="1:4" x14ac:dyDescent="0.2">
      <c r="A2917" s="5">
        <v>2856</v>
      </c>
      <c r="B2917" s="138">
        <f>'Assets-Liab 5-6'!L41</f>
        <v>272136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5962775</v>
      </c>
      <c r="D2954" s="2" t="str">
        <f t="shared" si="45"/>
        <v>Error?</v>
      </c>
    </row>
    <row r="2955" spans="1:4" x14ac:dyDescent="0.2">
      <c r="A2955" s="5">
        <v>2894</v>
      </c>
      <c r="B2955" s="138">
        <f>'Expenditures 15-22'!H78</f>
        <v>1812</v>
      </c>
      <c r="D2955" s="2" t="str">
        <f t="shared" si="45"/>
        <v>Error?</v>
      </c>
    </row>
    <row r="2956" spans="1:4" x14ac:dyDescent="0.2">
      <c r="A2956" s="5">
        <v>2895</v>
      </c>
      <c r="B2956" s="138">
        <f>'Expenditures 15-22'!H79</f>
        <v>1161055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1812</v>
      </c>
      <c r="C2973" s="2" t="s">
        <v>594</v>
      </c>
      <c r="D2973" s="2" t="str">
        <f t="shared" si="45"/>
        <v>Error?</v>
      </c>
    </row>
    <row r="2974" spans="1:4" x14ac:dyDescent="0.2">
      <c r="A2974" s="5">
        <v>2913</v>
      </c>
      <c r="B2974" s="138">
        <f>'Expenditures 15-22'!K79</f>
        <v>1161055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5962775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363969</v>
      </c>
      <c r="D3055" s="2" t="str">
        <f t="shared" si="46"/>
        <v>Error?</v>
      </c>
    </row>
    <row r="3056" spans="1:4" x14ac:dyDescent="0.2">
      <c r="A3056" s="5">
        <v>2995</v>
      </c>
      <c r="B3056" s="138">
        <f>'Expenditures 15-22'!D10</f>
        <v>169232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533201</v>
      </c>
      <c r="C3062" s="2" t="s">
        <v>594</v>
      </c>
      <c r="D3062" s="2" t="str">
        <f t="shared" si="46"/>
        <v>Error?</v>
      </c>
    </row>
    <row r="3063" spans="1:4" x14ac:dyDescent="0.2">
      <c r="A3063" s="10">
        <v>3002</v>
      </c>
      <c r="D3063" s="2" t="str">
        <f t="shared" si="46"/>
        <v>OK</v>
      </c>
    </row>
    <row r="3064" spans="1:4" x14ac:dyDescent="0.2">
      <c r="A3064" s="5">
        <v>3003</v>
      </c>
      <c r="B3064" s="138">
        <f>'Expenditures 15-22'!D219</f>
        <v>74161</v>
      </c>
      <c r="D3064" s="2" t="str">
        <f t="shared" si="46"/>
        <v>Error?</v>
      </c>
    </row>
    <row r="3065" spans="1:4" x14ac:dyDescent="0.2">
      <c r="A3065" s="5">
        <v>3004</v>
      </c>
      <c r="B3065" s="138">
        <f>'Expenditures 15-22'!K219</f>
        <v>74161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85179</v>
      </c>
      <c r="C3225" s="2" t="s">
        <v>594</v>
      </c>
      <c r="D3225" s="2" t="str">
        <f t="shared" si="49"/>
        <v>Error?</v>
      </c>
    </row>
    <row r="3226" spans="1:4" x14ac:dyDescent="0.2">
      <c r="A3226" s="5">
        <v>3165</v>
      </c>
      <c r="B3226" s="138">
        <f>'Acct Summary 7-8'!I8</f>
        <v>85179</v>
      </c>
      <c r="C3226" s="2" t="s">
        <v>594</v>
      </c>
      <c r="D3226" s="2" t="str">
        <f t="shared" si="49"/>
        <v>Error?</v>
      </c>
    </row>
    <row r="3227" spans="1:4" x14ac:dyDescent="0.2">
      <c r="A3227" s="5">
        <v>3166</v>
      </c>
      <c r="B3227" s="138">
        <f>'Acct Summary 7-8'!I20</f>
        <v>85179</v>
      </c>
      <c r="C3227" s="2" t="s">
        <v>594</v>
      </c>
      <c r="D3227" s="2" t="str">
        <f t="shared" si="49"/>
        <v>Error?</v>
      </c>
    </row>
    <row r="3228" spans="1:4" x14ac:dyDescent="0.2">
      <c r="A3228" s="5">
        <v>3167</v>
      </c>
      <c r="B3228" s="138">
        <f>'Acct Summary 7-8'!C43</f>
        <v>100000</v>
      </c>
      <c r="D3228" s="2" t="str">
        <f t="shared" si="49"/>
        <v>Error?</v>
      </c>
    </row>
    <row r="3229" spans="1:4" x14ac:dyDescent="0.2">
      <c r="A3229" s="5">
        <v>3168</v>
      </c>
      <c r="B3229" s="138">
        <f>'Acct Summary 7-8'!C44</f>
        <v>109947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109947</v>
      </c>
      <c r="C3232" s="2" t="s">
        <v>594</v>
      </c>
      <c r="D3232" s="2" t="str">
        <f t="shared" si="49"/>
        <v>Error?</v>
      </c>
    </row>
    <row r="3233" spans="1:4" x14ac:dyDescent="0.2">
      <c r="A3233" s="5">
        <v>3172</v>
      </c>
      <c r="B3233" s="138">
        <f>'Acct Summary 7-8'!C78</f>
        <v>1207649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98113</v>
      </c>
      <c r="C3237" s="2" t="s">
        <v>594</v>
      </c>
      <c r="D3237" s="2" t="str">
        <f t="shared" si="49"/>
        <v>Error?</v>
      </c>
    </row>
    <row r="3238" spans="1:4" x14ac:dyDescent="0.2">
      <c r="A3238" s="5">
        <v>3177</v>
      </c>
      <c r="B3238" s="138">
        <f>'Acct Summary 7-8'!D77</f>
        <v>-98113</v>
      </c>
      <c r="C3238" s="2" t="s">
        <v>594</v>
      </c>
      <c r="D3238" s="2" t="str">
        <f t="shared" si="49"/>
        <v>Error?</v>
      </c>
    </row>
    <row r="3239" spans="1:4" x14ac:dyDescent="0.2">
      <c r="A3239" s="5">
        <v>3178</v>
      </c>
      <c r="B3239" s="138">
        <f>'Acct Summary 7-8'!D78</f>
        <v>-11020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240355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-110379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551588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551588</v>
      </c>
      <c r="C3277" s="2" t="s">
        <v>594</v>
      </c>
      <c r="D3277" s="2" t="str">
        <f t="shared" si="50"/>
        <v>Error?</v>
      </c>
    </row>
    <row r="3278" spans="1:4" x14ac:dyDescent="0.2">
      <c r="A3278" s="5">
        <v>3217</v>
      </c>
      <c r="B3278" s="138">
        <f>'Acct Summary 7-8'!E78</f>
        <v>307641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5500282</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127125</v>
      </c>
      <c r="C3298" s="2" t="s">
        <v>594</v>
      </c>
      <c r="D3298" s="2" t="str">
        <f t="shared" si="50"/>
        <v>Error?</v>
      </c>
    </row>
    <row r="3299" spans="1:4" x14ac:dyDescent="0.2">
      <c r="A3299" s="5">
        <v>3238</v>
      </c>
      <c r="B3299" s="138">
        <f>'Acct Summary 7-8'!H77</f>
        <v>5373157</v>
      </c>
      <c r="C3299" s="2" t="s">
        <v>594</v>
      </c>
      <c r="D3299" s="2" t="str">
        <f t="shared" si="50"/>
        <v>Error?</v>
      </c>
    </row>
    <row r="3300" spans="1:4" x14ac:dyDescent="0.2">
      <c r="A3300" s="5">
        <v>3239</v>
      </c>
      <c r="B3300" s="138">
        <f>'Acct Summary 7-8'!H78</f>
        <v>3108951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9947</v>
      </c>
      <c r="C3318" s="2" t="s">
        <v>594</v>
      </c>
      <c r="D3318" s="2" t="str">
        <f t="shared" si="50"/>
        <v>Error?</v>
      </c>
    </row>
    <row r="3319" spans="1:4" x14ac:dyDescent="0.2">
      <c r="A3319" s="5">
        <v>3258</v>
      </c>
      <c r="B3319" s="138">
        <f>'Acct Summary 7-8'!I77</f>
        <v>-9947</v>
      </c>
      <c r="C3319" s="2" t="s">
        <v>594</v>
      </c>
      <c r="D3319" s="2" t="str">
        <f t="shared" si="50"/>
        <v>Error?</v>
      </c>
    </row>
    <row r="3320" spans="1:4" x14ac:dyDescent="0.2">
      <c r="A3320" s="5">
        <v>3259</v>
      </c>
      <c r="B3320" s="138">
        <f>'Acct Summary 7-8'!I78</f>
        <v>75232</v>
      </c>
      <c r="C3320" s="2" t="s">
        <v>594</v>
      </c>
      <c r="D3320" s="2" t="str">
        <f t="shared" si="50"/>
        <v>Error?</v>
      </c>
    </row>
    <row r="3321" spans="1:4" x14ac:dyDescent="0.2">
      <c r="A3321" s="5">
        <v>3260</v>
      </c>
      <c r="B3321" s="138">
        <f>'Acct Summary 7-8'!I79</f>
        <v>873371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948603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1753978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540578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17171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1566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2313687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80318</v>
      </c>
      <c r="D3387" s="2" t="str">
        <f t="shared" si="51"/>
        <v>Error?</v>
      </c>
    </row>
    <row r="3388" spans="1:4" x14ac:dyDescent="0.2">
      <c r="A3388" s="5">
        <v>3327</v>
      </c>
      <c r="B3388" s="138">
        <f>'Expenditures 15-22'!D217</f>
        <v>82170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80318</v>
      </c>
      <c r="C3390" s="2" t="s">
        <v>594</v>
      </c>
      <c r="D3390" s="2" t="str">
        <f t="shared" si="51"/>
        <v>Error?</v>
      </c>
    </row>
    <row r="3391" spans="1:4" x14ac:dyDescent="0.2">
      <c r="A3391" s="5">
        <v>3330</v>
      </c>
      <c r="B3391" s="138">
        <f>'Expenditures 15-22'!K217</f>
        <v>82170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329567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5000</v>
      </c>
      <c r="D3417" s="2" t="str">
        <f t="shared" si="52"/>
        <v>Error?</v>
      </c>
    </row>
    <row r="3418" spans="1:4" x14ac:dyDescent="0.2">
      <c r="A3418" s="10">
        <v>3357</v>
      </c>
      <c r="D3418" s="2" t="str">
        <f t="shared" si="52"/>
        <v>OK</v>
      </c>
    </row>
    <row r="3419" spans="1:4" x14ac:dyDescent="0.2">
      <c r="A3419" s="5">
        <v>3358</v>
      </c>
      <c r="B3419" s="138">
        <f>'Assets-Liab 5-6'!F4</f>
        <v>9982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v>
      </c>
      <c r="D3425" s="2" t="str">
        <f t="shared" si="52"/>
        <v>Error?</v>
      </c>
    </row>
    <row r="3426" spans="1:4" x14ac:dyDescent="0.2">
      <c r="A3426" s="10">
        <v>3365</v>
      </c>
      <c r="D3426" s="2" t="str">
        <f t="shared" si="52"/>
        <v>OK</v>
      </c>
    </row>
    <row r="3427" spans="1:4" x14ac:dyDescent="0.2">
      <c r="A3427" s="5">
        <v>3366</v>
      </c>
      <c r="B3427" s="138">
        <f>'Assets-Liab 5-6'!I4</f>
        <v>100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272136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325446</v>
      </c>
      <c r="C3446" s="2" t="s">
        <v>594</v>
      </c>
      <c r="D3446" s="2" t="str">
        <f t="shared" si="52"/>
        <v>Error?</v>
      </c>
    </row>
    <row r="3447" spans="1:4" x14ac:dyDescent="0.2">
      <c r="A3447" s="5">
        <v>3386</v>
      </c>
      <c r="B3447" s="138">
        <f>'Tax Sched 23'!D16</f>
        <v>325446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328485</v>
      </c>
      <c r="C3449" s="2" t="s">
        <v>594</v>
      </c>
      <c r="D3449" s="2" t="str">
        <f t="shared" si="52"/>
        <v>Error?</v>
      </c>
    </row>
    <row r="3450" spans="1:4" x14ac:dyDescent="0.2">
      <c r="A3450" s="5">
        <v>3389</v>
      </c>
      <c r="B3450" s="138">
        <f>'Tax Sched 23'!E16</f>
        <v>328485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186552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186652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186652</v>
      </c>
      <c r="D3567" s="2" t="str">
        <f t="shared" si="54"/>
        <v>Error?</v>
      </c>
    </row>
    <row r="3568" spans="1:4" x14ac:dyDescent="0.2">
      <c r="A3568" s="5">
        <v>3507</v>
      </c>
      <c r="B3568" s="138">
        <f>'Assets-Liab 5-6'!K41</f>
        <v>186652</v>
      </c>
      <c r="C3568" s="2" t="s">
        <v>594</v>
      </c>
      <c r="D3568" s="2" t="str">
        <f t="shared" si="54"/>
        <v>Error?</v>
      </c>
    </row>
    <row r="3569" spans="1:4" x14ac:dyDescent="0.2">
      <c r="A3569" s="5">
        <v>3508</v>
      </c>
      <c r="B3569" s="138">
        <f>'Acct Summary 7-8'!K4</f>
        <v>82513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82513</v>
      </c>
      <c r="C3571" s="2" t="s">
        <v>594</v>
      </c>
      <c r="D3571" s="2" t="str">
        <f t="shared" si="54"/>
        <v>Error?</v>
      </c>
    </row>
    <row r="3572" spans="1:4" x14ac:dyDescent="0.2">
      <c r="A3572" s="5">
        <v>3511</v>
      </c>
      <c r="B3572" s="138">
        <f>'Acct Summary 7-8'!K13</f>
        <v>84508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84508</v>
      </c>
      <c r="C3575" s="2" t="s">
        <v>594</v>
      </c>
      <c r="D3575" s="2" t="str">
        <f t="shared" si="54"/>
        <v>Error?</v>
      </c>
    </row>
    <row r="3576" spans="1:4" x14ac:dyDescent="0.2">
      <c r="A3576" s="5">
        <v>3515</v>
      </c>
      <c r="B3576" s="138">
        <f>'Acct Summary 7-8'!K20</f>
        <v>-1995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-1995</v>
      </c>
      <c r="C3588" s="2" t="s">
        <v>594</v>
      </c>
      <c r="D3588" s="2" t="str">
        <f t="shared" si="55"/>
        <v>Error?</v>
      </c>
    </row>
    <row r="3589" spans="1:4" x14ac:dyDescent="0.2">
      <c r="A3589" s="5">
        <v>3528</v>
      </c>
      <c r="B3589" s="138">
        <f>'Acct Summary 7-8'!K79</f>
        <v>188647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186652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84508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84508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84508</v>
      </c>
      <c r="C3649" s="2" t="s">
        <v>594</v>
      </c>
      <c r="D3649" s="2" t="str">
        <f t="shared" si="56"/>
        <v>Error?</v>
      </c>
    </row>
    <row r="3650" spans="1:4" x14ac:dyDescent="0.2">
      <c r="A3650" s="5">
        <v>3589</v>
      </c>
      <c r="B3650" s="138">
        <f>'Expenditures 15-22'!G367</f>
        <v>84508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84508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84508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84508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84508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81859</v>
      </c>
      <c r="C3725" s="2" t="s">
        <v>594</v>
      </c>
      <c r="D3725" s="2" t="str">
        <f t="shared" si="57"/>
        <v>Error?</v>
      </c>
    </row>
    <row r="3726" spans="1:4" x14ac:dyDescent="0.2">
      <c r="A3726" s="5">
        <v>3665</v>
      </c>
      <c r="B3726" s="138">
        <f>'Tax Sched 23'!D13</f>
        <v>81859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83507</v>
      </c>
      <c r="C3728" s="2" t="s">
        <v>594</v>
      </c>
      <c r="D3728" s="2" t="str">
        <f t="shared" si="57"/>
        <v>Error?</v>
      </c>
    </row>
    <row r="3729" spans="1:4" x14ac:dyDescent="0.2">
      <c r="A3729" s="5">
        <v>3668</v>
      </c>
      <c r="B3729" s="138">
        <f>'Tax Sched 23'!E13</f>
        <v>83507</v>
      </c>
      <c r="D3729" s="2" t="str">
        <f t="shared" si="57"/>
        <v>Error?</v>
      </c>
    </row>
    <row r="3730" spans="1:4" x14ac:dyDescent="0.2">
      <c r="A3730" s="5">
        <v>3669</v>
      </c>
      <c r="B3730" s="138">
        <f>'ICR Computation 30'!E10</f>
        <v>356899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1014317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26162310</v>
      </c>
      <c r="C4122" s="2" t="s">
        <v>594</v>
      </c>
      <c r="D4122" s="2" t="str">
        <f t="shared" si="63"/>
        <v>Error?</v>
      </c>
    </row>
    <row r="4123" spans="1:4" x14ac:dyDescent="0.2">
      <c r="A4123" s="5">
        <v>4062</v>
      </c>
      <c r="B4123" s="138">
        <f>'Acct Summary 7-8'!D10</f>
        <v>1028883</v>
      </c>
      <c r="C4123" s="2" t="s">
        <v>594</v>
      </c>
      <c r="D4123" s="2" t="str">
        <f t="shared" si="63"/>
        <v>Error?</v>
      </c>
    </row>
    <row r="4124" spans="1:4" x14ac:dyDescent="0.2">
      <c r="A4124" s="5">
        <v>4063</v>
      </c>
      <c r="B4124" s="138">
        <f>'Acct Summary 7-8'!E10</f>
        <v>493412</v>
      </c>
      <c r="C4124" s="2" t="s">
        <v>594</v>
      </c>
      <c r="D4124" s="2" t="str">
        <f t="shared" si="63"/>
        <v>Error?</v>
      </c>
    </row>
    <row r="4125" spans="1:4" x14ac:dyDescent="0.2">
      <c r="A4125" s="5">
        <v>4064</v>
      </c>
      <c r="B4125" s="138">
        <f>'Acct Summary 7-8'!F10</f>
        <v>1626782</v>
      </c>
      <c r="C4125" s="2" t="s">
        <v>594</v>
      </c>
      <c r="D4125" s="2" t="str">
        <f t="shared" si="63"/>
        <v>Error?</v>
      </c>
    </row>
    <row r="4126" spans="1:4" x14ac:dyDescent="0.2">
      <c r="A4126" s="5">
        <v>4065</v>
      </c>
      <c r="B4126" s="138">
        <f>'Acct Summary 7-8'!G10</f>
        <v>672003</v>
      </c>
      <c r="C4126" s="2" t="s">
        <v>594</v>
      </c>
      <c r="D4126" s="2" t="str">
        <f t="shared" si="63"/>
        <v>Error?</v>
      </c>
    </row>
    <row r="4127" spans="1:4" x14ac:dyDescent="0.2">
      <c r="A4127" s="5">
        <v>4066</v>
      </c>
      <c r="B4127" s="138">
        <f>'Acct Summary 7-8'!H10</f>
        <v>1097211</v>
      </c>
      <c r="C4127" s="2" t="s">
        <v>594</v>
      </c>
      <c r="D4127" s="2" t="str">
        <f t="shared" si="63"/>
        <v>Error?</v>
      </c>
    </row>
    <row r="4128" spans="1:4" x14ac:dyDescent="0.2">
      <c r="A4128" s="5">
        <v>4067</v>
      </c>
      <c r="B4128" s="138">
        <f>'Acct Summary 7-8'!I10</f>
        <v>85179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82513</v>
      </c>
      <c r="C4130" s="2" t="s">
        <v>594</v>
      </c>
      <c r="D4130" s="2" t="str">
        <f t="shared" si="63"/>
        <v>Error?</v>
      </c>
    </row>
    <row r="4131" spans="1:4" x14ac:dyDescent="0.2">
      <c r="A4131" s="5">
        <v>4070</v>
      </c>
      <c r="B4131" s="138">
        <f>'Acct Summary 7-8'!C18</f>
        <v>1014317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25064608</v>
      </c>
      <c r="C4136" s="2" t="s">
        <v>594</v>
      </c>
      <c r="D4136" s="2" t="str">
        <f t="shared" si="63"/>
        <v>Error?</v>
      </c>
    </row>
    <row r="4137" spans="1:4" x14ac:dyDescent="0.2">
      <c r="A4137" s="5">
        <v>4076</v>
      </c>
      <c r="B4137" s="138">
        <f>'Acct Summary 7-8'!D19</f>
        <v>941790</v>
      </c>
      <c r="C4137" s="2" t="s">
        <v>594</v>
      </c>
      <c r="D4137" s="2" t="str">
        <f t="shared" si="63"/>
        <v>Error?</v>
      </c>
    </row>
    <row r="4138" spans="1:4" x14ac:dyDescent="0.2">
      <c r="A4138" s="5">
        <v>4077</v>
      </c>
      <c r="B4138" s="138">
        <f>'Acct Summary 7-8'!E19</f>
        <v>737359</v>
      </c>
      <c r="C4138" s="2" t="s">
        <v>594</v>
      </c>
      <c r="D4138" s="2" t="str">
        <f t="shared" si="63"/>
        <v>Error?</v>
      </c>
    </row>
    <row r="4139" spans="1:4" x14ac:dyDescent="0.2">
      <c r="A4139" s="5">
        <v>4078</v>
      </c>
      <c r="B4139" s="138">
        <f>'Acct Summary 7-8'!F19</f>
        <v>1386427</v>
      </c>
      <c r="C4139" s="2" t="s">
        <v>594</v>
      </c>
      <c r="D4139" s="2" t="str">
        <f t="shared" si="63"/>
        <v>Error?</v>
      </c>
    </row>
    <row r="4140" spans="1:4" x14ac:dyDescent="0.2">
      <c r="A4140" s="5">
        <v>4079</v>
      </c>
      <c r="B4140" s="138">
        <f>'Acct Summary 7-8'!G19</f>
        <v>782382</v>
      </c>
      <c r="C4140" s="2" t="s">
        <v>594</v>
      </c>
      <c r="D4140" s="2" t="str">
        <f t="shared" si="63"/>
        <v>Error?</v>
      </c>
    </row>
    <row r="4141" spans="1:4" x14ac:dyDescent="0.2">
      <c r="A4141" s="5">
        <v>4080</v>
      </c>
      <c r="B4141" s="138">
        <f>'Acct Summary 7-8'!H19</f>
        <v>3361417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84508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7360000</v>
      </c>
      <c r="C4171" s="2" t="s">
        <v>594</v>
      </c>
      <c r="D4171" s="2" t="str">
        <f t="shared" si="64"/>
        <v>Error?</v>
      </c>
    </row>
    <row r="4172" spans="1:4" x14ac:dyDescent="0.2">
      <c r="A4172" s="5">
        <v>4111</v>
      </c>
      <c r="B4172" s="138">
        <f>'Short-Term Long-Term Debt 24'!J49</f>
        <v>6998664</v>
      </c>
      <c r="C4172" s="2" t="s">
        <v>594</v>
      </c>
      <c r="D4172" s="2" t="str">
        <f t="shared" si="64"/>
        <v>Error?</v>
      </c>
    </row>
    <row r="4173" spans="1:4" x14ac:dyDescent="0.2">
      <c r="A4173" s="5">
        <v>4112</v>
      </c>
      <c r="B4173" s="138">
        <f>'Short-Term Long-Term Debt 24'!H49</f>
        <v>390000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2902.7799999999997</v>
      </c>
      <c r="C4265" s="2" t="s">
        <v>594</v>
      </c>
      <c r="D4265" s="2" t="str">
        <f t="shared" si="65"/>
        <v>Error?</v>
      </c>
      <c r="E4265" s="128"/>
    </row>
    <row r="4266" spans="1:5" x14ac:dyDescent="0.2">
      <c r="A4266" s="12">
        <v>4205</v>
      </c>
      <c r="B4266" s="138">
        <f>('FP Info 3'!F10)*100000</f>
        <v>444.52</v>
      </c>
      <c r="C4266" s="2" t="s">
        <v>594</v>
      </c>
      <c r="D4266" s="2" t="str">
        <f t="shared" si="65"/>
        <v>Error?</v>
      </c>
      <c r="E4266" s="128"/>
    </row>
    <row r="4267" spans="1:5" x14ac:dyDescent="0.2">
      <c r="A4267" s="12">
        <v>4206</v>
      </c>
      <c r="B4267" s="138">
        <f>('FP Info 3'!H10)*100000</f>
        <v>221.95000000000002</v>
      </c>
      <c r="C4267" s="2" t="s">
        <v>594</v>
      </c>
      <c r="D4267" s="2" t="str">
        <f t="shared" si="65"/>
        <v>Error?</v>
      </c>
      <c r="E4267" s="128"/>
    </row>
    <row r="4268" spans="1:5" x14ac:dyDescent="0.2">
      <c r="A4268" s="12">
        <v>4207</v>
      </c>
      <c r="B4268" s="138">
        <f>('FP Info 3'!J10)*100000</f>
        <v>3569</v>
      </c>
      <c r="C4268" s="2" t="s">
        <v>594</v>
      </c>
      <c r="D4268" s="2" t="str">
        <f t="shared" si="65"/>
        <v>Error?</v>
      </c>
    </row>
    <row r="4269" spans="1:5" x14ac:dyDescent="0.2">
      <c r="A4269" s="12">
        <v>4208</v>
      </c>
      <c r="B4269" s="138">
        <f>'FP Info 3'!J16</f>
        <v>5538718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68764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68630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12758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130814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47.72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2770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89535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159273209</v>
      </c>
      <c r="D4995" s="2" t="str">
        <f t="shared" si="77"/>
        <v>Error?</v>
      </c>
    </row>
    <row r="4996" spans="1:4" x14ac:dyDescent="0.2">
      <c r="A4996" s="12">
        <v>4935</v>
      </c>
      <c r="B4996" s="138">
        <f>'FP Info 3'!H31</f>
        <v>21979702.842</v>
      </c>
      <c r="D4996" s="2" t="str">
        <f t="shared" si="77"/>
        <v>Error?</v>
      </c>
    </row>
    <row r="4997" spans="1:4" x14ac:dyDescent="0.2">
      <c r="A4997" s="12">
        <v>4936</v>
      </c>
      <c r="B4997" s="138">
        <f>'FP Info 3'!H37</f>
        <v>7360000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4379181</v>
      </c>
      <c r="D5061" s="2" t="str">
        <f t="shared" si="78"/>
        <v>Error?</v>
      </c>
    </row>
    <row r="5062" spans="1:4" x14ac:dyDescent="0.2">
      <c r="A5062" s="10">
        <v>5001</v>
      </c>
      <c r="D5062" s="2" t="str">
        <f t="shared" si="78"/>
        <v>OK</v>
      </c>
    </row>
    <row r="5063" spans="1:4" x14ac:dyDescent="0.2">
      <c r="A5063" s="5">
        <v>5002</v>
      </c>
      <c r="B5063" s="138">
        <f>'Revenues 9-14'!C7</f>
        <v>84332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4463513</v>
      </c>
      <c r="C5066" s="2" t="s">
        <v>594</v>
      </c>
      <c r="D5066" s="2" t="str">
        <f t="shared" si="78"/>
        <v>Error?</v>
      </c>
    </row>
    <row r="5067" spans="1:4" x14ac:dyDescent="0.2">
      <c r="A5067" s="5">
        <v>5006</v>
      </c>
      <c r="B5067" s="138">
        <f>'Revenues 9-14'!C14</f>
        <v>29154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47125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76279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41087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41087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128331</v>
      </c>
      <c r="D5095" s="2" t="str">
        <f t="shared" si="78"/>
        <v>Error?</v>
      </c>
    </row>
    <row r="5096" spans="1:4" x14ac:dyDescent="0.2">
      <c r="A5096" s="5">
        <v>5035</v>
      </c>
      <c r="B5096" s="138">
        <f>'Revenues 9-14'!C75</f>
        <v>128331</v>
      </c>
      <c r="C5096" s="2" t="s">
        <v>594</v>
      </c>
      <c r="D5096" s="2" t="str">
        <f t="shared" si="78"/>
        <v>Error?</v>
      </c>
    </row>
    <row r="5097" spans="1:4" x14ac:dyDescent="0.2">
      <c r="A5097" s="5">
        <v>5036</v>
      </c>
      <c r="B5097" s="138">
        <f>'Revenues 9-14'!C77</f>
        <v>95929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7832</v>
      </c>
      <c r="D5101" s="2" t="str">
        <f t="shared" si="78"/>
        <v>Error?</v>
      </c>
    </row>
    <row r="5102" spans="1:4" x14ac:dyDescent="0.2">
      <c r="A5102" s="5">
        <v>5041</v>
      </c>
      <c r="B5102" s="138">
        <f>'Revenues 9-14'!C82</f>
        <v>107228</v>
      </c>
      <c r="C5102" s="2" t="s">
        <v>594</v>
      </c>
      <c r="D5102" s="2" t="str">
        <f t="shared" si="78"/>
        <v>Error?</v>
      </c>
    </row>
    <row r="5103" spans="1:4" x14ac:dyDescent="0.2">
      <c r="A5103" s="5">
        <v>5042</v>
      </c>
      <c r="B5103" s="138">
        <f>'Revenues 9-14'!C84</f>
        <v>43489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43489</v>
      </c>
      <c r="C5112" s="2" t="s">
        <v>594</v>
      </c>
      <c r="D5112" s="2" t="str">
        <f t="shared" si="78"/>
        <v>Error?</v>
      </c>
    </row>
    <row r="5113" spans="1:4" x14ac:dyDescent="0.2">
      <c r="A5113" s="5">
        <v>5052</v>
      </c>
      <c r="B5113" s="138">
        <f>'Revenues 9-14'!C95</f>
        <v>148246</v>
      </c>
      <c r="D5113" s="2" t="str">
        <f t="shared" si="78"/>
        <v>Error?</v>
      </c>
    </row>
    <row r="5114" spans="1:4" x14ac:dyDescent="0.2">
      <c r="A5114" s="5">
        <v>5053</v>
      </c>
      <c r="B5114" s="138">
        <f>'Revenues 9-14'!C96</f>
        <v>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505921</v>
      </c>
      <c r="D5119" s="2" t="str">
        <f t="shared" ref="D5119:D5182" si="79">IF(ISBLANK(B5119),"OK",IF(A5119-B5119=0,"OK","Error?"))</f>
        <v>Error?</v>
      </c>
    </row>
    <row r="5120" spans="1:4" x14ac:dyDescent="0.2">
      <c r="A5120" s="5">
        <v>5059</v>
      </c>
      <c r="B5120" s="138">
        <f>'Revenues 9-14'!C108</f>
        <v>665273</v>
      </c>
      <c r="C5120" s="2" t="s">
        <v>594</v>
      </c>
      <c r="D5120" s="2" t="str">
        <f t="shared" si="79"/>
        <v>Error?</v>
      </c>
    </row>
    <row r="5121" spans="1:4" x14ac:dyDescent="0.2">
      <c r="A5121" s="5">
        <v>5060</v>
      </c>
      <c r="B5121" s="138">
        <f>'Revenues 9-14'!C109</f>
        <v>5525200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10420371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10420371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144955</v>
      </c>
      <c r="D5134" s="2" t="str">
        <f t="shared" si="79"/>
        <v>Error?</v>
      </c>
    </row>
    <row r="5135" spans="1:4" x14ac:dyDescent="0.2">
      <c r="A5135" s="5">
        <v>5074</v>
      </c>
      <c r="B5135" s="138">
        <f>'Revenues 9-14'!C126</f>
        <v>247427</v>
      </c>
      <c r="D5135" s="2" t="str">
        <f t="shared" si="79"/>
        <v>Error?</v>
      </c>
    </row>
    <row r="5136" spans="1:4" x14ac:dyDescent="0.2">
      <c r="A5136" s="10">
        <v>5075</v>
      </c>
      <c r="D5136" s="2" t="str">
        <f t="shared" si="79"/>
        <v>OK</v>
      </c>
    </row>
    <row r="5137" spans="1:4" x14ac:dyDescent="0.2">
      <c r="A5137" s="5">
        <v>5076</v>
      </c>
      <c r="B5137" s="138">
        <f>'Revenues 9-14'!C127</f>
        <v>21789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2106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416277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15400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15400</v>
      </c>
      <c r="C5165" s="2" t="s">
        <v>594</v>
      </c>
      <c r="D5165" s="2" t="str">
        <f t="shared" si="79"/>
        <v>Error?</v>
      </c>
    </row>
    <row r="5166" spans="1:4" x14ac:dyDescent="0.2">
      <c r="A5166" s="10">
        <v>5105</v>
      </c>
      <c r="D5166" s="2" t="str">
        <f t="shared" si="79"/>
        <v>OK</v>
      </c>
    </row>
    <row r="5167" spans="1:4" x14ac:dyDescent="0.2">
      <c r="A5167" s="5">
        <v>5106</v>
      </c>
      <c r="B5167" s="138">
        <f>'Revenues 9-14'!C145</f>
        <v>16104</v>
      </c>
      <c r="D5167" s="2" t="str">
        <f t="shared" si="79"/>
        <v>Error?</v>
      </c>
    </row>
    <row r="5168" spans="1:4" x14ac:dyDescent="0.2">
      <c r="A5168" s="5">
        <v>5107</v>
      </c>
      <c r="B5168" s="138">
        <f>'Revenues 9-14'!C147</f>
        <v>25746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6065613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6541910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16962281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688406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304139</v>
      </c>
      <c r="D5241" s="2" t="str">
        <f t="shared" si="80"/>
        <v>Error?</v>
      </c>
    </row>
    <row r="5242" spans="1:4" x14ac:dyDescent="0.2">
      <c r="A5242" s="5">
        <v>5181</v>
      </c>
      <c r="B5242" s="138">
        <f>'Revenues 9-14'!C197</f>
        <v>4903</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997448</v>
      </c>
      <c r="C5246" s="2" t="s">
        <v>594</v>
      </c>
      <c r="D5246" s="2" t="str">
        <f t="shared" si="80"/>
        <v>Error?</v>
      </c>
    </row>
    <row r="5247" spans="1:4" x14ac:dyDescent="0.2">
      <c r="A5247" s="5">
        <v>5186</v>
      </c>
      <c r="B5247" s="138">
        <f>'Revenues 9-14'!C203</f>
        <v>952270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12758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952270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302070</v>
      </c>
      <c r="D5278" s="2" t="str">
        <f t="shared" si="81"/>
        <v>Error?</v>
      </c>
    </row>
    <row r="5279" spans="1:4" x14ac:dyDescent="0.2">
      <c r="A5279" s="5">
        <v>5218</v>
      </c>
      <c r="B5279" s="138">
        <f>'Revenues 9-14'!C221</f>
        <v>2011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304081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36212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36212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2660512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2660512</v>
      </c>
      <c r="C5326" s="2" t="s">
        <v>594</v>
      </c>
      <c r="D5326" s="2" t="str">
        <f t="shared" si="82"/>
        <v>Error?</v>
      </c>
    </row>
    <row r="5327" spans="1:4" x14ac:dyDescent="0.2">
      <c r="A5327" s="5">
        <v>5266</v>
      </c>
      <c r="B5327" s="138">
        <f>'Revenues 9-14'!C275</f>
        <v>25147993</v>
      </c>
      <c r="C5327" s="2" t="s">
        <v>594</v>
      </c>
      <c r="D5327" s="2" t="str">
        <f t="shared" si="82"/>
        <v>Error?</v>
      </c>
    </row>
    <row r="5328" spans="1:4" x14ac:dyDescent="0.2">
      <c r="A5328" s="5">
        <v>5267</v>
      </c>
      <c r="B5328" s="138">
        <f>'Revenues 9-14'!D5</f>
        <v>694536</v>
      </c>
      <c r="D5328" s="2" t="str">
        <f t="shared" si="82"/>
        <v>Error?</v>
      </c>
    </row>
    <row r="5329" spans="1:4" x14ac:dyDescent="0.2">
      <c r="A5329" s="10">
        <v>5268</v>
      </c>
      <c r="D5329" s="2" t="str">
        <f t="shared" si="82"/>
        <v>OK</v>
      </c>
    </row>
    <row r="5330" spans="1:4" x14ac:dyDescent="0.2">
      <c r="A5330" s="5">
        <v>5269</v>
      </c>
      <c r="B5330" s="138">
        <f>'Revenues 9-14'!D6</f>
        <v>81859</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776395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17433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17433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235055</v>
      </c>
      <c r="D5354" s="2" t="str">
        <f t="shared" si="82"/>
        <v>Error?</v>
      </c>
    </row>
    <row r="5355" spans="1:4" x14ac:dyDescent="0.2">
      <c r="A5355" s="5">
        <v>5294</v>
      </c>
      <c r="B5355" s="138">
        <f>'Revenues 9-14'!D108</f>
        <v>235055</v>
      </c>
      <c r="C5355" s="2" t="s">
        <v>594</v>
      </c>
      <c r="D5355" s="2" t="str">
        <f t="shared" si="82"/>
        <v>Error?</v>
      </c>
    </row>
    <row r="5356" spans="1:4" x14ac:dyDescent="0.2">
      <c r="A5356" s="5">
        <v>5295</v>
      </c>
      <c r="B5356" s="138">
        <f>'Revenues 9-14'!D109</f>
        <v>1028883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1028883</v>
      </c>
      <c r="C5508" s="2" t="s">
        <v>594</v>
      </c>
      <c r="D5508" s="2" t="str">
        <f t="shared" si="85"/>
        <v>Error?</v>
      </c>
    </row>
    <row r="5509" spans="1:4" x14ac:dyDescent="0.2">
      <c r="A5509" s="5">
        <v>5448</v>
      </c>
      <c r="B5509" s="138">
        <f>'Revenues 9-14'!E5</f>
        <v>478793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478793</v>
      </c>
      <c r="C5513" s="2" t="s">
        <v>594</v>
      </c>
      <c r="D5513" s="2" t="str">
        <f t="shared" si="85"/>
        <v>Error?</v>
      </c>
    </row>
    <row r="5514" spans="1:4" x14ac:dyDescent="0.2">
      <c r="A5514" s="5">
        <v>5453</v>
      </c>
      <c r="B5514" s="138">
        <f>'Revenues 9-14'!E14</f>
        <v>10000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10000</v>
      </c>
      <c r="C5518" s="2" t="s">
        <v>594</v>
      </c>
      <c r="D5518" s="2" t="str">
        <f t="shared" si="85"/>
        <v>Error?</v>
      </c>
    </row>
    <row r="5519" spans="1:4" x14ac:dyDescent="0.2">
      <c r="A5519" s="5">
        <v>5458</v>
      </c>
      <c r="B5519" s="138">
        <f>'Revenues 9-14'!E65</f>
        <v>4619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493412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493412</v>
      </c>
      <c r="C5552" s="2" t="s">
        <v>594</v>
      </c>
      <c r="D5552" s="2" t="str">
        <f t="shared" si="85"/>
        <v>Error?</v>
      </c>
    </row>
    <row r="5553" spans="1:4" x14ac:dyDescent="0.2">
      <c r="A5553" s="5">
        <v>5492</v>
      </c>
      <c r="B5553" s="138">
        <f>'Revenues 9-14'!F5</f>
        <v>347272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347272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230000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230000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4678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4678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44000</v>
      </c>
      <c r="D5586" s="2" t="str">
        <f t="shared" si="86"/>
        <v>Error?</v>
      </c>
    </row>
    <row r="5587" spans="1:4" x14ac:dyDescent="0.2">
      <c r="A5587" s="5">
        <v>5526</v>
      </c>
      <c r="B5587" s="138">
        <f>'Revenues 9-14'!F108</f>
        <v>44000</v>
      </c>
      <c r="C5587" s="2" t="s">
        <v>594</v>
      </c>
      <c r="D5587" s="2" t="str">
        <f t="shared" si="86"/>
        <v>Error?</v>
      </c>
    </row>
    <row r="5588" spans="1:4" x14ac:dyDescent="0.2">
      <c r="A5588" s="5">
        <v>5527</v>
      </c>
      <c r="B5588" s="138">
        <f>'Revenues 9-14'!F109</f>
        <v>625950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639229</v>
      </c>
      <c r="D5615" s="2" t="str">
        <f t="shared" si="86"/>
        <v>Error?</v>
      </c>
    </row>
    <row r="5616" spans="1:4" x14ac:dyDescent="0.2">
      <c r="A5616" s="10">
        <v>5555</v>
      </c>
      <c r="D5616" s="2" t="str">
        <f t="shared" si="86"/>
        <v>OK</v>
      </c>
    </row>
    <row r="5617" spans="1:4" x14ac:dyDescent="0.2">
      <c r="A5617" s="5">
        <v>5556</v>
      </c>
      <c r="B5617" s="138">
        <f>'Revenues 9-14'!F152</f>
        <v>361603</v>
      </c>
      <c r="D5617" s="2" t="str">
        <f t="shared" si="86"/>
        <v>Error?</v>
      </c>
    </row>
    <row r="5618" spans="1:4" x14ac:dyDescent="0.2">
      <c r="A5618" s="5">
        <v>5557</v>
      </c>
      <c r="B5618" s="138">
        <f>'Revenues 9-14'!F154</f>
        <v>1000832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1000832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1000832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1626782</v>
      </c>
      <c r="C5720" s="2" t="s">
        <v>594</v>
      </c>
      <c r="D5720" s="2" t="str">
        <f t="shared" si="88"/>
        <v>Error?</v>
      </c>
    </row>
    <row r="5721" spans="1:4" x14ac:dyDescent="0.2">
      <c r="A5721" s="5">
        <v>5660</v>
      </c>
      <c r="B5721" s="138">
        <f>'Revenues 9-14'!G5</f>
        <v>302614</v>
      </c>
      <c r="D5721" s="2" t="str">
        <f t="shared" si="88"/>
        <v>Error?</v>
      </c>
    </row>
    <row r="5722" spans="1:4" x14ac:dyDescent="0.2">
      <c r="A5722" s="5">
        <v>5661</v>
      </c>
      <c r="B5722" s="138">
        <f>'Revenues 9-14'!G7</f>
        <v>0</v>
      </c>
      <c r="D5722" s="2" t="str">
        <f t="shared" si="88"/>
        <v>Error?</v>
      </c>
    </row>
    <row r="5723" spans="1:4" x14ac:dyDescent="0.2">
      <c r="A5723" s="5">
        <v>5662</v>
      </c>
      <c r="B5723" s="138">
        <f>'Revenues 9-14'!G8</f>
        <v>325446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628060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40440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40440</v>
      </c>
      <c r="C5730" s="2" t="s">
        <v>594</v>
      </c>
      <c r="D5730" s="2" t="str">
        <f t="shared" si="88"/>
        <v>Error?</v>
      </c>
    </row>
    <row r="5731" spans="1:4" x14ac:dyDescent="0.2">
      <c r="A5731" s="5">
        <v>5670</v>
      </c>
      <c r="B5731" s="138">
        <f>'Revenues 9-14'!G65</f>
        <v>3503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3503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672003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56663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56663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1040548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1097211</v>
      </c>
      <c r="C5915" s="2" t="s">
        <v>594</v>
      </c>
      <c r="D5915" s="2" t="str">
        <f t="shared" si="91"/>
        <v>Error?</v>
      </c>
    </row>
    <row r="5916" spans="1:4" x14ac:dyDescent="0.2">
      <c r="A5916" s="5">
        <v>5855</v>
      </c>
      <c r="B5916" s="138">
        <f>'Revenues 9-14'!I5</f>
        <v>74417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74417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10762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10762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85179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79371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79371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3142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82513</v>
      </c>
      <c r="C6023" s="2" t="s">
        <v>594</v>
      </c>
      <c r="D6023" s="2" t="str">
        <f t="shared" si="93"/>
        <v>Error?</v>
      </c>
    </row>
    <row r="6024" spans="1:5" x14ac:dyDescent="0.2">
      <c r="A6024" s="5">
        <v>5963</v>
      </c>
      <c r="B6024" s="138">
        <f>'Revenues 9-14'!G109</f>
        <v>672003</v>
      </c>
      <c r="C6024" s="2" t="s">
        <v>594</v>
      </c>
      <c r="D6024" s="2" t="str">
        <f t="shared" si="93"/>
        <v>Error?</v>
      </c>
    </row>
    <row r="6025" spans="1:5" x14ac:dyDescent="0.2">
      <c r="A6025" s="5">
        <v>5964</v>
      </c>
      <c r="B6025" s="138">
        <f>'Revenues 9-14'!H109</f>
        <v>1097211</v>
      </c>
      <c r="C6025" s="2" t="s">
        <v>594</v>
      </c>
      <c r="D6025" s="2" t="str">
        <f t="shared" si="93"/>
        <v>Error?</v>
      </c>
    </row>
    <row r="6026" spans="1:5" x14ac:dyDescent="0.2">
      <c r="A6026" s="5">
        <v>5965</v>
      </c>
      <c r="B6026" s="138">
        <f>'Revenues 9-14'!I109</f>
        <v>85179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82513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86688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1742.7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201920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-64302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201920</v>
      </c>
      <c r="D6215" s="2" t="str">
        <f t="shared" si="96"/>
        <v>Error?</v>
      </c>
      <c r="E6215" s="2" t="s">
        <v>199</v>
      </c>
    </row>
    <row r="6216" spans="1:5" x14ac:dyDescent="0.2">
      <c r="A6216">
        <v>6155</v>
      </c>
      <c r="B6216" s="138">
        <f>'Assets-Liab 5-6'!J41</f>
        <v>201920</v>
      </c>
      <c r="D6216" s="2" t="str">
        <f t="shared" si="96"/>
        <v>Error?</v>
      </c>
      <c r="E6216" s="2" t="s">
        <v>199</v>
      </c>
    </row>
    <row r="6217" spans="1:5" x14ac:dyDescent="0.2">
      <c r="A6217">
        <v>6156</v>
      </c>
      <c r="B6217" s="138">
        <f>'Assets-Liab 5-6'!J4</f>
        <v>6793</v>
      </c>
      <c r="D6217" s="2" t="str">
        <f t="shared" si="96"/>
        <v>Error?</v>
      </c>
      <c r="E6217" s="2" t="s">
        <v>199</v>
      </c>
    </row>
    <row r="6218" spans="1:5" x14ac:dyDescent="0.2">
      <c r="A6218">
        <v>6157</v>
      </c>
      <c r="B6218" s="138">
        <f>'Assets-Liab 5-6'!J5</f>
        <v>195127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492994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492994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492994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404865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404865</v>
      </c>
      <c r="D6229" s="2" t="str">
        <f t="shared" si="96"/>
        <v>Error?</v>
      </c>
      <c r="E6229" s="2" t="s">
        <v>199</v>
      </c>
    </row>
    <row r="6230" spans="1:5" x14ac:dyDescent="0.2">
      <c r="A6230">
        <v>6169</v>
      </c>
      <c r="B6230" s="138">
        <f>'Acct Summary 7-8'!J20</f>
        <v>88129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127125</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7378</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88129</v>
      </c>
      <c r="D6263" s="2" t="str">
        <f t="shared" si="96"/>
        <v>Error?</v>
      </c>
      <c r="E6263" s="2" t="s">
        <v>199</v>
      </c>
    </row>
    <row r="6264" spans="1:5" x14ac:dyDescent="0.2">
      <c r="A6264">
        <v>6203</v>
      </c>
      <c r="B6264" s="138">
        <f>'Acct Summary 7-8'!J79</f>
        <v>113791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201920</v>
      </c>
      <c r="D6266" s="2" t="str">
        <f t="shared" si="96"/>
        <v>Error?</v>
      </c>
      <c r="E6266" s="2" t="s">
        <v>199</v>
      </c>
    </row>
    <row r="6267" spans="1:5" x14ac:dyDescent="0.2">
      <c r="A6267">
        <v>6206</v>
      </c>
      <c r="B6267" s="138">
        <f>'Acct Summary 7-8'!C82</f>
        <v>1207649</v>
      </c>
      <c r="D6267" s="2" t="str">
        <f t="shared" si="96"/>
        <v>Error?</v>
      </c>
      <c r="E6267" s="2" t="s">
        <v>199</v>
      </c>
    </row>
    <row r="6268" spans="1:5" x14ac:dyDescent="0.2">
      <c r="A6268">
        <v>6207</v>
      </c>
      <c r="B6268" s="138">
        <f>'Acct Summary 7-8'!D82</f>
        <v>-11020</v>
      </c>
      <c r="D6268" s="2" t="str">
        <f t="shared" si="96"/>
        <v>Error?</v>
      </c>
      <c r="E6268" s="2" t="s">
        <v>199</v>
      </c>
    </row>
    <row r="6269" spans="1:5" x14ac:dyDescent="0.2">
      <c r="A6269">
        <v>6208</v>
      </c>
      <c r="B6269" s="138">
        <f>'Acct Summary 7-8'!E82</f>
        <v>307641</v>
      </c>
      <c r="D6269" s="2" t="str">
        <f t="shared" si="96"/>
        <v>Error?</v>
      </c>
      <c r="E6269" s="2" t="s">
        <v>199</v>
      </c>
    </row>
    <row r="6270" spans="1:5" x14ac:dyDescent="0.2">
      <c r="A6270">
        <v>6209</v>
      </c>
      <c r="B6270" s="138">
        <f>'Acct Summary 7-8'!F82</f>
        <v>240355</v>
      </c>
      <c r="D6270" s="2" t="str">
        <f t="shared" si="96"/>
        <v>Error?</v>
      </c>
      <c r="E6270" s="2" t="s">
        <v>199</v>
      </c>
    </row>
    <row r="6271" spans="1:5" x14ac:dyDescent="0.2">
      <c r="A6271">
        <v>6210</v>
      </c>
      <c r="B6271" s="138">
        <f>'Acct Summary 7-8'!G82</f>
        <v>-110379</v>
      </c>
      <c r="D6271" s="2" t="str">
        <f t="shared" ref="D6271:D6334" si="97">IF(ISBLANK(B6271),"OK",IF(A6271-B6271=0,"OK","Error?"))</f>
        <v>Error?</v>
      </c>
      <c r="E6271" s="2" t="s">
        <v>199</v>
      </c>
    </row>
    <row r="6272" spans="1:5" x14ac:dyDescent="0.2">
      <c r="A6272">
        <v>6211</v>
      </c>
      <c r="B6272" s="138">
        <f>'Acct Summary 7-8'!H82</f>
        <v>3108951</v>
      </c>
      <c r="D6272" s="2" t="str">
        <f t="shared" si="97"/>
        <v>Error?</v>
      </c>
      <c r="E6272" s="2" t="s">
        <v>199</v>
      </c>
    </row>
    <row r="6273" spans="1:5" x14ac:dyDescent="0.2">
      <c r="A6273">
        <v>6212</v>
      </c>
      <c r="B6273" s="138">
        <f>'Acct Summary 7-8'!I82</f>
        <v>75232</v>
      </c>
      <c r="D6273" s="2" t="str">
        <f t="shared" si="97"/>
        <v>Error?</v>
      </c>
      <c r="E6273" s="2" t="s">
        <v>199</v>
      </c>
    </row>
    <row r="6274" spans="1:5" x14ac:dyDescent="0.2">
      <c r="A6274">
        <v>6213</v>
      </c>
      <c r="B6274" s="138">
        <f>'Acct Summary 7-8'!J82</f>
        <v>88129</v>
      </c>
      <c r="D6274" s="2" t="str">
        <f t="shared" si="97"/>
        <v>Error?</v>
      </c>
      <c r="E6274" s="2" t="s">
        <v>199</v>
      </c>
    </row>
    <row r="6275" spans="1:5" x14ac:dyDescent="0.2">
      <c r="A6275">
        <v>6214</v>
      </c>
      <c r="B6275" s="138">
        <f>'Acct Summary 7-8'!K82</f>
        <v>-1995</v>
      </c>
      <c r="D6275" s="2" t="str">
        <f t="shared" si="97"/>
        <v>Error?</v>
      </c>
      <c r="E6275" s="2" t="s">
        <v>199</v>
      </c>
    </row>
    <row r="6276" spans="1:5" x14ac:dyDescent="0.2">
      <c r="A6276">
        <v>6215</v>
      </c>
      <c r="B6276" s="138">
        <f>'Acct Summary 7-8'!C83</f>
        <v>0.34713140989249885</v>
      </c>
      <c r="D6276" s="2" t="str">
        <f t="shared" si="97"/>
        <v>Error?</v>
      </c>
      <c r="E6276" s="2" t="s">
        <v>199</v>
      </c>
    </row>
    <row r="6277" spans="1:5" x14ac:dyDescent="0.2">
      <c r="A6277">
        <v>6216</v>
      </c>
      <c r="B6277" s="138">
        <f>'Acct Summary 7-8'!D83</f>
        <v>-1.3861024986321357E-2</v>
      </c>
      <c r="D6277" s="2" t="str">
        <f t="shared" si="97"/>
        <v>Error?</v>
      </c>
      <c r="E6277" s="2" t="s">
        <v>199</v>
      </c>
    </row>
    <row r="6278" spans="1:5" x14ac:dyDescent="0.2">
      <c r="A6278">
        <v>6217</v>
      </c>
      <c r="B6278" s="138">
        <f>'Acct Summary 7-8'!E83</f>
        <v>0.85139869816458924</v>
      </c>
      <c r="D6278" s="2" t="str">
        <f t="shared" si="97"/>
        <v>Error?</v>
      </c>
      <c r="E6278" s="2" t="s">
        <v>199</v>
      </c>
    </row>
    <row r="6279" spans="1:5" x14ac:dyDescent="0.2">
      <c r="A6279">
        <v>6218</v>
      </c>
      <c r="B6279" s="138">
        <f>'Acct Summary 7-8'!F83</f>
        <v>0.76027785070585596</v>
      </c>
      <c r="D6279" s="2" t="str">
        <f t="shared" si="97"/>
        <v>Error?</v>
      </c>
      <c r="E6279" s="2" t="s">
        <v>199</v>
      </c>
    </row>
    <row r="6280" spans="1:5" x14ac:dyDescent="0.2">
      <c r="A6280">
        <v>6219</v>
      </c>
      <c r="B6280" s="138">
        <f>'Acct Summary 7-8'!G83</f>
        <v>-1.29498099394622</v>
      </c>
      <c r="D6280" s="2" t="str">
        <f t="shared" si="97"/>
        <v>Error?</v>
      </c>
      <c r="E6280" s="2" t="s">
        <v>199</v>
      </c>
    </row>
    <row r="6281" spans="1:5" x14ac:dyDescent="0.2">
      <c r="A6281">
        <v>6220</v>
      </c>
      <c r="B6281" s="138">
        <f>'Acct Summary 7-8'!H83</f>
        <v>0.59847090103533829</v>
      </c>
      <c r="D6281" s="2" t="str">
        <f t="shared" si="97"/>
        <v>Error?</v>
      </c>
      <c r="E6281" s="2" t="s">
        <v>199</v>
      </c>
    </row>
    <row r="6282" spans="1:5" x14ac:dyDescent="0.2">
      <c r="A6282">
        <v>6221</v>
      </c>
      <c r="B6282" s="138">
        <f>'Acct Summary 7-8'!I83</f>
        <v>7.9308203748037903E-2</v>
      </c>
      <c r="D6282" s="2" t="str">
        <f t="shared" si="97"/>
        <v>Error?</v>
      </c>
      <c r="E6282" s="2" t="s">
        <v>199</v>
      </c>
    </row>
    <row r="6283" spans="1:5" x14ac:dyDescent="0.2">
      <c r="A6283">
        <v>6222</v>
      </c>
      <c r="B6283" s="138">
        <f>'Acct Summary 7-8'!J83</f>
        <v>0.43645503169572109</v>
      </c>
      <c r="D6283" s="2" t="str">
        <f t="shared" si="97"/>
        <v>Error?</v>
      </c>
      <c r="E6283" s="2" t="s">
        <v>199</v>
      </c>
    </row>
    <row r="6284" spans="1:5" x14ac:dyDescent="0.2">
      <c r="A6284">
        <v>6223</v>
      </c>
      <c r="B6284" s="138">
        <f>'Acct Summary 7-8'!K83</f>
        <v>-1.0688339798126995E-2</v>
      </c>
      <c r="D6284" s="2" t="str">
        <f t="shared" si="97"/>
        <v>Error?</v>
      </c>
      <c r="E6284" s="2" t="s">
        <v>199</v>
      </c>
    </row>
    <row r="6285" spans="1:5" x14ac:dyDescent="0.2">
      <c r="A6285">
        <v>6224</v>
      </c>
      <c r="B6285" s="138">
        <f>'Acct Summary 7-8'!E37</f>
        <v>217860</v>
      </c>
      <c r="D6285" s="2" t="str">
        <f t="shared" si="97"/>
        <v>Error?</v>
      </c>
      <c r="E6285" s="2" t="s">
        <v>199</v>
      </c>
    </row>
    <row r="6286" spans="1:5" x14ac:dyDescent="0.2">
      <c r="A6286">
        <v>6225</v>
      </c>
      <c r="B6286" s="138">
        <f>'Acct Summary 7-8'!E38</f>
        <v>7378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491130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491130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1864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1864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2925</v>
      </c>
      <c r="D6339" s="2" t="str">
        <f t="shared" si="98"/>
        <v>Error?</v>
      </c>
      <c r="E6339" s="2" t="s">
        <v>199</v>
      </c>
    </row>
    <row r="6340" spans="1:5" x14ac:dyDescent="0.2">
      <c r="A6340">
        <v>6279</v>
      </c>
      <c r="B6340" s="138">
        <f>'Revenues 9-14'!C102</f>
        <v>7381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492994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404865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492994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194216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194216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22040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22040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161898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161898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26711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26711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404865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404865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404865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404865</v>
      </c>
      <c r="D7224" s="2" t="str">
        <f t="shared" si="111"/>
        <v>Error?</v>
      </c>
    </row>
    <row r="7225" spans="1:4" x14ac:dyDescent="0.2">
      <c r="A7225">
        <v>7164</v>
      </c>
      <c r="B7225" s="138">
        <f>'Expenditures 15-22'!K343</f>
        <v>88129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1171400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90735</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2925</v>
      </c>
      <c r="D7712" s="2" t="str">
        <f t="shared" si="126"/>
        <v>Error?</v>
      </c>
      <c r="E7712" s="2" t="s">
        <v>881</v>
      </c>
    </row>
    <row r="7713" spans="1:6" x14ac:dyDescent="0.2">
      <c r="A7713">
        <v>7652</v>
      </c>
      <c r="B7713" s="138">
        <f>'Rest Tax Levies-Tort Im 25'!J8</f>
        <v>1040548</v>
      </c>
      <c r="D7713" s="2" t="str">
        <f t="shared" si="126"/>
        <v>Error?</v>
      </c>
      <c r="E7713" s="2" t="s">
        <v>881</v>
      </c>
    </row>
    <row r="7714" spans="1:6" x14ac:dyDescent="0.2">
      <c r="A7714">
        <v>7653</v>
      </c>
      <c r="B7714" s="138">
        <f>'Rest Tax Levies-Tort Im 25'!K9</f>
        <v>25746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1040548</v>
      </c>
      <c r="D7718" s="2" t="str">
        <f t="shared" si="126"/>
        <v>Error?</v>
      </c>
      <c r="E7718" s="2" t="s">
        <v>881</v>
      </c>
    </row>
    <row r="7719" spans="1:6" x14ac:dyDescent="0.2">
      <c r="A7719">
        <v>7658</v>
      </c>
      <c r="B7719" s="138">
        <f>'Rest Tax Levies-Tort Im 25'!K12</f>
        <v>28671</v>
      </c>
      <c r="D7719" s="2" t="str">
        <f t="shared" si="126"/>
        <v>Error?</v>
      </c>
      <c r="E7719" s="2" t="s">
        <v>881</v>
      </c>
    </row>
    <row r="7720" spans="1:6" x14ac:dyDescent="0.2">
      <c r="A7720">
        <v>7659</v>
      </c>
      <c r="B7720" s="138">
        <f>'Rest Tax Levies-Tort Im 25'!H14</f>
        <v>84332</v>
      </c>
      <c r="D7720" s="2" t="str">
        <f t="shared" si="126"/>
        <v>Error?</v>
      </c>
      <c r="E7720" s="2" t="s">
        <v>881</v>
      </c>
    </row>
    <row r="7721" spans="1:6" x14ac:dyDescent="0.2">
      <c r="A7721">
        <v>7660</v>
      </c>
      <c r="B7721" s="138">
        <f>'Rest Tax Levies-Tort Im 25'!K14</f>
        <v>28671</v>
      </c>
      <c r="D7721" s="2" t="str">
        <f t="shared" si="126"/>
        <v>Error?</v>
      </c>
      <c r="E7721" s="2" t="s">
        <v>881</v>
      </c>
    </row>
    <row r="7722" spans="1:6" x14ac:dyDescent="0.2">
      <c r="A7722">
        <v>7661</v>
      </c>
      <c r="B7722" s="138">
        <f>'Rest Tax Levies-Tort Im 25'!J15</f>
        <v>1040548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1040548</v>
      </c>
      <c r="D7730" s="2" t="str">
        <f t="shared" si="126"/>
        <v>Error?</v>
      </c>
      <c r="E7730" s="2" t="s">
        <v>881</v>
      </c>
    </row>
    <row r="7731" spans="1:6" x14ac:dyDescent="0.2">
      <c r="A7731">
        <v>7670</v>
      </c>
      <c r="B7731" s="138">
        <f>'Revenues 9-14'!H103</f>
        <v>1040548</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29'!D39</f>
        <v>1848527</v>
      </c>
      <c r="D7797" s="2" t="str">
        <f t="shared" si="127"/>
        <v>Error?</v>
      </c>
      <c r="E7797" s="4" t="s">
        <v>2015</v>
      </c>
    </row>
    <row r="7798" spans="1:5" x14ac:dyDescent="0.2">
      <c r="A7798">
        <v>7737</v>
      </c>
      <c r="B7798" s="138">
        <f>'Contracts Paid in CY 29'!F39</f>
        <v>175000</v>
      </c>
      <c r="D7798" s="2" t="str">
        <f t="shared" si="127"/>
        <v>Error?</v>
      </c>
      <c r="E7798" s="4" t="s">
        <v>2015</v>
      </c>
    </row>
    <row r="7799" spans="1:5" x14ac:dyDescent="0.2">
      <c r="A7799">
        <v>7738</v>
      </c>
      <c r="B7799" s="138">
        <f>'Contracts Paid in CY 29'!G39</f>
        <v>1673527</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E48" sqref="E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63" t="s">
        <v>1252</v>
      </c>
      <c r="B3" s="2463"/>
      <c r="C3" s="2463"/>
      <c r="D3" s="2463"/>
      <c r="E3" s="2463"/>
      <c r="F3" s="2463"/>
      <c r="G3" s="2463"/>
      <c r="H3" s="2463"/>
      <c r="I3" s="2463"/>
      <c r="J3" s="2463"/>
      <c r="K3" s="2463"/>
      <c r="L3" s="2463"/>
    </row>
    <row r="4" spans="1:29" ht="13.5" customHeight="1" x14ac:dyDescent="0.2">
      <c r="A4" s="2432" t="s">
        <v>1799</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4" t="str">
        <f>COVER!A17</f>
        <v>Murphysboro CUSD 186</v>
      </c>
      <c r="B7" s="2455"/>
      <c r="C7" s="2455"/>
      <c r="D7" s="2456"/>
      <c r="E7" s="2457">
        <f>COVER!A13</f>
        <v>30039186026</v>
      </c>
      <c r="F7" s="2458"/>
      <c r="G7" s="2464" t="str">
        <f>COVER!T23</f>
        <v>060-004252</v>
      </c>
      <c r="H7" s="2465"/>
      <c r="I7" s="2465"/>
      <c r="J7" s="2465"/>
      <c r="K7" s="2465"/>
      <c r="L7" s="246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67"/>
      <c r="B9" s="2468"/>
      <c r="C9" s="2468"/>
      <c r="D9" s="2468"/>
      <c r="E9" s="2468"/>
      <c r="F9" s="2469"/>
      <c r="G9" s="2438" t="str">
        <f>COVER!T13</f>
        <v>Emling &amp; Hoffman, PC</v>
      </c>
      <c r="H9" s="2470"/>
      <c r="I9" s="2470"/>
      <c r="J9" s="2470"/>
      <c r="K9" s="2470"/>
      <c r="L9" s="2471"/>
    </row>
    <row r="10" spans="1:29" ht="13.5" customHeight="1" x14ac:dyDescent="0.2">
      <c r="A10" s="2444" t="str">
        <f>COVER!A38</f>
        <v>Christopher Grode</v>
      </c>
      <c r="B10" s="2445"/>
      <c r="C10" s="2445"/>
      <c r="D10" s="2445"/>
      <c r="E10" s="2445"/>
      <c r="F10" s="2446"/>
      <c r="G10" s="2438" t="str">
        <f>COVER!T17</f>
        <v>1191 West Saint Louis Street</v>
      </c>
      <c r="H10" s="2439"/>
      <c r="I10" s="2439"/>
      <c r="J10" s="2439"/>
      <c r="K10" s="2439"/>
      <c r="L10" s="2440"/>
    </row>
    <row r="11" spans="1:29" ht="13.5" customHeight="1" x14ac:dyDescent="0.2">
      <c r="A11" s="1185" t="s">
        <v>1599</v>
      </c>
      <c r="B11" s="1186"/>
      <c r="C11" s="1187"/>
      <c r="D11" s="1192"/>
      <c r="E11" s="1187"/>
      <c r="F11" s="1191"/>
      <c r="G11" s="2438" t="str">
        <f>COVER!T19</f>
        <v>Nashville</v>
      </c>
      <c r="H11" s="2439"/>
      <c r="I11" s="2439"/>
      <c r="J11" s="2439"/>
      <c r="K11" s="2439"/>
      <c r="L11" s="2440"/>
    </row>
    <row r="12" spans="1:29" ht="13.5" customHeight="1" x14ac:dyDescent="0.2">
      <c r="A12" s="2447" t="s">
        <v>1598</v>
      </c>
      <c r="B12" s="2448"/>
      <c r="C12" s="2448"/>
      <c r="D12" s="2448"/>
      <c r="E12" s="2448"/>
      <c r="F12" s="2449"/>
      <c r="G12" s="2441"/>
      <c r="H12" s="2442"/>
      <c r="I12" s="2442"/>
      <c r="J12" s="2442"/>
      <c r="K12" s="2442"/>
      <c r="L12" s="2443"/>
    </row>
    <row r="13" spans="1:29" ht="13.5" customHeight="1" x14ac:dyDescent="0.2">
      <c r="A13" s="2438"/>
      <c r="B13" s="2439"/>
      <c r="C13" s="2439"/>
      <c r="D13" s="2439"/>
      <c r="E13" s="2439"/>
      <c r="F13" s="2440"/>
      <c r="G13" s="2433" t="s">
        <v>1600</v>
      </c>
      <c r="H13" s="2434"/>
      <c r="I13" s="2450" t="str">
        <f>COVER!T25</f>
        <v>donhoffman@emlingcpa.com</v>
      </c>
      <c r="J13" s="2451"/>
      <c r="K13" s="2451"/>
      <c r="L13" s="2452"/>
    </row>
    <row r="14" spans="1:29" ht="13.5" customHeight="1" x14ac:dyDescent="0.2">
      <c r="A14" s="2438" t="str">
        <f>COVER!A19</f>
        <v>593 Ava Road</v>
      </c>
      <c r="B14" s="2439"/>
      <c r="C14" s="2439"/>
      <c r="D14" s="2439"/>
      <c r="E14" s="2439"/>
      <c r="F14" s="2440"/>
      <c r="G14" s="1196" t="s">
        <v>1247</v>
      </c>
      <c r="H14" s="1194"/>
      <c r="I14" s="1194"/>
      <c r="J14" s="1194"/>
      <c r="K14" s="1194"/>
      <c r="L14" s="1195"/>
    </row>
    <row r="15" spans="1:29" ht="13.5" customHeight="1" x14ac:dyDescent="0.2">
      <c r="A15" s="2438" t="str">
        <f>COVER!A21</f>
        <v>Murphysboro</v>
      </c>
      <c r="B15" s="2439"/>
      <c r="C15" s="2439"/>
      <c r="D15" s="2439"/>
      <c r="E15" s="2439"/>
      <c r="F15" s="2440"/>
      <c r="G15" s="2435" t="str">
        <f>COVER!T15</f>
        <v>Donald L Hoffman</v>
      </c>
      <c r="H15" s="2436"/>
      <c r="I15" s="2436"/>
      <c r="J15" s="2436"/>
      <c r="K15" s="2436"/>
      <c r="L15" s="2437"/>
    </row>
    <row r="16" spans="1:29" ht="12.2" customHeight="1" x14ac:dyDescent="0.2">
      <c r="A16" s="2460">
        <f>COVER!A25</f>
        <v>62966</v>
      </c>
      <c r="B16" s="2461"/>
      <c r="C16" s="2461"/>
      <c r="D16" s="2461"/>
      <c r="E16" s="2461"/>
      <c r="F16" s="2462"/>
      <c r="G16" s="2472"/>
      <c r="H16" s="2473"/>
      <c r="I16" s="2473"/>
      <c r="J16" s="2473"/>
      <c r="K16" s="2473"/>
      <c r="L16" s="2474"/>
    </row>
    <row r="17" spans="1:13" ht="12.2" customHeight="1" x14ac:dyDescent="0.2">
      <c r="A17" s="2475"/>
      <c r="B17" s="2461"/>
      <c r="C17" s="2461"/>
      <c r="D17" s="2461"/>
      <c r="E17" s="2461"/>
      <c r="F17" s="2462"/>
      <c r="G17" s="1196" t="s">
        <v>1246</v>
      </c>
      <c r="H17" s="1194"/>
      <c r="I17" s="1194"/>
      <c r="J17" s="1194"/>
      <c r="K17" s="1198" t="s">
        <v>1245</v>
      </c>
      <c r="L17" s="1191"/>
      <c r="M17" s="1184"/>
    </row>
    <row r="18" spans="1:13" ht="12.2" customHeight="1" x14ac:dyDescent="0.2">
      <c r="A18" s="2444"/>
      <c r="B18" s="2445"/>
      <c r="C18" s="2445"/>
      <c r="D18" s="2445"/>
      <c r="E18" s="2445"/>
      <c r="F18" s="2446"/>
      <c r="G18" s="2454" t="str">
        <f>COVER!T21</f>
        <v>618-327-4375</v>
      </c>
      <c r="H18" s="2455"/>
      <c r="I18" s="2455"/>
      <c r="J18" s="2455"/>
      <c r="K18" s="2454" t="str">
        <f>COVER!X21</f>
        <v>618-327-43769</v>
      </c>
      <c r="L18" s="245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topLeftCell="A19" zoomScaleNormal="125" workbookViewId="0">
      <selection activeCell="E10" sqref="E1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6" t="str">
        <f>'Single Audit Cover'!A7</f>
        <v>Murphysboro CUSD 186</v>
      </c>
      <c r="B1" s="2453"/>
      <c r="C1" s="2453"/>
      <c r="D1" s="2453"/>
    </row>
    <row r="2" spans="1:11" s="1215" customFormat="1" ht="12.75" x14ac:dyDescent="0.2">
      <c r="A2" s="2477">
        <f>'Single Audit Cover'!E7</f>
        <v>30039186026</v>
      </c>
      <c r="B2" s="2478"/>
      <c r="C2" s="2478"/>
      <c r="D2" s="2478"/>
    </row>
    <row r="3" spans="1:11" s="1215" customFormat="1" ht="12.75" x14ac:dyDescent="0.2">
      <c r="A3" s="2476" t="s">
        <v>1593</v>
      </c>
      <c r="B3" s="2453"/>
      <c r="C3" s="2453"/>
      <c r="D3" s="245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differentFirst="1" alignWithMargins="0">
    <oddHeader>&amp;L&amp;8Page 38&amp;R&amp;8Page 38</oddHeader>
    <firstHeader>&amp;LPage 37&amp;RPage 37</firstHeader>
  </headerFooter>
  <rowBreaks count="1" manualBreakCount="1">
    <brk id="8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E48" sqref="E4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0" t="str">
        <f>'Single Audit Cover'!A7</f>
        <v>Murphysboro CUSD 186</v>
      </c>
      <c r="B1" s="2480"/>
      <c r="C1" s="2480"/>
      <c r="D1" s="2480"/>
      <c r="E1" s="2480"/>
    </row>
    <row r="2" spans="1:5" x14ac:dyDescent="0.2">
      <c r="A2" s="2481">
        <f>'Single Audit Cover'!E7</f>
        <v>30039186026</v>
      </c>
      <c r="B2" s="2481"/>
      <c r="C2" s="2481"/>
      <c r="D2" s="2481"/>
      <c r="E2" s="2481"/>
    </row>
    <row r="3" spans="1:5" ht="4.5" customHeight="1" x14ac:dyDescent="0.2"/>
    <row r="4" spans="1:5" x14ac:dyDescent="0.2">
      <c r="A4" s="2480" t="s">
        <v>1307</v>
      </c>
      <c r="B4" s="2480"/>
      <c r="C4" s="2480"/>
      <c r="D4" s="2480"/>
      <c r="E4" s="2480"/>
    </row>
    <row r="5" spans="1:5" x14ac:dyDescent="0.2">
      <c r="A5" s="2483" t="str">
        <f>'Single Audit Cover'!A4</f>
        <v>Year Ending June 30, 2018</v>
      </c>
      <c r="B5" s="2483"/>
      <c r="C5" s="2483"/>
      <c r="D5" s="2483"/>
      <c r="E5" s="2483"/>
    </row>
    <row r="6" spans="1:5" x14ac:dyDescent="0.2">
      <c r="A6" s="2480" t="s">
        <v>1306</v>
      </c>
      <c r="B6" s="2480"/>
      <c r="C6" s="2480"/>
      <c r="D6" s="2480"/>
      <c r="E6" s="2480"/>
    </row>
    <row r="8" spans="1:5" x14ac:dyDescent="0.2">
      <c r="A8" s="1260" t="s">
        <v>1305</v>
      </c>
    </row>
    <row r="10" spans="1:5" x14ac:dyDescent="0.2">
      <c r="A10" s="1261" t="s">
        <v>1304</v>
      </c>
      <c r="B10" s="1262" t="s">
        <v>1303</v>
      </c>
      <c r="C10" s="1262"/>
      <c r="D10" s="1263">
        <f>SUM('Acct Summary 7-8'!C7:K7)</f>
        <v>2660512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86688</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-68630</v>
      </c>
    </row>
    <row r="19" spans="1:4" ht="13.5" thickBot="1" x14ac:dyDescent="0.25">
      <c r="A19" s="1265" t="s">
        <v>1297</v>
      </c>
      <c r="D19" s="1266">
        <f>SUM(D10:D17)</f>
        <v>2678570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2"/>
      <c r="B24" s="2482"/>
      <c r="D24" s="1268"/>
    </row>
    <row r="25" spans="1:4" x14ac:dyDescent="0.2">
      <c r="A25" s="2479"/>
      <c r="B25" s="2479"/>
      <c r="D25" s="1268"/>
    </row>
    <row r="26" spans="1:4" x14ac:dyDescent="0.2">
      <c r="A26" s="2479"/>
      <c r="B26" s="2479"/>
      <c r="D26" s="1268"/>
    </row>
    <row r="27" spans="1:4" x14ac:dyDescent="0.2">
      <c r="A27" s="2479"/>
      <c r="B27" s="2479"/>
      <c r="D27" s="1268"/>
    </row>
    <row r="28" spans="1:4" x14ac:dyDescent="0.2">
      <c r="A28" s="2479"/>
      <c r="B28" s="2479"/>
      <c r="D28" s="1268"/>
    </row>
    <row r="29" spans="1:4" x14ac:dyDescent="0.2">
      <c r="A29" s="2479"/>
      <c r="B29" s="2479"/>
      <c r="D29" s="1268"/>
    </row>
    <row r="30" spans="1:4" x14ac:dyDescent="0.2">
      <c r="A30" s="2479"/>
      <c r="B30" s="2479"/>
      <c r="D30" s="1268"/>
    </row>
    <row r="32" spans="1:4" x14ac:dyDescent="0.2">
      <c r="A32" s="1260" t="s">
        <v>1295</v>
      </c>
      <c r="D32" s="1263">
        <f>SUM(D19:D30)</f>
        <v>2678570</v>
      </c>
    </row>
    <row r="33" spans="1:4" x14ac:dyDescent="0.2">
      <c r="D33" s="1269"/>
    </row>
    <row r="34" spans="1:4" x14ac:dyDescent="0.2">
      <c r="A34" s="317" t="s">
        <v>1294</v>
      </c>
    </row>
    <row r="35" spans="1:4" x14ac:dyDescent="0.2">
      <c r="A35" s="317" t="s">
        <v>1293</v>
      </c>
      <c r="B35" s="1258" t="s">
        <v>1292</v>
      </c>
      <c r="D35" s="1270">
        <v>2678571</v>
      </c>
    </row>
    <row r="37" spans="1:4" x14ac:dyDescent="0.2">
      <c r="A37" s="1260" t="s">
        <v>1291</v>
      </c>
    </row>
    <row r="39" spans="1:4" ht="13.35" customHeight="1" x14ac:dyDescent="0.2">
      <c r="A39" s="1267" t="s">
        <v>1290</v>
      </c>
    </row>
    <row r="40" spans="1:4" x14ac:dyDescent="0.2">
      <c r="A40" s="2479" t="s">
        <v>2181</v>
      </c>
      <c r="B40" s="2479"/>
      <c r="D40" s="1268">
        <v>-1</v>
      </c>
    </row>
    <row r="41" spans="1:4" x14ac:dyDescent="0.2">
      <c r="A41" s="2479"/>
      <c r="B41" s="2479"/>
      <c r="D41" s="1271"/>
    </row>
    <row r="42" spans="1:4" x14ac:dyDescent="0.2">
      <c r="A42" s="2479"/>
      <c r="B42" s="2479"/>
      <c r="D42" s="1271"/>
    </row>
    <row r="43" spans="1:4" x14ac:dyDescent="0.2">
      <c r="A43" s="2479"/>
      <c r="B43" s="2479"/>
      <c r="D43" s="1271"/>
    </row>
    <row r="44" spans="1:4" x14ac:dyDescent="0.2">
      <c r="A44" s="2479"/>
      <c r="B44" s="2479"/>
      <c r="D44" s="1271"/>
    </row>
    <row r="45" spans="1:4" x14ac:dyDescent="0.2">
      <c r="A45" s="2479"/>
      <c r="B45" s="2479"/>
      <c r="D45" s="1271"/>
    </row>
    <row r="47" spans="1:4" x14ac:dyDescent="0.2">
      <c r="B47" s="1272" t="s">
        <v>1289</v>
      </c>
      <c r="C47" s="1272"/>
      <c r="D47" s="1273">
        <f>SUM(D35:D45)</f>
        <v>2678570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zoomScaleNormal="120" workbookViewId="0">
      <selection activeCell="E48" sqref="E4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Murphysboro CUSD 186</v>
      </c>
      <c r="B1" s="2493"/>
      <c r="C1" s="2493"/>
      <c r="D1" s="2493"/>
      <c r="E1" s="2493"/>
      <c r="F1" s="2493"/>
    </row>
    <row r="2" spans="1:7" ht="13.5" customHeight="1" x14ac:dyDescent="0.2">
      <c r="A2" s="2494">
        <f>'Single Audit Cover'!E7</f>
        <v>30039186026</v>
      </c>
      <c r="B2" s="2494"/>
      <c r="C2" s="2494"/>
      <c r="D2" s="2494"/>
      <c r="E2" s="2494"/>
      <c r="F2" s="2494"/>
      <c r="G2" s="1275"/>
    </row>
    <row r="3" spans="1:7" ht="15.75" customHeight="1" x14ac:dyDescent="0.2">
      <c r="A3" s="2495" t="s">
        <v>1333</v>
      </c>
      <c r="B3" s="2495"/>
      <c r="C3" s="2495"/>
      <c r="D3" s="2495"/>
      <c r="E3" s="2495"/>
      <c r="F3" s="2495"/>
    </row>
    <row r="4" spans="1:7" ht="13.5" customHeight="1" x14ac:dyDescent="0.2">
      <c r="A4" s="2496" t="str">
        <f>'Single Audit Cover'!A4</f>
        <v>Year Ending June 30, 2018</v>
      </c>
      <c r="B4" s="2496"/>
      <c r="C4" s="2496"/>
      <c r="D4" s="2496"/>
      <c r="E4" s="2496"/>
      <c r="F4" s="2496"/>
    </row>
    <row r="5" spans="1:7" ht="8.25" customHeight="1" x14ac:dyDescent="0.2">
      <c r="C5" s="317"/>
      <c r="D5" s="317"/>
    </row>
    <row r="6" spans="1:7" ht="13.5" customHeight="1" x14ac:dyDescent="0.2">
      <c r="A6" s="1276" t="s">
        <v>1831</v>
      </c>
      <c r="C6" s="317"/>
      <c r="D6" s="317"/>
    </row>
    <row r="7" spans="1:7" ht="60.95" customHeight="1" x14ac:dyDescent="0.2">
      <c r="A7" s="2492" t="s">
        <v>2096</v>
      </c>
      <c r="B7" s="2492"/>
      <c r="C7" s="2492"/>
      <c r="D7" s="2492"/>
      <c r="E7" s="2492"/>
      <c r="F7" s="249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492" t="s">
        <v>2097</v>
      </c>
      <c r="B13" s="2492"/>
      <c r="C13" s="2492"/>
      <c r="D13" s="2492"/>
      <c r="E13" s="2492"/>
      <c r="F13" s="2492"/>
    </row>
    <row r="14" spans="1:7" ht="9.75" customHeight="1" x14ac:dyDescent="0.2">
      <c r="C14" s="1260"/>
      <c r="D14" s="1260"/>
    </row>
    <row r="15" spans="1:7" ht="13.5" customHeight="1" x14ac:dyDescent="0.2">
      <c r="C15" s="1867" t="s">
        <v>1332</v>
      </c>
      <c r="D15" s="2490" t="s">
        <v>1331</v>
      </c>
      <c r="E15" s="2490"/>
      <c r="F15" s="2490"/>
    </row>
    <row r="16" spans="1:7" ht="13.5" customHeight="1" x14ac:dyDescent="0.2">
      <c r="A16" s="1282"/>
      <c r="B16" s="1276" t="s">
        <v>1330</v>
      </c>
      <c r="C16" s="1867" t="s">
        <v>1329</v>
      </c>
      <c r="D16" s="2491" t="s">
        <v>1670</v>
      </c>
      <c r="E16" s="2491"/>
      <c r="F16" s="2491"/>
    </row>
    <row r="17" spans="1:6" ht="20.45" customHeight="1" x14ac:dyDescent="0.2">
      <c r="A17" s="1283"/>
      <c r="B17" s="1284"/>
      <c r="C17" s="1285"/>
      <c r="D17" s="2485"/>
      <c r="E17" s="2485"/>
      <c r="F17" s="2485"/>
    </row>
    <row r="18" spans="1:6" ht="20.65" customHeight="1" x14ac:dyDescent="0.2">
      <c r="A18" s="1283"/>
      <c r="B18" s="1284" t="s">
        <v>2098</v>
      </c>
      <c r="C18" s="1285"/>
      <c r="D18" s="2485"/>
      <c r="E18" s="2485"/>
      <c r="F18" s="2485"/>
    </row>
    <row r="19" spans="1:6" ht="20.65" customHeight="1" x14ac:dyDescent="0.2">
      <c r="A19" s="1283"/>
      <c r="B19" s="1284"/>
      <c r="C19" s="1285"/>
      <c r="D19" s="2485"/>
      <c r="E19" s="2485"/>
      <c r="F19" s="2485"/>
    </row>
    <row r="20" spans="1:6" ht="20.65" customHeight="1" x14ac:dyDescent="0.2">
      <c r="A20" s="1283"/>
      <c r="B20" s="1284"/>
      <c r="C20" s="1285"/>
      <c r="D20" s="2485"/>
      <c r="E20" s="2485"/>
      <c r="F20" s="2485"/>
    </row>
    <row r="21" spans="1:6" ht="20.65" customHeight="1" x14ac:dyDescent="0.2">
      <c r="A21" s="1283"/>
      <c r="B21" s="1284"/>
      <c r="C21" s="1285"/>
      <c r="D21" s="2485"/>
      <c r="E21" s="2485"/>
      <c r="F21" s="2485"/>
    </row>
    <row r="22" spans="1:6" ht="20.65" customHeight="1" x14ac:dyDescent="0.2">
      <c r="A22" s="1283"/>
      <c r="B22" s="1284"/>
      <c r="C22" s="1285"/>
      <c r="D22" s="2485"/>
      <c r="E22" s="2485"/>
      <c r="F22" s="2485"/>
    </row>
    <row r="23" spans="1:6" ht="20.65" customHeight="1" x14ac:dyDescent="0.2">
      <c r="A23" s="1283"/>
      <c r="B23" s="1284"/>
      <c r="C23" s="1285"/>
      <c r="D23" s="2485"/>
      <c r="E23" s="2485"/>
      <c r="F23" s="2485"/>
    </row>
    <row r="24" spans="1:6" ht="20.65" customHeight="1" x14ac:dyDescent="0.2">
      <c r="A24" s="1283"/>
      <c r="B24" s="1284"/>
      <c r="C24" s="1285"/>
      <c r="D24" s="2485"/>
      <c r="E24" s="2485"/>
      <c r="F24" s="2485"/>
    </row>
    <row r="25" spans="1:6" ht="20.65" customHeight="1" x14ac:dyDescent="0.2">
      <c r="A25" s="1283"/>
      <c r="B25" s="1284"/>
      <c r="C25" s="1285"/>
      <c r="D25" s="2485"/>
      <c r="E25" s="2485"/>
      <c r="F25" s="2485"/>
    </row>
    <row r="26" spans="1:6" ht="20.65" customHeight="1" x14ac:dyDescent="0.2">
      <c r="A26" s="1283"/>
      <c r="B26" s="1284"/>
      <c r="C26" s="1285"/>
      <c r="D26" s="2485"/>
      <c r="E26" s="2485"/>
      <c r="F26" s="2485"/>
    </row>
    <row r="27" spans="1:6" ht="20.65" customHeight="1" x14ac:dyDescent="0.2">
      <c r="A27" s="1283"/>
      <c r="B27" s="1284"/>
      <c r="C27" s="1285"/>
      <c r="D27" s="2485"/>
      <c r="E27" s="2485"/>
      <c r="F27" s="2485"/>
    </row>
    <row r="28" spans="1:6" ht="20.65" customHeight="1" x14ac:dyDescent="0.2">
      <c r="A28" s="1283"/>
      <c r="B28" s="1284"/>
      <c r="C28" s="1285"/>
      <c r="D28" s="2485"/>
      <c r="E28" s="2485"/>
      <c r="F28" s="2485"/>
    </row>
    <row r="29" spans="1:6" ht="20.65" customHeight="1" x14ac:dyDescent="0.2">
      <c r="A29" s="1283"/>
      <c r="B29" s="1284"/>
      <c r="C29" s="1285"/>
      <c r="D29" s="2485"/>
      <c r="E29" s="2485"/>
      <c r="F29" s="2485"/>
    </row>
    <row r="30" spans="1:6" ht="12" customHeight="1" x14ac:dyDescent="0.2">
      <c r="A30" s="328"/>
      <c r="B30" s="328"/>
      <c r="C30" s="1478"/>
      <c r="D30" s="1923"/>
      <c r="E30" s="1286"/>
    </row>
    <row r="31" spans="1:6" ht="12" customHeight="1" x14ac:dyDescent="0.2">
      <c r="A31" s="1287" t="s">
        <v>1630</v>
      </c>
      <c r="B31" s="328"/>
      <c r="C31" s="1478"/>
      <c r="D31" s="1923"/>
      <c r="E31" s="1286"/>
    </row>
    <row r="32" spans="1:6" ht="30" customHeight="1" x14ac:dyDescent="0.2">
      <c r="A32" s="2486" t="s">
        <v>2099</v>
      </c>
      <c r="B32" s="2486"/>
      <c r="C32" s="2486"/>
      <c r="D32" s="2486"/>
      <c r="E32" s="2486"/>
      <c r="F32" s="2486"/>
    </row>
    <row r="33" spans="1:6" ht="13.5" customHeight="1" x14ac:dyDescent="0.2">
      <c r="A33" s="328" t="s">
        <v>1509</v>
      </c>
      <c r="B33" s="328"/>
      <c r="C33" s="1288">
        <v>0</v>
      </c>
      <c r="D33" s="1923"/>
      <c r="E33" s="1286"/>
    </row>
    <row r="34" spans="1:6" ht="13.5" customHeight="1" x14ac:dyDescent="0.2">
      <c r="A34" s="328" t="s">
        <v>1944</v>
      </c>
      <c r="B34" s="328"/>
      <c r="C34" s="1289">
        <v>0</v>
      </c>
      <c r="D34" s="1923" t="s">
        <v>1671</v>
      </c>
      <c r="E34" s="2487">
        <f>+C33+C34</f>
        <v>0</v>
      </c>
      <c r="F34" s="2488"/>
    </row>
    <row r="35" spans="1:6" ht="12" customHeight="1" x14ac:dyDescent="0.2">
      <c r="A35" s="328"/>
      <c r="B35" s="328"/>
      <c r="C35" s="1924"/>
      <c r="D35" s="1923"/>
      <c r="E35" s="1290"/>
      <c r="F35" s="1291"/>
    </row>
    <row r="36" spans="1:6" ht="13.5" customHeight="1" x14ac:dyDescent="0.2">
      <c r="A36" s="1287" t="s">
        <v>1631</v>
      </c>
      <c r="B36" s="328"/>
      <c r="C36" s="1478"/>
      <c r="D36" s="1923"/>
      <c r="E36" s="1286"/>
    </row>
    <row r="37" spans="1:6" ht="14.25" customHeight="1" x14ac:dyDescent="0.2">
      <c r="A37" s="328" t="s">
        <v>1563</v>
      </c>
      <c r="B37" s="328"/>
      <c r="C37" s="1925"/>
      <c r="D37" s="1923"/>
      <c r="E37" s="1286"/>
    </row>
    <row r="38" spans="1:6" ht="14.25" customHeight="1" x14ac:dyDescent="0.2">
      <c r="A38" s="328"/>
      <c r="B38" s="328" t="s">
        <v>1510</v>
      </c>
      <c r="C38" s="1292"/>
      <c r="D38" s="1923"/>
      <c r="E38" s="1286"/>
    </row>
    <row r="39" spans="1:6" ht="14.25" customHeight="1" x14ac:dyDescent="0.2">
      <c r="A39" s="328"/>
      <c r="B39" s="328" t="s">
        <v>1511</v>
      </c>
      <c r="C39" s="1292"/>
      <c r="D39" s="1923"/>
      <c r="E39" s="1286"/>
    </row>
    <row r="40" spans="1:6" ht="14.25" customHeight="1" x14ac:dyDescent="0.2">
      <c r="A40" s="328"/>
      <c r="B40" s="328" t="s">
        <v>1512</v>
      </c>
      <c r="C40" s="1292"/>
      <c r="D40" s="1923"/>
      <c r="E40" s="1286"/>
    </row>
    <row r="41" spans="1:6" ht="14.25" customHeight="1" x14ac:dyDescent="0.2">
      <c r="A41" s="328"/>
      <c r="B41" s="328" t="s">
        <v>1513</v>
      </c>
      <c r="C41" s="1292"/>
      <c r="D41" s="1923"/>
      <c r="E41" s="1286"/>
    </row>
    <row r="42" spans="1:6" ht="14.25" customHeight="1" x14ac:dyDescent="0.2">
      <c r="A42" s="328" t="s">
        <v>1514</v>
      </c>
      <c r="B42" s="328"/>
      <c r="C42" s="1921"/>
      <c r="D42" s="1923"/>
      <c r="E42" s="1286"/>
    </row>
    <row r="43" spans="1:6" ht="14.25" customHeight="1" x14ac:dyDescent="0.2">
      <c r="A43" s="328" t="s">
        <v>1515</v>
      </c>
      <c r="B43" s="328"/>
      <c r="C43" s="1293"/>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9" t="s">
        <v>1672</v>
      </c>
      <c r="C49" s="2489"/>
      <c r="D49" s="2489"/>
      <c r="E49" s="1399"/>
    </row>
    <row r="50" spans="1:5" s="1300" customFormat="1" ht="3.75" customHeight="1" x14ac:dyDescent="0.2">
      <c r="A50" s="1299"/>
      <c r="B50" s="1866"/>
      <c r="C50" s="1866"/>
      <c r="D50" s="1866"/>
      <c r="E50" s="1399"/>
    </row>
    <row r="51" spans="1:5" s="1300" customFormat="1" ht="20.25" customHeight="1" x14ac:dyDescent="0.2">
      <c r="A51" s="1301">
        <v>6</v>
      </c>
      <c r="B51" s="2484" t="s">
        <v>1632</v>
      </c>
      <c r="C51" s="2484"/>
      <c r="D51" s="2484"/>
    </row>
    <row r="52" spans="1:5" ht="14.25" customHeight="1" x14ac:dyDescent="0.2">
      <c r="A52" s="1301"/>
      <c r="B52" s="2484"/>
      <c r="C52" s="2484"/>
      <c r="D52" s="248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2118</v>
      </c>
      <c r="C11" s="1338"/>
      <c r="D11" s="1339"/>
      <c r="E11" s="1340"/>
      <c r="F11" s="1340"/>
      <c r="G11" s="1340"/>
      <c r="H11" s="1340"/>
      <c r="I11" s="1340"/>
      <c r="J11" s="1340"/>
      <c r="K11" s="1340"/>
      <c r="L11" s="1340">
        <f>+G11+I11+K11</f>
        <v>0</v>
      </c>
      <c r="M11" s="1340"/>
    </row>
    <row r="12" spans="2:14" ht="25.5" customHeight="1" x14ac:dyDescent="0.2">
      <c r="B12" s="1960" t="s">
        <v>2119</v>
      </c>
      <c r="C12" s="1341"/>
      <c r="D12" s="1342"/>
      <c r="E12" s="1343"/>
      <c r="F12" s="1343"/>
      <c r="G12" s="1343"/>
      <c r="H12" s="1343"/>
      <c r="I12" s="1343"/>
      <c r="J12" s="1343"/>
      <c r="K12" s="1343"/>
      <c r="L12" s="1340">
        <f t="shared" ref="L12:L27" si="0">+G12+I12+K12</f>
        <v>0</v>
      </c>
      <c r="M12" s="1343"/>
    </row>
    <row r="13" spans="2:14" ht="20.100000000000001" customHeight="1" x14ac:dyDescent="0.2">
      <c r="B13" s="1961" t="s">
        <v>2123</v>
      </c>
      <c r="C13" s="1962"/>
      <c r="D13" s="1963"/>
      <c r="E13" s="1343"/>
      <c r="F13" s="1343"/>
      <c r="G13" s="1343"/>
      <c r="H13" s="1343"/>
      <c r="I13" s="1343"/>
      <c r="J13" s="1343"/>
      <c r="K13" s="1343"/>
      <c r="L13" s="1340">
        <f t="shared" si="0"/>
        <v>0</v>
      </c>
      <c r="M13" s="1343"/>
    </row>
    <row r="14" spans="2:14" ht="20.100000000000001" customHeight="1" x14ac:dyDescent="0.2">
      <c r="B14" s="1961" t="s">
        <v>2122</v>
      </c>
      <c r="C14" s="1962" t="s">
        <v>2120</v>
      </c>
      <c r="D14" s="1963" t="s">
        <v>2121</v>
      </c>
      <c r="E14" s="1343">
        <v>807253</v>
      </c>
      <c r="F14" s="1343">
        <v>262473</v>
      </c>
      <c r="G14" s="1343">
        <v>1053073</v>
      </c>
      <c r="H14" s="1343">
        <v>0</v>
      </c>
      <c r="I14" s="1343">
        <v>16653</v>
      </c>
      <c r="J14" s="1343">
        <v>0</v>
      </c>
      <c r="K14" s="1343">
        <v>0</v>
      </c>
      <c r="L14" s="1340">
        <f t="shared" si="0"/>
        <v>1069726</v>
      </c>
      <c r="M14" s="1343">
        <v>1142482</v>
      </c>
    </row>
    <row r="15" spans="2:14" ht="20.100000000000001" customHeight="1" x14ac:dyDescent="0.2">
      <c r="B15" s="1961" t="s">
        <v>2124</v>
      </c>
      <c r="C15" s="1962" t="s">
        <v>2120</v>
      </c>
      <c r="D15" s="1963" t="s">
        <v>2125</v>
      </c>
      <c r="E15" s="1964">
        <v>0</v>
      </c>
      <c r="F15" s="1964">
        <v>689797</v>
      </c>
      <c r="G15" s="1964">
        <v>0</v>
      </c>
      <c r="H15" s="1964">
        <v>0</v>
      </c>
      <c r="I15" s="1964">
        <v>1101389</v>
      </c>
      <c r="J15" s="1964">
        <v>0</v>
      </c>
      <c r="K15" s="1964">
        <v>12267</v>
      </c>
      <c r="L15" s="1965">
        <f t="shared" si="0"/>
        <v>1113656</v>
      </c>
      <c r="M15" s="1964">
        <v>1113656</v>
      </c>
    </row>
    <row r="16" spans="2:14" ht="20.100000000000001" customHeight="1" x14ac:dyDescent="0.2">
      <c r="B16" s="1337"/>
      <c r="C16" s="1341"/>
      <c r="D16" s="1342"/>
      <c r="E16" s="1966">
        <f>SUM(E14:E15)</f>
        <v>807253</v>
      </c>
      <c r="F16" s="1966">
        <f t="shared" ref="F16:K16" si="1">SUM(F14:F15)</f>
        <v>952270</v>
      </c>
      <c r="G16" s="1966">
        <f t="shared" si="1"/>
        <v>1053073</v>
      </c>
      <c r="H16" s="1966">
        <f t="shared" si="1"/>
        <v>0</v>
      </c>
      <c r="I16" s="1966">
        <f t="shared" si="1"/>
        <v>1118042</v>
      </c>
      <c r="J16" s="1966">
        <f t="shared" si="1"/>
        <v>0</v>
      </c>
      <c r="K16" s="1966">
        <f t="shared" si="1"/>
        <v>12267</v>
      </c>
      <c r="L16" s="1966">
        <f t="shared" si="0"/>
        <v>2183382</v>
      </c>
      <c r="M16" s="1966"/>
    </row>
    <row r="17" spans="2:14" ht="20.100000000000001" customHeight="1" x14ac:dyDescent="0.2">
      <c r="B17" s="1337"/>
      <c r="C17" s="1341"/>
      <c r="D17" s="1342"/>
      <c r="E17" s="1340"/>
      <c r="F17" s="1340"/>
      <c r="G17" s="1340"/>
      <c r="H17" s="1340"/>
      <c r="I17" s="1340"/>
      <c r="J17" s="1340"/>
      <c r="K17" s="1340"/>
      <c r="L17" s="1340">
        <f t="shared" si="0"/>
        <v>0</v>
      </c>
      <c r="M17" s="1340"/>
    </row>
    <row r="18" spans="2:14" ht="20.100000000000001" customHeight="1" x14ac:dyDescent="0.2">
      <c r="B18" s="1961" t="s">
        <v>2126</v>
      </c>
      <c r="C18" s="1962"/>
      <c r="D18" s="1963"/>
      <c r="E18" s="1343"/>
      <c r="F18" s="1343"/>
      <c r="G18" s="1343"/>
      <c r="H18" s="1343"/>
      <c r="I18" s="1343"/>
      <c r="J18" s="1343"/>
      <c r="K18" s="1343"/>
      <c r="L18" s="1340">
        <f t="shared" si="0"/>
        <v>0</v>
      </c>
      <c r="M18" s="1343"/>
    </row>
    <row r="19" spans="2:14" ht="20.100000000000001" customHeight="1" x14ac:dyDescent="0.2">
      <c r="B19" s="1961" t="s">
        <v>2128</v>
      </c>
      <c r="C19" s="1962" t="s">
        <v>2127</v>
      </c>
      <c r="D19" s="1963" t="s">
        <v>2129</v>
      </c>
      <c r="E19" s="1343">
        <v>126106</v>
      </c>
      <c r="F19" s="1343">
        <v>58397</v>
      </c>
      <c r="G19" s="1343">
        <v>171135</v>
      </c>
      <c r="H19" s="1343">
        <v>0</v>
      </c>
      <c r="I19" s="1343">
        <v>13368</v>
      </c>
      <c r="J19" s="1343">
        <v>0</v>
      </c>
      <c r="K19" s="1343">
        <v>0</v>
      </c>
      <c r="L19" s="1340">
        <f t="shared" si="0"/>
        <v>184503</v>
      </c>
      <c r="M19" s="1343">
        <v>184503</v>
      </c>
    </row>
    <row r="20" spans="2:14" ht="20.100000000000001" customHeight="1" x14ac:dyDescent="0.2">
      <c r="B20" s="1961" t="s">
        <v>2124</v>
      </c>
      <c r="C20" s="1962" t="s">
        <v>2127</v>
      </c>
      <c r="D20" s="1967" t="s">
        <v>2130</v>
      </c>
      <c r="E20" s="1964">
        <v>0</v>
      </c>
      <c r="F20" s="1964">
        <v>72417</v>
      </c>
      <c r="G20" s="1964">
        <v>0</v>
      </c>
      <c r="H20" s="1964">
        <v>0</v>
      </c>
      <c r="I20" s="1964">
        <v>104160</v>
      </c>
      <c r="J20" s="1964">
        <v>0</v>
      </c>
      <c r="K20" s="1964">
        <v>17711</v>
      </c>
      <c r="L20" s="1965">
        <f t="shared" si="0"/>
        <v>121871</v>
      </c>
      <c r="M20" s="1343">
        <v>133700</v>
      </c>
    </row>
    <row r="21" spans="2:14" ht="20.100000000000001" customHeight="1" x14ac:dyDescent="0.2">
      <c r="B21" s="1337"/>
      <c r="C21" s="1341"/>
      <c r="D21" s="1342"/>
      <c r="E21" s="1966">
        <f>SUM(E19:E20)</f>
        <v>126106</v>
      </c>
      <c r="F21" s="1966">
        <f t="shared" ref="F21:K21" si="2">SUM(F19:F20)</f>
        <v>130814</v>
      </c>
      <c r="G21" s="1966">
        <f t="shared" si="2"/>
        <v>171135</v>
      </c>
      <c r="H21" s="1966">
        <f t="shared" si="2"/>
        <v>0</v>
      </c>
      <c r="I21" s="1966">
        <f t="shared" si="2"/>
        <v>117528</v>
      </c>
      <c r="J21" s="1966">
        <f t="shared" si="2"/>
        <v>0</v>
      </c>
      <c r="K21" s="1966">
        <f t="shared" si="2"/>
        <v>17711</v>
      </c>
      <c r="L21" s="1966">
        <f t="shared" si="0"/>
        <v>306374</v>
      </c>
      <c r="M21" s="1343"/>
    </row>
    <row r="22" spans="2:14" ht="20.100000000000001" customHeight="1" x14ac:dyDescent="0.2">
      <c r="B22" s="1961" t="s">
        <v>2131</v>
      </c>
      <c r="C22" s="1968"/>
      <c r="D22" s="1967"/>
      <c r="E22" s="1965"/>
      <c r="F22" s="1965"/>
      <c r="G22" s="1965"/>
      <c r="H22" s="1965"/>
      <c r="I22" s="1965"/>
      <c r="J22" s="1965"/>
      <c r="K22" s="1965"/>
      <c r="L22" s="1965">
        <f t="shared" si="0"/>
        <v>0</v>
      </c>
      <c r="M22" s="1343"/>
    </row>
    <row r="23" spans="2:14" ht="20.100000000000001" customHeight="1" x14ac:dyDescent="0.2">
      <c r="B23" s="1961" t="s">
        <v>2128</v>
      </c>
      <c r="C23" s="1968">
        <v>84.027000000000001</v>
      </c>
      <c r="D23" s="1967" t="s">
        <v>2132</v>
      </c>
      <c r="E23" s="1966">
        <v>0</v>
      </c>
      <c r="F23" s="1966">
        <v>2011</v>
      </c>
      <c r="G23" s="1966">
        <v>0</v>
      </c>
      <c r="H23" s="1966">
        <v>0</v>
      </c>
      <c r="I23" s="1966">
        <v>2011</v>
      </c>
      <c r="J23" s="1966">
        <v>0</v>
      </c>
      <c r="K23" s="1966">
        <v>0</v>
      </c>
      <c r="L23" s="1966">
        <f t="shared" si="0"/>
        <v>2011</v>
      </c>
      <c r="M23" s="1343"/>
    </row>
    <row r="24" spans="2:14" ht="23.25" customHeight="1" x14ac:dyDescent="0.2">
      <c r="B24" s="1961" t="s">
        <v>2133</v>
      </c>
      <c r="C24" s="1968"/>
      <c r="D24" s="1967"/>
      <c r="E24" s="1965"/>
      <c r="F24" s="1965"/>
      <c r="G24" s="1965"/>
      <c r="H24" s="1965"/>
      <c r="I24" s="1965"/>
      <c r="J24" s="1965"/>
      <c r="K24" s="1965"/>
      <c r="L24" s="1965">
        <f t="shared" si="0"/>
        <v>0</v>
      </c>
      <c r="M24" s="1964"/>
    </row>
    <row r="25" spans="2:14" ht="20.100000000000001" customHeight="1" x14ac:dyDescent="0.2">
      <c r="B25" s="1961" t="s">
        <v>2124</v>
      </c>
      <c r="C25" s="1968" t="s">
        <v>2135</v>
      </c>
      <c r="D25" s="1967" t="s">
        <v>2134</v>
      </c>
      <c r="E25" s="1966">
        <v>0</v>
      </c>
      <c r="F25" s="1966">
        <v>12758</v>
      </c>
      <c r="G25" s="1966">
        <v>0</v>
      </c>
      <c r="H25" s="1966">
        <v>0</v>
      </c>
      <c r="I25" s="1966">
        <v>16903</v>
      </c>
      <c r="J25" s="1966">
        <v>0</v>
      </c>
      <c r="K25" s="1966">
        <v>2967</v>
      </c>
      <c r="L25" s="1966">
        <f t="shared" si="0"/>
        <v>19870</v>
      </c>
      <c r="M25" s="1966">
        <v>25582</v>
      </c>
    </row>
    <row r="26" spans="2:14" ht="20.100000000000001" customHeight="1" x14ac:dyDescent="0.2">
      <c r="B26" s="1337"/>
      <c r="C26" s="1341"/>
      <c r="D26" s="1342"/>
      <c r="E26" s="1965"/>
      <c r="F26" s="1965"/>
      <c r="G26" s="1965"/>
      <c r="H26" s="1965"/>
      <c r="I26" s="1965"/>
      <c r="J26" s="1965"/>
      <c r="K26" s="1965"/>
      <c r="L26" s="1965">
        <f t="shared" si="0"/>
        <v>0</v>
      </c>
      <c r="M26" s="1340"/>
    </row>
    <row r="27" spans="2:14" ht="20.100000000000001" customHeight="1" x14ac:dyDescent="0.2">
      <c r="B27" s="1969" t="s">
        <v>2136</v>
      </c>
      <c r="C27" s="1341"/>
      <c r="D27" s="1342"/>
      <c r="E27" s="1966">
        <f>SUM(E16+E21+E23+E25)</f>
        <v>933359</v>
      </c>
      <c r="F27" s="1966">
        <f t="shared" ref="F27:K27" si="3">SUM(F16+F21+F23+F25)</f>
        <v>1097853</v>
      </c>
      <c r="G27" s="1966">
        <f t="shared" si="3"/>
        <v>1224208</v>
      </c>
      <c r="H27" s="1966">
        <f t="shared" si="3"/>
        <v>0</v>
      </c>
      <c r="I27" s="1966">
        <f t="shared" si="3"/>
        <v>1254484</v>
      </c>
      <c r="J27" s="1966">
        <f t="shared" si="3"/>
        <v>0</v>
      </c>
      <c r="K27" s="1966">
        <f t="shared" si="3"/>
        <v>32945</v>
      </c>
      <c r="L27" s="1966">
        <f t="shared" si="0"/>
        <v>2511637</v>
      </c>
      <c r="M27" s="1343"/>
      <c r="N27" s="1344"/>
    </row>
    <row r="28" spans="2:14" ht="8.25" customHeight="1" x14ac:dyDescent="0.2">
      <c r="B28" s="1345"/>
      <c r="C28" s="1346"/>
      <c r="D28" s="1347"/>
      <c r="E28" s="1348"/>
      <c r="F28" s="1348"/>
      <c r="G28" s="1348"/>
      <c r="H28" s="1348"/>
      <c r="I28" s="1348"/>
      <c r="J28" s="1348"/>
      <c r="K28" s="1348"/>
      <c r="L28" s="1348"/>
      <c r="M28" s="1348"/>
      <c r="N28" s="1344"/>
    </row>
    <row r="29" spans="2:14" ht="8.2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7.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1230</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9" t="s">
        <v>1731</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9" t="s">
        <v>331</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6"/>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 customHeight="1" x14ac:dyDescent="0.2">
      <c r="A67" s="254"/>
      <c r="B67" s="2132"/>
      <c r="C67" s="2133"/>
      <c r="D67" s="2133"/>
      <c r="E67" s="2133"/>
      <c r="F67" s="2133"/>
      <c r="G67" s="2133"/>
      <c r="H67" s="2133"/>
      <c r="I67" s="2133"/>
      <c r="J67" s="21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9" t="s">
        <v>1390</v>
      </c>
      <c r="B70" s="2122"/>
      <c r="C70" s="2122"/>
      <c r="D70" s="2122"/>
      <c r="E70" s="2123"/>
      <c r="F70" s="2123"/>
      <c r="G70" s="2123"/>
      <c r="H70" s="2123"/>
      <c r="I70" s="212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4" t="s">
        <v>1387</v>
      </c>
      <c r="B83" s="2124"/>
      <c r="C83" s="2124"/>
      <c r="D83" s="212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6" t="s">
        <v>2209</v>
      </c>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t="s">
        <v>2081</v>
      </c>
      <c r="D114" s="211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1397</v>
      </c>
      <c r="D117" s="2117"/>
      <c r="E117" s="2118"/>
      <c r="F117" s="2118"/>
      <c r="G117" s="2118"/>
      <c r="H117" s="2118"/>
      <c r="I117" s="304"/>
    </row>
    <row r="118" spans="1:9" s="181" customFormat="1" ht="24" customHeight="1" x14ac:dyDescent="0.2">
      <c r="A118" s="316"/>
      <c r="B118" s="316"/>
      <c r="C118" s="316"/>
      <c r="D118"/>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2118</v>
      </c>
      <c r="C11" s="1338"/>
      <c r="D11" s="1339"/>
      <c r="E11" s="1340"/>
      <c r="F11" s="1340"/>
      <c r="G11" s="1340"/>
      <c r="H11" s="1340"/>
      <c r="I11" s="1340"/>
      <c r="J11" s="1340"/>
      <c r="K11" s="1340"/>
      <c r="L11" s="1340">
        <f>+G11+I11+K11</f>
        <v>0</v>
      </c>
      <c r="M11" s="1340"/>
    </row>
    <row r="12" spans="2:14" ht="20.100000000000001" customHeight="1" x14ac:dyDescent="0.2">
      <c r="B12" s="1969" t="s">
        <v>2137</v>
      </c>
      <c r="C12" s="1968"/>
      <c r="D12" s="1967"/>
      <c r="E12" s="1343"/>
      <c r="F12" s="1343"/>
      <c r="G12" s="1343"/>
      <c r="H12" s="1343"/>
      <c r="I12" s="1343"/>
      <c r="J12" s="1343"/>
      <c r="K12" s="1343"/>
      <c r="L12" s="1340">
        <f t="shared" ref="L12:L27" si="0">+G12+I12+K12</f>
        <v>0</v>
      </c>
      <c r="M12" s="1343"/>
    </row>
    <row r="13" spans="2:14" ht="20.100000000000001" customHeight="1" x14ac:dyDescent="0.2">
      <c r="B13" s="1961" t="s">
        <v>2138</v>
      </c>
      <c r="C13" s="1968"/>
      <c r="D13" s="1967"/>
      <c r="E13" s="1343"/>
      <c r="F13" s="1343"/>
      <c r="G13" s="1343"/>
      <c r="H13" s="1343"/>
      <c r="I13" s="1343"/>
      <c r="J13" s="1343"/>
      <c r="K13" s="1343"/>
      <c r="L13" s="1340">
        <f t="shared" si="0"/>
        <v>0</v>
      </c>
      <c r="M13" s="1343"/>
    </row>
    <row r="14" spans="2:14" ht="20.100000000000001" customHeight="1" x14ac:dyDescent="0.2">
      <c r="B14" s="1961" t="s">
        <v>2128</v>
      </c>
      <c r="C14" s="1968" t="s">
        <v>2139</v>
      </c>
      <c r="D14" s="1967" t="s">
        <v>2140</v>
      </c>
      <c r="E14" s="1343">
        <v>127929</v>
      </c>
      <c r="F14" s="1343">
        <v>87071</v>
      </c>
      <c r="G14" s="1343">
        <v>127929</v>
      </c>
      <c r="H14" s="1343">
        <v>0</v>
      </c>
      <c r="I14" s="1343">
        <v>87071</v>
      </c>
      <c r="J14" s="1343">
        <v>0</v>
      </c>
      <c r="K14" s="1343">
        <v>0</v>
      </c>
      <c r="L14" s="1340">
        <f t="shared" si="0"/>
        <v>215000</v>
      </c>
      <c r="M14" s="1343"/>
    </row>
    <row r="15" spans="2:14" ht="20.100000000000001" customHeight="1" x14ac:dyDescent="0.2">
      <c r="B15" s="1961" t="s">
        <v>2124</v>
      </c>
      <c r="C15" s="1968" t="s">
        <v>2139</v>
      </c>
      <c r="D15" s="1967" t="s">
        <v>2141</v>
      </c>
      <c r="E15" s="1343">
        <v>0</v>
      </c>
      <c r="F15" s="1343">
        <v>215000</v>
      </c>
      <c r="G15" s="1343">
        <v>0</v>
      </c>
      <c r="H15" s="1343">
        <v>0</v>
      </c>
      <c r="I15" s="1343">
        <v>215000</v>
      </c>
      <c r="J15" s="1343">
        <v>0</v>
      </c>
      <c r="K15" s="1343">
        <v>0</v>
      </c>
      <c r="L15" s="1340">
        <f t="shared" si="0"/>
        <v>215000</v>
      </c>
      <c r="M15" s="1343"/>
    </row>
    <row r="16" spans="2:14" ht="20.100000000000001" customHeight="1" x14ac:dyDescent="0.2">
      <c r="B16" s="1337"/>
      <c r="C16" s="1341"/>
      <c r="D16" s="1342"/>
      <c r="E16" s="1964"/>
      <c r="F16" s="1964"/>
      <c r="G16" s="1964"/>
      <c r="H16" s="1964"/>
      <c r="I16" s="1964"/>
      <c r="J16" s="1964"/>
      <c r="K16" s="1964"/>
      <c r="L16" s="1965">
        <f t="shared" si="0"/>
        <v>0</v>
      </c>
      <c r="M16" s="1343"/>
    </row>
    <row r="17" spans="2:14" ht="20.100000000000001" customHeight="1" x14ac:dyDescent="0.2">
      <c r="B17" s="1969" t="s">
        <v>2142</v>
      </c>
      <c r="C17" s="1341"/>
      <c r="D17" s="1342"/>
      <c r="E17" s="1966">
        <f>SUM(E14:E16)</f>
        <v>127929</v>
      </c>
      <c r="F17" s="1966">
        <f>SUM(F14:F16)</f>
        <v>302071</v>
      </c>
      <c r="G17" s="1966">
        <f t="shared" ref="G17:K17" si="1">SUM(G14:G16)</f>
        <v>127929</v>
      </c>
      <c r="H17" s="1966">
        <f t="shared" si="1"/>
        <v>0</v>
      </c>
      <c r="I17" s="1966">
        <f t="shared" si="1"/>
        <v>302071</v>
      </c>
      <c r="J17" s="1966">
        <f t="shared" si="1"/>
        <v>0</v>
      </c>
      <c r="K17" s="1966">
        <f t="shared" si="1"/>
        <v>0</v>
      </c>
      <c r="L17" s="1966">
        <f t="shared" si="0"/>
        <v>430000</v>
      </c>
      <c r="M17" s="1343"/>
    </row>
    <row r="18" spans="2:14" ht="20.100000000000001" customHeight="1" x14ac:dyDescent="0.2">
      <c r="B18" s="1337"/>
      <c r="C18" s="1341"/>
      <c r="D18" s="1342"/>
      <c r="E18" s="1340"/>
      <c r="F18" s="1340"/>
      <c r="G18" s="1340"/>
      <c r="H18" s="1340"/>
      <c r="I18" s="1340"/>
      <c r="J18" s="1340"/>
      <c r="K18" s="1340"/>
      <c r="L18" s="1340">
        <f t="shared" si="0"/>
        <v>0</v>
      </c>
      <c r="M18" s="1343"/>
    </row>
    <row r="19" spans="2:14" ht="20.100000000000001" customHeight="1" x14ac:dyDescent="0.2">
      <c r="B19" s="1969" t="s">
        <v>2143</v>
      </c>
      <c r="C19" s="1968"/>
      <c r="D19" s="1967"/>
      <c r="E19" s="1343"/>
      <c r="F19" s="1343"/>
      <c r="G19" s="1343"/>
      <c r="H19" s="1343"/>
      <c r="I19" s="1343"/>
      <c r="J19" s="1343"/>
      <c r="K19" s="1343"/>
      <c r="L19" s="1340">
        <f t="shared" si="0"/>
        <v>0</v>
      </c>
      <c r="M19" s="1343"/>
    </row>
    <row r="20" spans="2:14" ht="20.100000000000001" customHeight="1" x14ac:dyDescent="0.2">
      <c r="B20" s="1961" t="s">
        <v>2144</v>
      </c>
      <c r="C20" s="1968"/>
      <c r="D20" s="1967"/>
      <c r="E20" s="1343"/>
      <c r="F20" s="1343"/>
      <c r="G20" s="1343"/>
      <c r="H20" s="1343"/>
      <c r="I20" s="1343"/>
      <c r="J20" s="1343"/>
      <c r="K20" s="1343"/>
      <c r="L20" s="1340">
        <f t="shared" si="0"/>
        <v>0</v>
      </c>
      <c r="M20" s="1343"/>
    </row>
    <row r="21" spans="2:14" ht="20.100000000000001" customHeight="1" x14ac:dyDescent="0.2">
      <c r="B21" s="1961" t="s">
        <v>2128</v>
      </c>
      <c r="C21" s="1968" t="s">
        <v>2145</v>
      </c>
      <c r="D21" s="1967" t="s">
        <v>2146</v>
      </c>
      <c r="E21" s="1343">
        <v>9682</v>
      </c>
      <c r="F21" s="1343">
        <v>812</v>
      </c>
      <c r="G21" s="1343">
        <v>9682</v>
      </c>
      <c r="H21" s="1343">
        <v>0</v>
      </c>
      <c r="I21" s="1343">
        <v>812</v>
      </c>
      <c r="J21" s="1343">
        <v>0</v>
      </c>
      <c r="K21" s="1343">
        <v>0</v>
      </c>
      <c r="L21" s="1340">
        <f t="shared" si="0"/>
        <v>10494</v>
      </c>
      <c r="M21" s="1343"/>
    </row>
    <row r="22" spans="2:14" ht="20.100000000000001" customHeight="1" x14ac:dyDescent="0.2">
      <c r="B22" s="1961" t="s">
        <v>2124</v>
      </c>
      <c r="C22" s="1968" t="s">
        <v>2145</v>
      </c>
      <c r="D22" s="1967" t="s">
        <v>2148</v>
      </c>
      <c r="E22" s="1343">
        <v>0</v>
      </c>
      <c r="F22" s="1343">
        <v>35400</v>
      </c>
      <c r="G22" s="1343">
        <v>0</v>
      </c>
      <c r="H22" s="1343">
        <v>0</v>
      </c>
      <c r="I22" s="1343">
        <v>35400</v>
      </c>
      <c r="J22" s="1343">
        <v>0</v>
      </c>
      <c r="K22" s="1343">
        <v>0</v>
      </c>
      <c r="L22" s="1340">
        <f t="shared" si="0"/>
        <v>35400</v>
      </c>
      <c r="M22" s="1343"/>
    </row>
    <row r="23" spans="2:14" ht="20.100000000000001" customHeight="1" x14ac:dyDescent="0.2">
      <c r="B23" s="1337"/>
      <c r="C23" s="1341"/>
      <c r="D23" s="1342"/>
      <c r="E23" s="1964"/>
      <c r="F23" s="1964"/>
      <c r="G23" s="1964"/>
      <c r="H23" s="1964"/>
      <c r="I23" s="1964"/>
      <c r="J23" s="1964"/>
      <c r="K23" s="1964"/>
      <c r="L23" s="1340">
        <f t="shared" si="0"/>
        <v>0</v>
      </c>
      <c r="M23" s="1343"/>
    </row>
    <row r="24" spans="2:14" ht="20.100000000000001" customHeight="1" x14ac:dyDescent="0.2">
      <c r="B24" s="1969" t="s">
        <v>2147</v>
      </c>
      <c r="C24" s="1341"/>
      <c r="D24" s="1342"/>
      <c r="E24" s="1966">
        <f t="shared" ref="E24:K24" si="2">SUM(E21:E23)</f>
        <v>9682</v>
      </c>
      <c r="F24" s="1966">
        <f t="shared" si="2"/>
        <v>36212</v>
      </c>
      <c r="G24" s="1966">
        <f t="shared" si="2"/>
        <v>9682</v>
      </c>
      <c r="H24" s="1966">
        <f t="shared" si="2"/>
        <v>0</v>
      </c>
      <c r="I24" s="1966">
        <f t="shared" si="2"/>
        <v>36212</v>
      </c>
      <c r="J24" s="1966">
        <f t="shared" si="2"/>
        <v>0</v>
      </c>
      <c r="K24" s="1966">
        <f t="shared" si="2"/>
        <v>0</v>
      </c>
      <c r="L24" s="1340">
        <f t="shared" si="0"/>
        <v>45894</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6.7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2118</v>
      </c>
      <c r="C11" s="1338"/>
      <c r="D11" s="1339"/>
      <c r="E11" s="1340"/>
      <c r="F11" s="1340"/>
      <c r="G11" s="1340"/>
      <c r="H11" s="1340"/>
      <c r="I11" s="1340"/>
      <c r="J11" s="1340"/>
      <c r="K11" s="1340"/>
      <c r="L11" s="1340">
        <f>+G11+I11+K11</f>
        <v>0</v>
      </c>
      <c r="M11" s="1340"/>
    </row>
    <row r="12" spans="2:14" ht="20.100000000000001" customHeight="1" x14ac:dyDescent="0.2">
      <c r="B12" s="1969" t="s">
        <v>2149</v>
      </c>
      <c r="C12" s="1341"/>
      <c r="D12" s="1342"/>
      <c r="E12" s="1343"/>
      <c r="F12" s="1343"/>
      <c r="G12" s="1343"/>
      <c r="H12" s="1343"/>
      <c r="I12" s="1343"/>
      <c r="J12" s="1343"/>
      <c r="K12" s="1343"/>
      <c r="L12" s="1340">
        <f t="shared" ref="L12:L27" si="0">+G12+I12+K12</f>
        <v>0</v>
      </c>
      <c r="M12" s="1343"/>
    </row>
    <row r="13" spans="2:14" ht="20.100000000000001" customHeight="1" x14ac:dyDescent="0.2">
      <c r="B13" s="1961" t="s">
        <v>2150</v>
      </c>
      <c r="C13" s="1341"/>
      <c r="D13" s="1342"/>
      <c r="E13" s="1343"/>
      <c r="F13" s="1343"/>
      <c r="G13" s="1343"/>
      <c r="H13" s="1343"/>
      <c r="I13" s="1343"/>
      <c r="J13" s="1343"/>
      <c r="K13" s="1343"/>
      <c r="L13" s="1340">
        <f t="shared" si="0"/>
        <v>0</v>
      </c>
      <c r="M13" s="1343"/>
    </row>
    <row r="14" spans="2:14" ht="20.100000000000001" customHeight="1" x14ac:dyDescent="0.2">
      <c r="B14" s="1961" t="s">
        <v>2124</v>
      </c>
      <c r="C14" s="1341">
        <v>84.366</v>
      </c>
      <c r="D14" s="1967" t="s">
        <v>2151</v>
      </c>
      <c r="E14" s="1343">
        <v>0</v>
      </c>
      <c r="F14" s="1343">
        <v>26409</v>
      </c>
      <c r="G14" s="1343">
        <v>0</v>
      </c>
      <c r="H14" s="1343">
        <v>0</v>
      </c>
      <c r="I14" s="1343">
        <v>26409</v>
      </c>
      <c r="J14" s="1343">
        <v>0</v>
      </c>
      <c r="K14" s="1343">
        <v>0</v>
      </c>
      <c r="L14" s="1340">
        <f t="shared" si="0"/>
        <v>26409</v>
      </c>
      <c r="M14" s="1343"/>
    </row>
    <row r="15" spans="2:14" ht="20.100000000000001" customHeight="1" x14ac:dyDescent="0.2">
      <c r="B15" s="1961"/>
      <c r="C15" s="1341"/>
      <c r="D15" s="1967"/>
      <c r="E15" s="1964"/>
      <c r="F15" s="1964"/>
      <c r="G15" s="1964"/>
      <c r="H15" s="1964"/>
      <c r="I15" s="1964"/>
      <c r="J15" s="1964"/>
      <c r="K15" s="1964"/>
      <c r="L15" s="1965">
        <f t="shared" si="0"/>
        <v>0</v>
      </c>
      <c r="M15" s="1343"/>
    </row>
    <row r="16" spans="2:14" ht="20.100000000000001" customHeight="1" x14ac:dyDescent="0.2">
      <c r="B16" s="1337"/>
      <c r="C16" s="1341"/>
      <c r="D16" s="1342"/>
      <c r="E16" s="1966">
        <f>SUM(E14:E15)</f>
        <v>0</v>
      </c>
      <c r="F16" s="1966">
        <f t="shared" ref="F16:K16" si="1">SUM(F14:F15)</f>
        <v>26409</v>
      </c>
      <c r="G16" s="1966">
        <f t="shared" si="1"/>
        <v>0</v>
      </c>
      <c r="H16" s="1966">
        <f t="shared" si="1"/>
        <v>0</v>
      </c>
      <c r="I16" s="1966">
        <f t="shared" si="1"/>
        <v>26409</v>
      </c>
      <c r="J16" s="1966">
        <f t="shared" si="1"/>
        <v>0</v>
      </c>
      <c r="K16" s="1966">
        <f t="shared" si="1"/>
        <v>0</v>
      </c>
      <c r="L16" s="1966">
        <f t="shared" si="0"/>
        <v>26409</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961" t="s">
        <v>2152</v>
      </c>
      <c r="C18" s="1341"/>
      <c r="D18" s="1342"/>
      <c r="E18" s="1343"/>
      <c r="F18" s="1343"/>
      <c r="G18" s="1343"/>
      <c r="H18" s="1343"/>
      <c r="I18" s="1343"/>
      <c r="J18" s="1343"/>
      <c r="K18" s="1343"/>
      <c r="L18" s="1340">
        <f t="shared" si="0"/>
        <v>0</v>
      </c>
      <c r="M18" s="1343"/>
    </row>
    <row r="19" spans="2:14" ht="20.100000000000001" customHeight="1" x14ac:dyDescent="0.2">
      <c r="B19" s="1961" t="s">
        <v>2124</v>
      </c>
      <c r="C19" s="1341">
        <v>84.367000000000004</v>
      </c>
      <c r="D19" s="1967" t="s">
        <v>2151</v>
      </c>
      <c r="E19" s="1343">
        <v>0</v>
      </c>
      <c r="F19" s="1343">
        <v>37942</v>
      </c>
      <c r="G19" s="1343">
        <v>0</v>
      </c>
      <c r="H19" s="1343">
        <v>0</v>
      </c>
      <c r="I19" s="1343">
        <v>37942</v>
      </c>
      <c r="J19" s="1343">
        <v>0</v>
      </c>
      <c r="K19" s="1343">
        <v>0</v>
      </c>
      <c r="L19" s="1340">
        <f t="shared" si="0"/>
        <v>37942</v>
      </c>
      <c r="M19" s="1343"/>
    </row>
    <row r="20" spans="2:14" ht="20.100000000000001" customHeight="1" x14ac:dyDescent="0.2">
      <c r="B20" s="1337"/>
      <c r="C20" s="1341"/>
      <c r="D20" s="1342"/>
      <c r="E20" s="1964"/>
      <c r="F20" s="1964"/>
      <c r="G20" s="1964"/>
      <c r="H20" s="1964"/>
      <c r="I20" s="1964"/>
      <c r="J20" s="1964"/>
      <c r="K20" s="1964"/>
      <c r="L20" s="1965">
        <f t="shared" si="0"/>
        <v>0</v>
      </c>
      <c r="M20" s="1343"/>
    </row>
    <row r="21" spans="2:14" ht="20.100000000000001" customHeight="1" x14ac:dyDescent="0.2">
      <c r="B21" s="1337"/>
      <c r="C21" s="1341"/>
      <c r="D21" s="1342"/>
      <c r="E21" s="1966">
        <f t="shared" ref="E21:K21" si="2">SUM(E19:E20)</f>
        <v>0</v>
      </c>
      <c r="F21" s="1966">
        <f t="shared" si="2"/>
        <v>37942</v>
      </c>
      <c r="G21" s="1966">
        <f t="shared" si="2"/>
        <v>0</v>
      </c>
      <c r="H21" s="1966">
        <f t="shared" si="2"/>
        <v>0</v>
      </c>
      <c r="I21" s="1966">
        <f t="shared" si="2"/>
        <v>37942</v>
      </c>
      <c r="J21" s="1966">
        <f t="shared" si="2"/>
        <v>0</v>
      </c>
      <c r="K21" s="1966">
        <f t="shared" si="2"/>
        <v>0</v>
      </c>
      <c r="L21" s="1966">
        <f t="shared" si="0"/>
        <v>37942</v>
      </c>
      <c r="M21" s="1343"/>
    </row>
    <row r="22" spans="2:14" ht="20.100000000000001" customHeight="1" x14ac:dyDescent="0.2">
      <c r="B22" s="1337"/>
      <c r="C22" s="1341"/>
      <c r="D22" s="1342"/>
      <c r="E22" s="1965"/>
      <c r="F22" s="1965"/>
      <c r="G22" s="1965"/>
      <c r="H22" s="1965"/>
      <c r="I22" s="1965"/>
      <c r="J22" s="1965"/>
      <c r="K22" s="1965"/>
      <c r="L22" s="1965">
        <f t="shared" si="0"/>
        <v>0</v>
      </c>
      <c r="M22" s="1343"/>
    </row>
    <row r="23" spans="2:14" ht="20.100000000000001" customHeight="1" x14ac:dyDescent="0.2">
      <c r="B23" s="1969" t="s">
        <v>2153</v>
      </c>
      <c r="C23" s="1341"/>
      <c r="D23" s="1342"/>
      <c r="E23" s="1966">
        <f>SUM(E16+E21)</f>
        <v>0</v>
      </c>
      <c r="F23" s="1966">
        <f t="shared" ref="F23:K23" si="3">SUM(F16+F21)</f>
        <v>64351</v>
      </c>
      <c r="G23" s="1966">
        <f t="shared" si="3"/>
        <v>0</v>
      </c>
      <c r="H23" s="1966">
        <f t="shared" si="3"/>
        <v>0</v>
      </c>
      <c r="I23" s="1966">
        <f t="shared" si="3"/>
        <v>64351</v>
      </c>
      <c r="J23" s="1966">
        <f t="shared" si="3"/>
        <v>0</v>
      </c>
      <c r="K23" s="1966">
        <f t="shared" si="3"/>
        <v>0</v>
      </c>
      <c r="L23" s="1966">
        <f t="shared" si="0"/>
        <v>64351</v>
      </c>
      <c r="M23" s="1343"/>
    </row>
    <row r="24" spans="2:14" ht="20.100000000000001" customHeight="1" x14ac:dyDescent="0.2">
      <c r="B24" s="1337"/>
      <c r="C24" s="1341"/>
      <c r="D24" s="1342"/>
      <c r="E24" s="1340"/>
      <c r="F24" s="1340"/>
      <c r="G24" s="1340"/>
      <c r="H24" s="1340"/>
      <c r="I24" s="1340"/>
      <c r="J24" s="1340"/>
      <c r="K24" s="1340"/>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4"/>
      <c r="F26" s="1964"/>
      <c r="G26" s="1964"/>
      <c r="H26" s="1964"/>
      <c r="I26" s="1964"/>
      <c r="J26" s="1964"/>
      <c r="K26" s="1964"/>
      <c r="L26" s="1965">
        <f t="shared" si="0"/>
        <v>0</v>
      </c>
      <c r="M26" s="1343"/>
    </row>
    <row r="27" spans="2:14" ht="20.100000000000001" customHeight="1" thickBot="1" x14ac:dyDescent="0.25">
      <c r="B27" s="1970" t="s">
        <v>2154</v>
      </c>
      <c r="C27" s="1341"/>
      <c r="D27" s="1342"/>
      <c r="E27" s="1971">
        <f>SUM(E23+' SEFA (2)'!E24+' SEFA (2)'!E17+' SEFA'!E27)</f>
        <v>1070970</v>
      </c>
      <c r="F27" s="1971">
        <f>SUM(F23+' SEFA (2)'!F24+' SEFA (2)'!F17+' SEFA'!F27)</f>
        <v>1500487</v>
      </c>
      <c r="G27" s="1971">
        <f>SUM(G23+' SEFA (2)'!G24+' SEFA (2)'!G17+' SEFA'!G27)</f>
        <v>1361819</v>
      </c>
      <c r="H27" s="1971">
        <f>SUM(H23+' SEFA (2)'!H24+' SEFA (2)'!H17+' SEFA'!H27)</f>
        <v>0</v>
      </c>
      <c r="I27" s="1971">
        <f>SUM(I23+' SEFA (2)'!I24+' SEFA (2)'!I17+' SEFA'!I27)</f>
        <v>1657118</v>
      </c>
      <c r="J27" s="1971">
        <f>SUM(J23+' SEFA (2)'!J24+' SEFA (2)'!J17+' SEFA'!J27)</f>
        <v>0</v>
      </c>
      <c r="K27" s="1971">
        <f>SUM(K23+' SEFA (2)'!K24+' SEFA (2)'!K17+' SEFA'!K27)</f>
        <v>32945</v>
      </c>
      <c r="L27" s="1971">
        <f t="shared" si="0"/>
        <v>3051882</v>
      </c>
      <c r="M27" s="1343"/>
      <c r="N27" s="1344"/>
    </row>
    <row r="28" spans="2:14" ht="9" customHeight="1" x14ac:dyDescent="0.2">
      <c r="B28" s="1345"/>
      <c r="C28" s="1346"/>
      <c r="D28" s="1347"/>
      <c r="E28" s="1348"/>
      <c r="F28" s="1348"/>
      <c r="G28" s="1348"/>
      <c r="H28" s="1348"/>
      <c r="I28" s="1348"/>
      <c r="J28" s="1348"/>
      <c r="K28" s="1348"/>
      <c r="L28" s="1348"/>
      <c r="M28" s="1348"/>
      <c r="N28" s="1344"/>
    </row>
    <row r="29" spans="2:14" ht="8.2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2155</v>
      </c>
      <c r="C11" s="1972"/>
      <c r="D11" s="1973"/>
      <c r="E11" s="1340"/>
      <c r="F11" s="1340"/>
      <c r="G11" s="1340"/>
      <c r="H11" s="1340"/>
      <c r="I11" s="1340"/>
      <c r="J11" s="1340"/>
      <c r="K11" s="1340"/>
      <c r="L11" s="1340">
        <f>+G11+I11+K11</f>
        <v>0</v>
      </c>
      <c r="M11" s="1340"/>
    </row>
    <row r="12" spans="2:14" ht="20.100000000000001" customHeight="1" x14ac:dyDescent="0.2">
      <c r="B12" s="1960" t="s">
        <v>2119</v>
      </c>
      <c r="C12" s="1968"/>
      <c r="D12" s="1967"/>
      <c r="E12" s="1343"/>
      <c r="F12" s="1343"/>
      <c r="G12" s="1343"/>
      <c r="H12" s="1343"/>
      <c r="I12" s="1343"/>
      <c r="J12" s="1343"/>
      <c r="K12" s="1343"/>
      <c r="L12" s="1340">
        <f t="shared" ref="L12:L16" si="0">+G12+I12+K12</f>
        <v>0</v>
      </c>
      <c r="M12" s="1343"/>
    </row>
    <row r="13" spans="2:14" ht="20.100000000000001" customHeight="1" x14ac:dyDescent="0.2">
      <c r="B13" s="1961" t="s">
        <v>2157</v>
      </c>
      <c r="C13" s="1962"/>
      <c r="D13" s="1963"/>
      <c r="E13" s="1343"/>
      <c r="F13" s="1343"/>
      <c r="G13" s="1343"/>
      <c r="H13" s="1343"/>
      <c r="I13" s="1343"/>
      <c r="J13" s="1343"/>
      <c r="K13" s="1343"/>
      <c r="L13" s="1340">
        <f t="shared" si="0"/>
        <v>0</v>
      </c>
      <c r="M13" s="1343"/>
    </row>
    <row r="14" spans="2:14" ht="20.100000000000001" customHeight="1" x14ac:dyDescent="0.2">
      <c r="B14" s="1961" t="s">
        <v>2122</v>
      </c>
      <c r="C14" s="1962">
        <v>10.555</v>
      </c>
      <c r="D14" s="1963" t="s">
        <v>2156</v>
      </c>
      <c r="E14" s="1343">
        <v>494002</v>
      </c>
      <c r="F14" s="1343">
        <v>121968</v>
      </c>
      <c r="G14" s="1343">
        <v>494002</v>
      </c>
      <c r="H14" s="1343">
        <v>0</v>
      </c>
      <c r="I14" s="1343">
        <v>121968</v>
      </c>
      <c r="J14" s="1343">
        <v>0</v>
      </c>
      <c r="K14" s="1343">
        <v>0</v>
      </c>
      <c r="L14" s="1340">
        <f t="shared" si="0"/>
        <v>615970</v>
      </c>
      <c r="M14" s="1343"/>
    </row>
    <row r="15" spans="2:14" ht="20.100000000000001" customHeight="1" x14ac:dyDescent="0.2">
      <c r="B15" s="1961" t="s">
        <v>2124</v>
      </c>
      <c r="C15" s="1962">
        <v>10.555</v>
      </c>
      <c r="D15" s="1963" t="s">
        <v>2158</v>
      </c>
      <c r="E15" s="1964">
        <v>0</v>
      </c>
      <c r="F15" s="1964">
        <v>566438</v>
      </c>
      <c r="G15" s="1964">
        <v>0</v>
      </c>
      <c r="H15" s="1964">
        <v>0</v>
      </c>
      <c r="I15" s="1964">
        <v>566438</v>
      </c>
      <c r="J15" s="1964">
        <v>0</v>
      </c>
      <c r="K15" s="1964">
        <v>0</v>
      </c>
      <c r="L15" s="1965">
        <f t="shared" si="0"/>
        <v>566438</v>
      </c>
      <c r="M15" s="1343"/>
    </row>
    <row r="16" spans="2:14" ht="20.100000000000001" customHeight="1" x14ac:dyDescent="0.2">
      <c r="B16" s="1337"/>
      <c r="C16" s="1341"/>
      <c r="D16" s="1342"/>
      <c r="E16" s="1966">
        <f>SUM(E14:E15)</f>
        <v>494002</v>
      </c>
      <c r="F16" s="1966">
        <f t="shared" ref="F16:K16" si="1">SUM(F14:F15)</f>
        <v>688406</v>
      </c>
      <c r="G16" s="1966">
        <f t="shared" si="1"/>
        <v>494002</v>
      </c>
      <c r="H16" s="1966">
        <f t="shared" si="1"/>
        <v>0</v>
      </c>
      <c r="I16" s="1966">
        <f t="shared" si="1"/>
        <v>688406</v>
      </c>
      <c r="J16" s="1966">
        <f t="shared" si="1"/>
        <v>0</v>
      </c>
      <c r="K16" s="1966">
        <f t="shared" si="1"/>
        <v>0</v>
      </c>
      <c r="L16" s="1966">
        <f t="shared" si="0"/>
        <v>1182408</v>
      </c>
      <c r="M16" s="1343"/>
    </row>
    <row r="17" spans="2:14" ht="20.100000000000001" customHeight="1" x14ac:dyDescent="0.2">
      <c r="B17" s="1961" t="s">
        <v>2159</v>
      </c>
      <c r="C17" s="1962"/>
      <c r="D17" s="1963"/>
      <c r="E17" s="1343"/>
      <c r="F17" s="1343"/>
      <c r="G17" s="1343"/>
      <c r="H17" s="1343"/>
      <c r="I17" s="1343"/>
      <c r="J17" s="1343"/>
      <c r="K17" s="1343"/>
      <c r="L17" s="1340">
        <f t="shared" ref="L17:L27" si="2">+G17+I17+K17</f>
        <v>0</v>
      </c>
      <c r="M17" s="1343"/>
    </row>
    <row r="18" spans="2:14" ht="20.100000000000001" customHeight="1" x14ac:dyDescent="0.2">
      <c r="B18" s="1961" t="s">
        <v>2122</v>
      </c>
      <c r="C18" s="1962">
        <v>10.553000000000001</v>
      </c>
      <c r="D18" s="1963" t="s">
        <v>2160</v>
      </c>
      <c r="E18" s="1343">
        <v>223915</v>
      </c>
      <c r="F18" s="1343">
        <v>53351</v>
      </c>
      <c r="G18" s="1343">
        <v>223915</v>
      </c>
      <c r="H18" s="1343">
        <v>0</v>
      </c>
      <c r="I18" s="1343">
        <v>53351</v>
      </c>
      <c r="J18" s="1343">
        <v>0</v>
      </c>
      <c r="K18" s="1343">
        <v>0</v>
      </c>
      <c r="L18" s="1340">
        <f t="shared" si="2"/>
        <v>277266</v>
      </c>
      <c r="M18" s="1343"/>
    </row>
    <row r="19" spans="2:14" ht="20.100000000000001" customHeight="1" x14ac:dyDescent="0.2">
      <c r="B19" s="1961" t="s">
        <v>2124</v>
      </c>
      <c r="C19" s="1962">
        <v>10.553000000000001</v>
      </c>
      <c r="D19" s="1963" t="s">
        <v>2161</v>
      </c>
      <c r="E19" s="1964">
        <v>0</v>
      </c>
      <c r="F19" s="1964">
        <v>250788</v>
      </c>
      <c r="G19" s="1964">
        <v>0</v>
      </c>
      <c r="H19" s="1964">
        <v>0</v>
      </c>
      <c r="I19" s="1964">
        <v>250788</v>
      </c>
      <c r="J19" s="1964">
        <v>0</v>
      </c>
      <c r="K19" s="1964">
        <v>0</v>
      </c>
      <c r="L19" s="1340">
        <f t="shared" si="2"/>
        <v>250788</v>
      </c>
      <c r="M19" s="1343"/>
    </row>
    <row r="20" spans="2:14" ht="20.100000000000001" customHeight="1" x14ac:dyDescent="0.2">
      <c r="B20" s="1337"/>
      <c r="C20" s="1341"/>
      <c r="D20" s="1342"/>
      <c r="E20" s="1966">
        <f t="shared" ref="E20:K20" si="3">SUM(E18:E19)</f>
        <v>223915</v>
      </c>
      <c r="F20" s="1966">
        <f t="shared" si="3"/>
        <v>304139</v>
      </c>
      <c r="G20" s="1966">
        <f t="shared" si="3"/>
        <v>223915</v>
      </c>
      <c r="H20" s="1966">
        <f t="shared" si="3"/>
        <v>0</v>
      </c>
      <c r="I20" s="1966">
        <f t="shared" si="3"/>
        <v>304139</v>
      </c>
      <c r="J20" s="1966">
        <f t="shared" si="3"/>
        <v>0</v>
      </c>
      <c r="K20" s="1966">
        <f t="shared" si="3"/>
        <v>0</v>
      </c>
      <c r="L20" s="1340">
        <f t="shared" si="2"/>
        <v>528054</v>
      </c>
      <c r="M20" s="1343"/>
    </row>
    <row r="21" spans="2:14" ht="20.100000000000001" customHeight="1" x14ac:dyDescent="0.2">
      <c r="B21" s="1961" t="s">
        <v>2162</v>
      </c>
      <c r="C21" s="1341"/>
      <c r="D21" s="1342"/>
      <c r="E21" s="1965"/>
      <c r="F21" s="1965"/>
      <c r="G21" s="1965"/>
      <c r="H21" s="1965"/>
      <c r="I21" s="1965"/>
      <c r="J21" s="1965"/>
      <c r="K21" s="1965"/>
      <c r="L21" s="1340">
        <f t="shared" si="2"/>
        <v>0</v>
      </c>
      <c r="M21" s="1343"/>
    </row>
    <row r="22" spans="2:14" ht="20.100000000000001" customHeight="1" x14ac:dyDescent="0.2">
      <c r="B22" s="1961" t="s">
        <v>2122</v>
      </c>
      <c r="C22" s="1962">
        <v>10.558999999999999</v>
      </c>
      <c r="D22" s="1963" t="s">
        <v>2163</v>
      </c>
      <c r="E22" s="1966">
        <v>0</v>
      </c>
      <c r="F22" s="1966">
        <v>4903</v>
      </c>
      <c r="G22" s="1966">
        <v>0</v>
      </c>
      <c r="H22" s="1966">
        <v>0</v>
      </c>
      <c r="I22" s="1966">
        <v>4903</v>
      </c>
      <c r="J22" s="1966">
        <v>0</v>
      </c>
      <c r="K22" s="1966">
        <v>0</v>
      </c>
      <c r="L22" s="1340">
        <f t="shared" si="2"/>
        <v>4903</v>
      </c>
      <c r="M22" s="1343"/>
    </row>
    <row r="23" spans="2:14" ht="20.100000000000001" customHeight="1" x14ac:dyDescent="0.2">
      <c r="B23" s="1961" t="s">
        <v>2164</v>
      </c>
      <c r="C23" s="1962">
        <v>10.555</v>
      </c>
      <c r="D23" s="1963" t="s">
        <v>2165</v>
      </c>
      <c r="E23" s="1966">
        <v>0</v>
      </c>
      <c r="F23" s="1966">
        <v>74935</v>
      </c>
      <c r="G23" s="1966">
        <v>0</v>
      </c>
      <c r="H23" s="1966">
        <v>0</v>
      </c>
      <c r="I23" s="1966">
        <v>74935</v>
      </c>
      <c r="J23" s="1966">
        <v>0</v>
      </c>
      <c r="K23" s="1966">
        <v>0</v>
      </c>
      <c r="L23" s="1340">
        <f t="shared" si="2"/>
        <v>74935</v>
      </c>
      <c r="M23" s="1343"/>
    </row>
    <row r="24" spans="2:14" ht="20.100000000000001" customHeight="1" x14ac:dyDescent="0.2">
      <c r="B24" s="1961" t="s">
        <v>2166</v>
      </c>
      <c r="C24" s="1962">
        <v>10.582000000000001</v>
      </c>
      <c r="D24" s="1967"/>
      <c r="E24" s="1966">
        <v>0</v>
      </c>
      <c r="F24" s="1966">
        <v>11753</v>
      </c>
      <c r="G24" s="1966">
        <v>0</v>
      </c>
      <c r="H24" s="1966">
        <v>0</v>
      </c>
      <c r="I24" s="1966">
        <v>11753</v>
      </c>
      <c r="J24" s="1966">
        <v>0</v>
      </c>
      <c r="K24" s="1966">
        <v>0</v>
      </c>
      <c r="L24" s="1340">
        <f t="shared" si="2"/>
        <v>11753</v>
      </c>
      <c r="M24" s="1343"/>
    </row>
    <row r="25" spans="2:14" ht="20.100000000000001" customHeight="1" x14ac:dyDescent="0.2">
      <c r="B25" s="1337"/>
      <c r="C25" s="1341"/>
      <c r="D25" s="1974"/>
      <c r="E25" s="1964"/>
      <c r="F25" s="1964"/>
      <c r="G25" s="1964"/>
      <c r="H25" s="1964"/>
      <c r="I25" s="1964"/>
      <c r="J25" s="1964"/>
      <c r="K25" s="1964"/>
      <c r="L25" s="1965">
        <f t="shared" si="2"/>
        <v>0</v>
      </c>
      <c r="M25" s="1343"/>
    </row>
    <row r="26" spans="2:14" ht="20.100000000000001" customHeight="1" x14ac:dyDescent="0.2">
      <c r="B26" s="1961" t="s">
        <v>2167</v>
      </c>
      <c r="C26" s="1341">
        <v>10.4998</v>
      </c>
      <c r="D26" s="1975" t="s">
        <v>2168</v>
      </c>
      <c r="E26" s="1966">
        <v>0</v>
      </c>
      <c r="F26" s="1966">
        <v>1882</v>
      </c>
      <c r="G26" s="1966">
        <v>0</v>
      </c>
      <c r="H26" s="1966">
        <v>0</v>
      </c>
      <c r="I26" s="1966">
        <v>1882</v>
      </c>
      <c r="J26" s="1966">
        <v>0</v>
      </c>
      <c r="K26" s="1966">
        <v>0</v>
      </c>
      <c r="L26" s="1966">
        <f t="shared" si="2"/>
        <v>1882</v>
      </c>
      <c r="M26" s="1343"/>
    </row>
    <row r="27" spans="2:14" ht="20.100000000000001" customHeight="1" thickBot="1" x14ac:dyDescent="0.25">
      <c r="B27" s="1960" t="s">
        <v>2169</v>
      </c>
      <c r="C27" s="1341"/>
      <c r="D27" s="1339"/>
      <c r="E27" s="1971">
        <f>SUM(E16+E20+E22+E23+E24+E26)</f>
        <v>717917</v>
      </c>
      <c r="F27" s="1971">
        <f t="shared" ref="F27:K27" si="4">SUM(F16+F20+F22+F23+F24+F26)</f>
        <v>1086018</v>
      </c>
      <c r="G27" s="1971">
        <f t="shared" si="4"/>
        <v>717917</v>
      </c>
      <c r="H27" s="1971">
        <f t="shared" si="4"/>
        <v>0</v>
      </c>
      <c r="I27" s="1971">
        <f t="shared" si="4"/>
        <v>1086018</v>
      </c>
      <c r="J27" s="1971">
        <f t="shared" si="4"/>
        <v>0</v>
      </c>
      <c r="K27" s="1971">
        <f t="shared" si="4"/>
        <v>0</v>
      </c>
      <c r="L27" s="1971">
        <f t="shared" si="2"/>
        <v>1803935</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6.7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2170</v>
      </c>
      <c r="C11" s="1961"/>
      <c r="D11" s="1961"/>
      <c r="E11" s="1340"/>
      <c r="F11" s="1340"/>
      <c r="G11" s="1340"/>
      <c r="H11" s="1340"/>
      <c r="I11" s="1340"/>
      <c r="J11" s="1340"/>
      <c r="K11" s="1340"/>
      <c r="L11" s="1340">
        <f>+G11+I11+K11</f>
        <v>0</v>
      </c>
      <c r="M11" s="1340"/>
    </row>
    <row r="12" spans="2:14" ht="20.100000000000001" customHeight="1" x14ac:dyDescent="0.2">
      <c r="B12" s="1969" t="s">
        <v>2171</v>
      </c>
      <c r="C12" s="1961"/>
      <c r="D12" s="1961"/>
      <c r="E12" s="1343"/>
      <c r="F12" s="1343"/>
      <c r="G12" s="1343"/>
      <c r="H12" s="1343"/>
      <c r="I12" s="1343"/>
      <c r="J12" s="1343"/>
      <c r="K12" s="1343"/>
      <c r="L12" s="1340">
        <f t="shared" ref="L12:L27" si="0">+G12+I12+K12</f>
        <v>0</v>
      </c>
      <c r="M12" s="1343"/>
    </row>
    <row r="13" spans="2:14" ht="20.100000000000001" customHeight="1" x14ac:dyDescent="0.2">
      <c r="B13" s="1961" t="s">
        <v>2172</v>
      </c>
      <c r="C13" s="1968"/>
      <c r="D13" s="1967"/>
      <c r="E13" s="1343"/>
      <c r="F13" s="1343"/>
      <c r="G13" s="1343"/>
      <c r="H13" s="1343"/>
      <c r="I13" s="1343"/>
      <c r="J13" s="1343"/>
      <c r="K13" s="1343"/>
      <c r="L13" s="1340">
        <f t="shared" si="0"/>
        <v>0</v>
      </c>
      <c r="M13" s="1343"/>
    </row>
    <row r="14" spans="2:14" ht="20.100000000000001" customHeight="1" x14ac:dyDescent="0.2">
      <c r="B14" s="1961" t="s">
        <v>2128</v>
      </c>
      <c r="C14" s="1968">
        <v>84.126000000000005</v>
      </c>
      <c r="D14" s="1967" t="s">
        <v>2173</v>
      </c>
      <c r="E14" s="1343">
        <v>20352</v>
      </c>
      <c r="F14" s="1343">
        <v>6194</v>
      </c>
      <c r="G14" s="1343">
        <v>20352</v>
      </c>
      <c r="H14" s="1343">
        <v>0</v>
      </c>
      <c r="I14" s="1343">
        <v>6194</v>
      </c>
      <c r="J14" s="1343">
        <v>0</v>
      </c>
      <c r="K14" s="1343">
        <v>0</v>
      </c>
      <c r="L14" s="1340">
        <f t="shared" si="0"/>
        <v>26546</v>
      </c>
      <c r="M14" s="1343"/>
    </row>
    <row r="15" spans="2:14" ht="20.100000000000001" customHeight="1" x14ac:dyDescent="0.2">
      <c r="B15" s="1961" t="s">
        <v>2124</v>
      </c>
      <c r="C15" s="1968">
        <v>84.126000000000005</v>
      </c>
      <c r="D15" s="1967" t="s">
        <v>2174</v>
      </c>
      <c r="E15" s="1964">
        <v>0</v>
      </c>
      <c r="F15" s="1964">
        <v>17108</v>
      </c>
      <c r="G15" s="1964">
        <v>0</v>
      </c>
      <c r="H15" s="1964">
        <v>0</v>
      </c>
      <c r="I15" s="1964">
        <v>17108</v>
      </c>
      <c r="J15" s="1964">
        <v>0</v>
      </c>
      <c r="K15" s="1964">
        <v>0</v>
      </c>
      <c r="L15" s="1340">
        <f t="shared" si="0"/>
        <v>17108</v>
      </c>
      <c r="M15" s="1343"/>
    </row>
    <row r="16" spans="2:14" ht="20.100000000000001" customHeight="1" x14ac:dyDescent="0.2">
      <c r="B16" s="1337"/>
      <c r="C16" s="1341"/>
      <c r="D16" s="1342"/>
      <c r="E16" s="1966">
        <f t="shared" ref="E16:K16" si="1">SUM(E14:E15)</f>
        <v>20352</v>
      </c>
      <c r="F16" s="1966">
        <f t="shared" si="1"/>
        <v>23302</v>
      </c>
      <c r="G16" s="1966">
        <f t="shared" si="1"/>
        <v>20352</v>
      </c>
      <c r="H16" s="1966">
        <f t="shared" si="1"/>
        <v>0</v>
      </c>
      <c r="I16" s="1966">
        <f t="shared" si="1"/>
        <v>23302</v>
      </c>
      <c r="J16" s="1966">
        <f t="shared" si="1"/>
        <v>0</v>
      </c>
      <c r="K16" s="1966">
        <f t="shared" si="1"/>
        <v>0</v>
      </c>
      <c r="L16" s="1340">
        <f t="shared" si="0"/>
        <v>43654</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961" t="s">
        <v>2175</v>
      </c>
      <c r="C18" s="1961"/>
      <c r="D18" s="1961"/>
      <c r="E18" s="1343"/>
      <c r="F18" s="1343"/>
      <c r="G18" s="1343"/>
      <c r="H18" s="1343"/>
      <c r="I18" s="1343"/>
      <c r="J18" s="1343"/>
      <c r="K18" s="1343"/>
      <c r="L18" s="1340">
        <f t="shared" si="0"/>
        <v>0</v>
      </c>
      <c r="M18" s="1343"/>
    </row>
    <row r="19" spans="2:14" ht="20.100000000000001" customHeight="1" x14ac:dyDescent="0.2">
      <c r="B19" s="1961" t="s">
        <v>2124</v>
      </c>
      <c r="C19" s="1968">
        <v>93.778000000000006</v>
      </c>
      <c r="D19" s="1967" t="s">
        <v>2176</v>
      </c>
      <c r="E19" s="1343">
        <v>0</v>
      </c>
      <c r="F19" s="1343">
        <v>63332</v>
      </c>
      <c r="G19" s="1343">
        <v>0</v>
      </c>
      <c r="H19" s="1343">
        <v>0</v>
      </c>
      <c r="I19" s="1343">
        <v>63332</v>
      </c>
      <c r="J19" s="1343">
        <v>0</v>
      </c>
      <c r="K19" s="1343">
        <v>0</v>
      </c>
      <c r="L19" s="1340">
        <f t="shared" si="0"/>
        <v>63332</v>
      </c>
      <c r="M19" s="1343"/>
    </row>
    <row r="20" spans="2:14" ht="20.100000000000001" customHeight="1" x14ac:dyDescent="0.2">
      <c r="B20" s="1961"/>
      <c r="C20" s="1968"/>
      <c r="D20" s="1967"/>
      <c r="E20" s="1964"/>
      <c r="F20" s="1964"/>
      <c r="G20" s="1964"/>
      <c r="H20" s="1964"/>
      <c r="I20" s="1964"/>
      <c r="J20" s="1964"/>
      <c r="K20" s="1964"/>
      <c r="L20" s="1965">
        <f t="shared" si="0"/>
        <v>0</v>
      </c>
      <c r="M20" s="1343"/>
    </row>
    <row r="21" spans="2:14" ht="20.100000000000001" customHeight="1" x14ac:dyDescent="0.2">
      <c r="B21" s="1969" t="s">
        <v>2178</v>
      </c>
      <c r="C21" s="1341"/>
      <c r="D21" s="1342"/>
      <c r="E21" s="1966">
        <f>SUM(E16+E19)</f>
        <v>20352</v>
      </c>
      <c r="F21" s="1966">
        <f t="shared" ref="F21:K21" si="2">SUM(F16+F19)</f>
        <v>86634</v>
      </c>
      <c r="G21" s="1966">
        <f t="shared" si="2"/>
        <v>20352</v>
      </c>
      <c r="H21" s="1966">
        <f t="shared" si="2"/>
        <v>0</v>
      </c>
      <c r="I21" s="1966">
        <f t="shared" si="2"/>
        <v>86634</v>
      </c>
      <c r="J21" s="1966">
        <f t="shared" si="2"/>
        <v>0</v>
      </c>
      <c r="K21" s="1966">
        <f t="shared" si="2"/>
        <v>0</v>
      </c>
      <c r="L21" s="1966">
        <f t="shared" si="0"/>
        <v>106986</v>
      </c>
      <c r="M21" s="1343"/>
    </row>
    <row r="22" spans="2:14" ht="20.100000000000001" customHeight="1" x14ac:dyDescent="0.2">
      <c r="B22" s="1337"/>
      <c r="C22" s="1341"/>
      <c r="D22" s="1342"/>
      <c r="E22" s="1340"/>
      <c r="F22" s="1340"/>
      <c r="G22" s="1340"/>
      <c r="H22" s="1340"/>
      <c r="I22" s="1340"/>
      <c r="J22" s="1340"/>
      <c r="K22" s="1340"/>
      <c r="L22" s="1340">
        <f t="shared" si="0"/>
        <v>0</v>
      </c>
      <c r="M22" s="1343"/>
    </row>
    <row r="23" spans="2:14" ht="20.100000000000001" customHeight="1" x14ac:dyDescent="0.2">
      <c r="B23" s="1969" t="s">
        <v>2177</v>
      </c>
      <c r="C23" s="1968"/>
      <c r="D23" s="1967"/>
      <c r="E23" s="1343"/>
      <c r="F23" s="1343"/>
      <c r="G23" s="1343"/>
      <c r="H23" s="1343"/>
      <c r="I23" s="1343"/>
      <c r="J23" s="1343"/>
      <c r="K23" s="1343"/>
      <c r="L23" s="1340">
        <f t="shared" si="0"/>
        <v>0</v>
      </c>
      <c r="M23" s="1343"/>
    </row>
    <row r="24" spans="2:14" ht="20.100000000000001" customHeight="1" x14ac:dyDescent="0.2">
      <c r="B24" s="1961" t="s">
        <v>2175</v>
      </c>
      <c r="C24" s="1961"/>
      <c r="D24" s="1961"/>
      <c r="E24" s="1964"/>
      <c r="F24" s="1964"/>
      <c r="G24" s="1964"/>
      <c r="H24" s="1964"/>
      <c r="I24" s="1964"/>
      <c r="J24" s="1964"/>
      <c r="K24" s="1964"/>
      <c r="L24" s="1965">
        <f t="shared" si="0"/>
        <v>0</v>
      </c>
      <c r="M24" s="1343"/>
    </row>
    <row r="25" spans="2:14" ht="20.100000000000001" customHeight="1" x14ac:dyDescent="0.2">
      <c r="B25" s="1961" t="s">
        <v>2124</v>
      </c>
      <c r="C25" s="1968">
        <v>93.778000000000006</v>
      </c>
      <c r="D25" s="1967" t="s">
        <v>2176</v>
      </c>
      <c r="E25" s="1966">
        <v>0</v>
      </c>
      <c r="F25" s="1966">
        <v>5432</v>
      </c>
      <c r="G25" s="1966">
        <v>0</v>
      </c>
      <c r="H25" s="1966">
        <v>0</v>
      </c>
      <c r="I25" s="1966">
        <v>5432</v>
      </c>
      <c r="J25" s="1966">
        <v>0</v>
      </c>
      <c r="K25" s="1966">
        <v>0</v>
      </c>
      <c r="L25" s="1966">
        <f t="shared" si="0"/>
        <v>5432</v>
      </c>
      <c r="M25" s="1343"/>
    </row>
    <row r="26" spans="2:14" ht="20.100000000000001" customHeight="1" x14ac:dyDescent="0.2">
      <c r="B26" s="1337"/>
      <c r="C26" s="1341"/>
      <c r="D26" s="1342"/>
      <c r="E26" s="1965"/>
      <c r="F26" s="1965"/>
      <c r="G26" s="1965"/>
      <c r="H26" s="1965"/>
      <c r="I26" s="1965"/>
      <c r="J26" s="1965"/>
      <c r="K26" s="1965"/>
      <c r="L26" s="1965">
        <f t="shared" si="0"/>
        <v>0</v>
      </c>
      <c r="M26" s="1343"/>
    </row>
    <row r="27" spans="2:14" ht="20.100000000000001" customHeight="1" thickBot="1" x14ac:dyDescent="0.25">
      <c r="B27" s="1960" t="s">
        <v>2179</v>
      </c>
      <c r="C27" s="1341"/>
      <c r="D27" s="1342"/>
      <c r="E27" s="1971">
        <f>SUM(E21+E25)</f>
        <v>20352</v>
      </c>
      <c r="F27" s="1971">
        <f t="shared" ref="F27:K27" si="3">SUM(F21+F25)</f>
        <v>92066</v>
      </c>
      <c r="G27" s="1971">
        <f t="shared" si="3"/>
        <v>20352</v>
      </c>
      <c r="H27" s="1971">
        <f t="shared" si="3"/>
        <v>0</v>
      </c>
      <c r="I27" s="1971">
        <f t="shared" si="3"/>
        <v>92066</v>
      </c>
      <c r="J27" s="1971">
        <f t="shared" si="3"/>
        <v>0</v>
      </c>
      <c r="K27" s="1971">
        <f t="shared" si="3"/>
        <v>0</v>
      </c>
      <c r="L27" s="1971">
        <f t="shared" si="0"/>
        <v>112418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8.2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E48" sqref="E4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Murphysboro CUSD 186</v>
      </c>
      <c r="C1" s="2497"/>
      <c r="D1" s="2497"/>
      <c r="E1" s="2497"/>
      <c r="F1" s="2497"/>
      <c r="G1" s="2497"/>
      <c r="H1" s="2497"/>
      <c r="I1" s="2497"/>
      <c r="J1" s="2497"/>
      <c r="K1" s="2497"/>
      <c r="L1" s="2497"/>
      <c r="M1" s="2497"/>
    </row>
    <row r="2" spans="2:14" ht="15" x14ac:dyDescent="0.2">
      <c r="B2" s="2494">
        <f>'Single Audit Cover'!E7</f>
        <v>30039186026</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964"/>
      <c r="F17" s="1964"/>
      <c r="G17" s="1964"/>
      <c r="H17" s="1964"/>
      <c r="I17" s="1964"/>
      <c r="J17" s="1964"/>
      <c r="K17" s="1964"/>
      <c r="L17" s="1965">
        <f t="shared" si="0"/>
        <v>0</v>
      </c>
      <c r="M17" s="1343"/>
    </row>
    <row r="18" spans="2:14" ht="20.100000000000001" customHeight="1" thickBot="1" x14ac:dyDescent="0.25">
      <c r="B18" s="1960" t="s">
        <v>2180</v>
      </c>
      <c r="C18" s="1341"/>
      <c r="D18" s="1342"/>
      <c r="E18" s="1976">
        <f>SUM(' SEFA (6)'!E27+' SEFA (5)'!E27+' SEFA (3)'!E27)</f>
        <v>1809239</v>
      </c>
      <c r="F18" s="1976">
        <f>SUM(' SEFA (6)'!F27+' SEFA (5)'!F27+' SEFA (3)'!F27)</f>
        <v>2678571</v>
      </c>
      <c r="G18" s="1976">
        <f>SUM(' SEFA (6)'!G27+' SEFA (5)'!G27+' SEFA (3)'!G27)</f>
        <v>2100088</v>
      </c>
      <c r="H18" s="1976">
        <f>SUM(' SEFA (6)'!H27+' SEFA (5)'!H27+' SEFA (3)'!H27)</f>
        <v>0</v>
      </c>
      <c r="I18" s="1976">
        <f>SUM(' SEFA (6)'!I27+' SEFA (5)'!I27+' SEFA (3)'!I27)</f>
        <v>2835202</v>
      </c>
      <c r="J18" s="1976">
        <f>SUM(' SEFA (6)'!J27+' SEFA (5)'!J27+' SEFA (3)'!J27)</f>
        <v>0</v>
      </c>
      <c r="K18" s="1976">
        <f>SUM(' SEFA (6)'!K27+' SEFA (5)'!K27+' SEFA (3)'!K27)</f>
        <v>32945</v>
      </c>
      <c r="L18" s="1976">
        <f t="shared" si="0"/>
        <v>4968235</v>
      </c>
      <c r="M18" s="1343"/>
    </row>
    <row r="19" spans="2:14" ht="20.100000000000001" customHeight="1" thickTop="1" x14ac:dyDescent="0.2">
      <c r="B19" s="1337"/>
      <c r="C19" s="1341"/>
      <c r="D19" s="1342"/>
      <c r="E19" s="1340"/>
      <c r="F19" s="1340"/>
      <c r="G19" s="1340"/>
      <c r="H19" s="1340"/>
      <c r="I19" s="1340"/>
      <c r="J19" s="1340"/>
      <c r="K19" s="1340"/>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5.2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44&amp;R&amp;8Page 44</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E48" sqref="E4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1" t="str">
        <f>'Single Audit Cover'!A7</f>
        <v>Murphysboro CUSD 186</v>
      </c>
      <c r="C1" s="2512"/>
      <c r="D1" s="2512"/>
      <c r="E1" s="2512"/>
      <c r="F1" s="2512"/>
      <c r="G1" s="2512"/>
      <c r="H1" s="2512"/>
      <c r="I1" s="2512"/>
      <c r="J1" s="1422"/>
    </row>
    <row r="2" spans="2:10" s="317" customFormat="1" ht="12.75" customHeight="1" x14ac:dyDescent="0.2">
      <c r="B2" s="2513">
        <f>'Single Audit Cover'!E7</f>
        <v>30039186026</v>
      </c>
      <c r="C2" s="2514"/>
      <c r="D2" s="2514"/>
      <c r="E2" s="2514"/>
      <c r="F2" s="2514"/>
      <c r="G2" s="2514"/>
      <c r="H2" s="2514"/>
      <c r="I2" s="2514"/>
      <c r="J2" s="1422"/>
    </row>
    <row r="3" spans="2:10" s="317" customFormat="1" ht="12.75" customHeight="1" x14ac:dyDescent="0.2">
      <c r="B3" s="2515" t="s">
        <v>1347</v>
      </c>
      <c r="C3" s="2516"/>
      <c r="D3" s="2516"/>
      <c r="E3" s="2516"/>
      <c r="F3" s="2516"/>
      <c r="G3" s="2516"/>
      <c r="H3" s="2516"/>
      <c r="I3" s="2516"/>
      <c r="J3" s="1423"/>
    </row>
    <row r="4" spans="2:10" s="317" customFormat="1" ht="12.75" customHeight="1" x14ac:dyDescent="0.2">
      <c r="B4" s="2515" t="str">
        <f>'Single Audit Cover'!A4</f>
        <v>Year Ending June 30, 2018</v>
      </c>
      <c r="C4" s="2516"/>
      <c r="D4" s="2516"/>
      <c r="E4" s="2516"/>
      <c r="F4" s="2516"/>
      <c r="G4" s="2516"/>
      <c r="H4" s="2516"/>
      <c r="I4" s="251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15" t="s">
        <v>1346</v>
      </c>
      <c r="C7" s="2516"/>
      <c r="D7" s="2516"/>
      <c r="E7" s="2516"/>
      <c r="F7" s="2516"/>
      <c r="G7" s="2516"/>
      <c r="H7" s="2516"/>
      <c r="I7" s="251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17" t="s">
        <v>1226</v>
      </c>
      <c r="D11" s="251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2073</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18" t="s">
        <v>2105</v>
      </c>
      <c r="E29" s="2518"/>
      <c r="F29" s="2518"/>
      <c r="G29" s="2518"/>
      <c r="H29" s="2518"/>
      <c r="I29" s="251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19" t="s">
        <v>1851</v>
      </c>
      <c r="D37" s="2520"/>
      <c r="E37" s="2520"/>
      <c r="F37" s="2521"/>
      <c r="G37" s="2519" t="s">
        <v>1674</v>
      </c>
      <c r="H37" s="2520"/>
      <c r="I37" s="2521"/>
    </row>
    <row r="38" spans="2:9" ht="16.5" customHeight="1" x14ac:dyDescent="0.2">
      <c r="B38" s="1444" t="s">
        <v>2120</v>
      </c>
      <c r="C38" s="2507" t="s">
        <v>2199</v>
      </c>
      <c r="D38" s="2508"/>
      <c r="E38" s="2508"/>
      <c r="F38" s="2509"/>
      <c r="G38" s="2522">
        <v>1118042</v>
      </c>
      <c r="H38" s="2523"/>
      <c r="I38" s="2524"/>
    </row>
    <row r="39" spans="2:9" ht="16.5" customHeight="1" x14ac:dyDescent="0.2">
      <c r="B39" s="1444" t="s">
        <v>2200</v>
      </c>
      <c r="C39" s="2507" t="s">
        <v>2201</v>
      </c>
      <c r="D39" s="2508"/>
      <c r="E39" s="2508"/>
      <c r="F39" s="2509"/>
      <c r="G39" s="2510">
        <f>688406+304139+4903</f>
        <v>997448</v>
      </c>
      <c r="H39" s="2510"/>
      <c r="I39" s="2510"/>
    </row>
    <row r="40" spans="2:9" ht="16.5" customHeight="1" x14ac:dyDescent="0.2">
      <c r="B40" s="1444"/>
      <c r="C40" s="2507"/>
      <c r="D40" s="2508"/>
      <c r="E40" s="2508"/>
      <c r="F40" s="2509"/>
      <c r="G40" s="2510"/>
      <c r="H40" s="2510"/>
      <c r="I40" s="2510"/>
    </row>
    <row r="41" spans="2:9" ht="16.5" customHeight="1" x14ac:dyDescent="0.2">
      <c r="B41" s="1444"/>
      <c r="C41" s="2507"/>
      <c r="D41" s="2508"/>
      <c r="E41" s="2508"/>
      <c r="F41" s="2509"/>
      <c r="G41" s="2510"/>
      <c r="H41" s="2510"/>
      <c r="I41" s="2510"/>
    </row>
    <row r="42" spans="2:9" ht="16.5" customHeight="1" x14ac:dyDescent="0.2">
      <c r="B42" s="1444"/>
      <c r="C42" s="2507"/>
      <c r="D42" s="2508"/>
      <c r="E42" s="2508"/>
      <c r="F42" s="2509"/>
      <c r="G42" s="2510"/>
      <c r="H42" s="2510"/>
      <c r="I42" s="2510"/>
    </row>
    <row r="43" spans="2:9" ht="16.5" customHeight="1" x14ac:dyDescent="0.2">
      <c r="B43" s="1444"/>
      <c r="C43" s="2500" t="s">
        <v>1675</v>
      </c>
      <c r="D43" s="2501"/>
      <c r="E43" s="2501"/>
      <c r="F43" s="2502"/>
      <c r="G43" s="2503">
        <f>SUM(G38:I42)</f>
        <v>2115490</v>
      </c>
      <c r="H43" s="2503"/>
      <c r="I43" s="2503"/>
    </row>
    <row r="44" spans="2:9" ht="12.75" customHeight="1" x14ac:dyDescent="0.2"/>
    <row r="45" spans="2:9" ht="12.75" customHeight="1" x14ac:dyDescent="0.2">
      <c r="B45" s="1435" t="s">
        <v>1947</v>
      </c>
      <c r="D45" s="2504">
        <v>2835202</v>
      </c>
      <c r="E45" s="2505"/>
    </row>
    <row r="46" spans="2:9" ht="5.25" customHeight="1" x14ac:dyDescent="0.2">
      <c r="B46" s="1445"/>
      <c r="D46" s="1446"/>
      <c r="E46" s="1447"/>
    </row>
    <row r="47" spans="2:9" ht="12.75" customHeight="1" x14ac:dyDescent="0.2">
      <c r="B47" s="1300" t="s">
        <v>1676</v>
      </c>
      <c r="C47" s="1300"/>
      <c r="D47" s="1448">
        <f>+G43/D45</f>
        <v>0.74615142060424622</v>
      </c>
      <c r="E47" s="1449"/>
      <c r="F47" s="1450"/>
      <c r="I47" s="1451"/>
    </row>
    <row r="48" spans="2:9" ht="9.9499999999999993" customHeight="1" x14ac:dyDescent="0.2"/>
    <row r="49" spans="1:9" x14ac:dyDescent="0.2">
      <c r="B49" s="1368" t="s">
        <v>1335</v>
      </c>
      <c r="C49" s="1282"/>
      <c r="D49" s="1282"/>
      <c r="E49" s="2506">
        <v>750000</v>
      </c>
      <c r="F49" s="2506"/>
      <c r="G49" s="2506"/>
      <c r="H49" s="322"/>
    </row>
    <row r="51" spans="1:9" ht="13.5" customHeight="1" x14ac:dyDescent="0.2">
      <c r="B51" s="1368" t="s">
        <v>1334</v>
      </c>
      <c r="C51" s="1282"/>
      <c r="E51" s="1438" t="s">
        <v>2073</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E48" sqref="E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1" t="str">
        <f>'Single Audit Cover'!A7</f>
        <v>Murphysboro CUSD 186</v>
      </c>
      <c r="C1" s="2511"/>
      <c r="D1" s="2511"/>
      <c r="E1" s="2511"/>
      <c r="F1" s="2511"/>
      <c r="G1" s="2511"/>
      <c r="H1" s="2511"/>
      <c r="I1" s="2511"/>
      <c r="J1" s="2511"/>
      <c r="K1" s="2511"/>
      <c r="L1" s="1374"/>
      <c r="M1" s="1374"/>
    </row>
    <row r="2" spans="1:13" ht="12" customHeight="1" x14ac:dyDescent="0.2">
      <c r="B2" s="2513">
        <f>'Single Audit Cover'!E7</f>
        <v>30039186026</v>
      </c>
      <c r="C2" s="2513"/>
      <c r="D2" s="2513"/>
      <c r="E2" s="2513"/>
      <c r="F2" s="2513"/>
      <c r="G2" s="2513"/>
      <c r="H2" s="2513"/>
      <c r="I2" s="2513"/>
      <c r="J2" s="2513"/>
      <c r="K2" s="2513"/>
      <c r="L2" s="1375"/>
      <c r="M2" s="1376"/>
    </row>
    <row r="3" spans="1:13" ht="10.35" customHeight="1" x14ac:dyDescent="0.2">
      <c r="B3" s="2527" t="s">
        <v>1347</v>
      </c>
      <c r="C3" s="2527"/>
      <c r="D3" s="2527"/>
      <c r="E3" s="2527"/>
      <c r="F3" s="2527"/>
      <c r="G3" s="2527"/>
      <c r="H3" s="2527"/>
      <c r="I3" s="2527"/>
      <c r="J3" s="2527"/>
      <c r="K3" s="2527"/>
      <c r="L3" s="1377"/>
      <c r="M3" s="1377"/>
    </row>
    <row r="4" spans="1:13" ht="14.25" customHeight="1" x14ac:dyDescent="0.2">
      <c r="B4" s="2528" t="str">
        <f>'Single Audit Cover'!A4</f>
        <v>Year Ending June 30, 2018</v>
      </c>
      <c r="C4" s="2528"/>
      <c r="D4" s="2528"/>
      <c r="E4" s="2528"/>
      <c r="F4" s="2528"/>
      <c r="G4" s="2528"/>
      <c r="H4" s="2528"/>
      <c r="I4" s="2528"/>
      <c r="J4" s="2528"/>
      <c r="K4" s="252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8" t="s">
        <v>1363</v>
      </c>
      <c r="C7" s="2528"/>
      <c r="D7" s="2529"/>
      <c r="E7" s="2529"/>
      <c r="F7" s="2529"/>
      <c r="G7" s="2529"/>
      <c r="H7" s="2529"/>
      <c r="I7" s="2529"/>
      <c r="J7" s="2529"/>
      <c r="K7" s="252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26" t="s">
        <v>2100</v>
      </c>
      <c r="C14" s="2526"/>
      <c r="D14" s="2526"/>
      <c r="E14" s="2526"/>
      <c r="F14" s="2526"/>
      <c r="G14" s="2526"/>
      <c r="H14" s="2526"/>
      <c r="I14" s="2526"/>
      <c r="J14" s="2526"/>
      <c r="K14" s="252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26" t="s">
        <v>2106</v>
      </c>
      <c r="C17" s="2526"/>
      <c r="D17" s="2526"/>
      <c r="E17" s="2526"/>
      <c r="F17" s="2526"/>
      <c r="G17" s="2526"/>
      <c r="H17" s="2526"/>
      <c r="I17" s="2526"/>
      <c r="J17" s="2526"/>
      <c r="K17" s="252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0" t="s">
        <v>2107</v>
      </c>
      <c r="C20" s="2530"/>
      <c r="D20" s="2526"/>
      <c r="E20" s="2526"/>
      <c r="F20" s="2526"/>
      <c r="G20" s="2526"/>
      <c r="H20" s="2526"/>
      <c r="I20" s="2526"/>
      <c r="J20" s="2526"/>
      <c r="K20" s="252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26" t="s">
        <v>2108</v>
      </c>
      <c r="C23" s="2526"/>
      <c r="D23" s="2526"/>
      <c r="E23" s="2526"/>
      <c r="F23" s="2526"/>
      <c r="G23" s="2526"/>
      <c r="H23" s="2526"/>
      <c r="I23" s="2526"/>
      <c r="J23" s="2526"/>
      <c r="K23" s="252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19.5" customHeight="1" x14ac:dyDescent="0.2">
      <c r="B26" s="2526" t="s">
        <v>2108</v>
      </c>
      <c r="C26" s="2526"/>
      <c r="D26" s="2526"/>
      <c r="E26" s="2526"/>
      <c r="F26" s="2526"/>
      <c r="G26" s="2526"/>
      <c r="H26" s="2526"/>
      <c r="I26" s="2526"/>
      <c r="J26" s="2526"/>
      <c r="K26" s="252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5.5" customHeight="1" x14ac:dyDescent="0.2">
      <c r="B29" s="2531" t="s">
        <v>2109</v>
      </c>
      <c r="C29" s="2531"/>
      <c r="D29" s="2531"/>
      <c r="E29" s="2531"/>
      <c r="F29" s="2531"/>
      <c r="G29" s="2531"/>
      <c r="H29" s="2531"/>
      <c r="I29" s="2531"/>
      <c r="J29" s="2531"/>
      <c r="K29" s="253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25" t="s">
        <v>2110</v>
      </c>
      <c r="C32" s="2525"/>
      <c r="D32" s="2526"/>
      <c r="E32" s="2526"/>
      <c r="F32" s="2526"/>
      <c r="G32" s="2526"/>
      <c r="H32" s="2526"/>
      <c r="I32" s="2526"/>
      <c r="J32" s="2526"/>
      <c r="K32" s="252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E48" sqref="E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1" t="str">
        <f>'Single Audit Cover'!A7</f>
        <v>Murphysboro CUSD 186</v>
      </c>
      <c r="C1" s="2511"/>
      <c r="D1" s="2511"/>
      <c r="E1" s="2511"/>
      <c r="F1" s="2511"/>
      <c r="G1" s="2511"/>
      <c r="H1" s="2511"/>
      <c r="I1" s="2511"/>
      <c r="J1" s="2511"/>
      <c r="K1" s="2511"/>
      <c r="L1" s="1374"/>
      <c r="M1" s="1374"/>
    </row>
    <row r="2" spans="1:13" ht="12" customHeight="1" x14ac:dyDescent="0.2">
      <c r="B2" s="2513">
        <f>'Single Audit Cover'!E7</f>
        <v>30039186026</v>
      </c>
      <c r="C2" s="2513"/>
      <c r="D2" s="2513"/>
      <c r="E2" s="2513"/>
      <c r="F2" s="2513"/>
      <c r="G2" s="2513"/>
      <c r="H2" s="2513"/>
      <c r="I2" s="2513"/>
      <c r="J2" s="2513"/>
      <c r="K2" s="2513"/>
      <c r="L2" s="1375"/>
      <c r="M2" s="1376"/>
    </row>
    <row r="3" spans="1:13" ht="10.35" customHeight="1" x14ac:dyDescent="0.2">
      <c r="B3" s="2527" t="s">
        <v>1347</v>
      </c>
      <c r="C3" s="2527"/>
      <c r="D3" s="2527"/>
      <c r="E3" s="2527"/>
      <c r="F3" s="2527"/>
      <c r="G3" s="2527"/>
      <c r="H3" s="2527"/>
      <c r="I3" s="2527"/>
      <c r="J3" s="2527"/>
      <c r="K3" s="2527"/>
      <c r="L3" s="1951"/>
      <c r="M3" s="1951"/>
    </row>
    <row r="4" spans="1:13" ht="14.25" customHeight="1" x14ac:dyDescent="0.2">
      <c r="B4" s="2528" t="str">
        <f>'Single Audit Cover'!A4</f>
        <v>Year Ending June 30, 2018</v>
      </c>
      <c r="C4" s="2528"/>
      <c r="D4" s="2528"/>
      <c r="E4" s="2528"/>
      <c r="F4" s="2528"/>
      <c r="G4" s="2528"/>
      <c r="H4" s="2528"/>
      <c r="I4" s="2528"/>
      <c r="J4" s="2528"/>
      <c r="K4" s="252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8" t="s">
        <v>1363</v>
      </c>
      <c r="C7" s="2528"/>
      <c r="D7" s="2529"/>
      <c r="E7" s="2529"/>
      <c r="F7" s="2529"/>
      <c r="G7" s="2529"/>
      <c r="H7" s="2529"/>
      <c r="I7" s="2529"/>
      <c r="J7" s="2529"/>
      <c r="K7" s="252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2</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8.75" customHeight="1" x14ac:dyDescent="0.2">
      <c r="B14" s="2532" t="s">
        <v>2111</v>
      </c>
      <c r="C14" s="2532"/>
      <c r="D14" s="2532"/>
      <c r="E14" s="2532"/>
      <c r="F14" s="2532"/>
      <c r="G14" s="2532"/>
      <c r="H14" s="2532"/>
      <c r="I14" s="2532"/>
      <c r="J14" s="2532"/>
      <c r="K14" s="253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26" t="s">
        <v>2112</v>
      </c>
      <c r="C17" s="2526"/>
      <c r="D17" s="2526"/>
      <c r="E17" s="2526"/>
      <c r="F17" s="2526"/>
      <c r="G17" s="2526"/>
      <c r="H17" s="2526"/>
      <c r="I17" s="2526"/>
      <c r="J17" s="2526"/>
      <c r="K17" s="252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0" t="s">
        <v>2113</v>
      </c>
      <c r="C20" s="2530"/>
      <c r="D20" s="2526"/>
      <c r="E20" s="2526"/>
      <c r="F20" s="2526"/>
      <c r="G20" s="2526"/>
      <c r="H20" s="2526"/>
      <c r="I20" s="2526"/>
      <c r="J20" s="2526"/>
      <c r="K20" s="252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26" t="s">
        <v>2114</v>
      </c>
      <c r="C23" s="2526"/>
      <c r="D23" s="2526"/>
      <c r="E23" s="2526"/>
      <c r="F23" s="2526"/>
      <c r="G23" s="2526"/>
      <c r="H23" s="2526"/>
      <c r="I23" s="2526"/>
      <c r="J23" s="2526"/>
      <c r="K23" s="252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26" t="s">
        <v>2115</v>
      </c>
      <c r="C26" s="2526"/>
      <c r="D26" s="2526"/>
      <c r="E26" s="2526"/>
      <c r="F26" s="2526"/>
      <c r="G26" s="2526"/>
      <c r="H26" s="2526"/>
      <c r="I26" s="2526"/>
      <c r="J26" s="2526"/>
      <c r="K26" s="252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33" t="s">
        <v>2116</v>
      </c>
      <c r="C29" s="2533"/>
      <c r="D29" s="2534"/>
      <c r="E29" s="2534"/>
      <c r="F29" s="2534"/>
      <c r="G29" s="2534"/>
      <c r="H29" s="2534"/>
      <c r="I29" s="2534"/>
      <c r="J29" s="2534"/>
      <c r="K29" s="253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25" t="s">
        <v>2117</v>
      </c>
      <c r="C32" s="2525"/>
      <c r="D32" s="2526"/>
      <c r="E32" s="2526"/>
      <c r="F32" s="2526"/>
      <c r="G32" s="2526"/>
      <c r="H32" s="2526"/>
      <c r="I32" s="2526"/>
      <c r="J32" s="2526"/>
      <c r="K32" s="252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E48" sqref="E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1" t="str">
        <f>'Single Audit Cover'!A7</f>
        <v>Murphysboro CUSD 186</v>
      </c>
      <c r="C1" s="2511"/>
      <c r="D1" s="2511"/>
      <c r="E1" s="2511"/>
      <c r="F1" s="2511"/>
      <c r="G1" s="2511"/>
      <c r="H1" s="2511"/>
      <c r="I1" s="2511"/>
      <c r="J1" s="2511"/>
      <c r="K1" s="2511"/>
      <c r="L1" s="1374"/>
      <c r="M1" s="1374"/>
    </row>
    <row r="2" spans="1:13" ht="12" customHeight="1" x14ac:dyDescent="0.2">
      <c r="B2" s="2513">
        <f>'Single Audit Cover'!E7</f>
        <v>30039186026</v>
      </c>
      <c r="C2" s="2513"/>
      <c r="D2" s="2513"/>
      <c r="E2" s="2513"/>
      <c r="F2" s="2513"/>
      <c r="G2" s="2513"/>
      <c r="H2" s="2513"/>
      <c r="I2" s="2513"/>
      <c r="J2" s="2513"/>
      <c r="K2" s="2513"/>
      <c r="L2" s="1375"/>
      <c r="M2" s="1376"/>
    </row>
    <row r="3" spans="1:13" ht="10.35" customHeight="1" x14ac:dyDescent="0.2">
      <c r="B3" s="2527" t="s">
        <v>1347</v>
      </c>
      <c r="C3" s="2527"/>
      <c r="D3" s="2527"/>
      <c r="E3" s="2527"/>
      <c r="F3" s="2527"/>
      <c r="G3" s="2527"/>
      <c r="H3" s="2527"/>
      <c r="I3" s="2527"/>
      <c r="J3" s="2527"/>
      <c r="K3" s="2527"/>
      <c r="L3" s="1951"/>
      <c r="M3" s="1951"/>
    </row>
    <row r="4" spans="1:13" ht="14.25" customHeight="1" x14ac:dyDescent="0.2">
      <c r="B4" s="2528" t="str">
        <f>'Single Audit Cover'!A4</f>
        <v>Year Ending June 30, 2018</v>
      </c>
      <c r="C4" s="2528"/>
      <c r="D4" s="2528"/>
      <c r="E4" s="2528"/>
      <c r="F4" s="2528"/>
      <c r="G4" s="2528"/>
      <c r="H4" s="2528"/>
      <c r="I4" s="2528"/>
      <c r="J4" s="2528"/>
      <c r="K4" s="252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8" t="s">
        <v>1363</v>
      </c>
      <c r="C7" s="2528"/>
      <c r="D7" s="2529"/>
      <c r="E7" s="2529"/>
      <c r="F7" s="2529"/>
      <c r="G7" s="2529"/>
      <c r="H7" s="2529"/>
      <c r="I7" s="2529"/>
      <c r="J7" s="2529"/>
      <c r="K7" s="252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3</v>
      </c>
      <c r="E10" s="322"/>
      <c r="F10" s="1387" t="s">
        <v>1362</v>
      </c>
      <c r="G10" s="1388" t="s">
        <v>2073</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36" t="s">
        <v>2202</v>
      </c>
      <c r="C14" s="2536"/>
      <c r="D14" s="2536"/>
      <c r="E14" s="2536"/>
      <c r="F14" s="2536"/>
      <c r="G14" s="2536"/>
      <c r="H14" s="2536"/>
      <c r="I14" s="2536"/>
      <c r="J14" s="2536"/>
      <c r="K14" s="253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36" t="s">
        <v>2203</v>
      </c>
      <c r="C17" s="2536"/>
      <c r="D17" s="2536"/>
      <c r="E17" s="2536"/>
      <c r="F17" s="2536"/>
      <c r="G17" s="2536"/>
      <c r="H17" s="2536"/>
      <c r="I17" s="2536"/>
      <c r="J17" s="2536"/>
      <c r="K17" s="253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7"/>
      <c r="C20" s="2537"/>
      <c r="D20" s="2536"/>
      <c r="E20" s="2536"/>
      <c r="F20" s="2536"/>
      <c r="G20" s="2536"/>
      <c r="H20" s="2536"/>
      <c r="I20" s="2536"/>
      <c r="J20" s="2536"/>
      <c r="K20" s="253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6" t="s">
        <v>2204</v>
      </c>
      <c r="C23" s="2536"/>
      <c r="D23" s="2536"/>
      <c r="E23" s="2536"/>
      <c r="F23" s="2536"/>
      <c r="G23" s="2536"/>
      <c r="H23" s="2536"/>
      <c r="I23" s="2536"/>
      <c r="J23" s="2536"/>
      <c r="K23" s="253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36" t="s">
        <v>2205</v>
      </c>
      <c r="C26" s="2536"/>
      <c r="D26" s="2536"/>
      <c r="E26" s="2536"/>
      <c r="F26" s="2536"/>
      <c r="G26" s="2536"/>
      <c r="H26" s="2536"/>
      <c r="I26" s="2536"/>
      <c r="J26" s="2536"/>
      <c r="K26" s="253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35" t="s">
        <v>2206</v>
      </c>
      <c r="C29" s="2535"/>
      <c r="D29" s="2536"/>
      <c r="E29" s="2536"/>
      <c r="F29" s="2536"/>
      <c r="G29" s="2536"/>
      <c r="H29" s="2536"/>
      <c r="I29" s="2536"/>
      <c r="J29" s="2536"/>
      <c r="K29" s="253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35" t="s">
        <v>2207</v>
      </c>
      <c r="C32" s="2535"/>
      <c r="D32" s="2536"/>
      <c r="E32" s="2536"/>
      <c r="F32" s="2536"/>
      <c r="G32" s="2536"/>
      <c r="H32" s="2536"/>
      <c r="I32" s="2536"/>
      <c r="J32" s="2536"/>
      <c r="K32" s="253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48" sqref="E4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1" t="str">
        <f>'Single Audit Cover'!A7</f>
        <v>Murphysboro CUSD 186</v>
      </c>
      <c r="C1" s="2541"/>
      <c r="D1" s="2541"/>
      <c r="E1" s="2541"/>
      <c r="F1" s="2541"/>
      <c r="G1" s="2541"/>
      <c r="H1" s="2541"/>
      <c r="I1" s="2541"/>
      <c r="J1" s="2541"/>
      <c r="K1" s="2541"/>
      <c r="L1" s="1465"/>
    </row>
    <row r="2" spans="1:12" ht="12.75" customHeight="1" x14ac:dyDescent="0.2">
      <c r="B2" s="2542">
        <f>'Single Audit Cover'!E7</f>
        <v>30039186026</v>
      </c>
      <c r="C2" s="2542"/>
      <c r="D2" s="2542"/>
      <c r="E2" s="2542"/>
      <c r="F2" s="2542"/>
      <c r="G2" s="2542"/>
      <c r="H2" s="2542"/>
      <c r="I2" s="2542"/>
      <c r="J2" s="2542"/>
      <c r="K2" s="2542"/>
      <c r="L2" s="1466"/>
    </row>
    <row r="3" spans="1:12" ht="12.75" customHeight="1" x14ac:dyDescent="0.2">
      <c r="B3" s="2527" t="s">
        <v>1347</v>
      </c>
      <c r="C3" s="2527"/>
      <c r="D3" s="2527"/>
      <c r="E3" s="2527"/>
      <c r="F3" s="2527"/>
      <c r="G3" s="2527"/>
      <c r="H3" s="2527"/>
      <c r="I3" s="2527"/>
      <c r="J3" s="2527"/>
      <c r="K3" s="2527"/>
      <c r="L3" s="1377"/>
    </row>
    <row r="4" spans="1:12" ht="12.75" customHeight="1" x14ac:dyDescent="0.2">
      <c r="B4" s="2527" t="str">
        <f>'Single Audit Cover'!A4</f>
        <v>Year Ending June 30, 2018</v>
      </c>
      <c r="C4" s="2527"/>
      <c r="D4" s="2527"/>
      <c r="E4" s="2527"/>
      <c r="F4" s="2527"/>
      <c r="G4" s="2527"/>
      <c r="H4" s="2527"/>
      <c r="I4" s="2527"/>
      <c r="J4" s="2527"/>
      <c r="K4" s="2527"/>
      <c r="L4" s="1377"/>
    </row>
    <row r="5" spans="1:12" ht="5.25" customHeight="1" x14ac:dyDescent="0.2">
      <c r="B5" s="1260" t="s">
        <v>1231</v>
      </c>
      <c r="C5" s="1260"/>
      <c r="L5" s="322"/>
    </row>
    <row r="6" spans="1:12" ht="30.75" customHeight="1" x14ac:dyDescent="0.2">
      <c r="A6" s="322"/>
      <c r="B6" s="2543" t="s">
        <v>1375</v>
      </c>
      <c r="C6" s="2543"/>
      <c r="D6" s="2543"/>
      <c r="E6" s="2543"/>
      <c r="F6" s="2543"/>
      <c r="G6" s="2543"/>
      <c r="H6" s="2543"/>
      <c r="I6" s="2543"/>
      <c r="J6" s="2543"/>
      <c r="K6" s="254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2098</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18"/>
      <c r="G12" s="2518"/>
      <c r="H12" s="2518"/>
      <c r="I12" s="2518"/>
      <c r="J12" s="2518"/>
      <c r="K12" s="251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38"/>
      <c r="E14" s="2538"/>
      <c r="F14" s="2538"/>
      <c r="H14" s="1475" t="s">
        <v>1370</v>
      </c>
      <c r="I14" s="2539"/>
      <c r="J14" s="2539"/>
      <c r="K14" s="253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39"/>
      <c r="E16" s="2539"/>
      <c r="F16" s="2539"/>
      <c r="G16" s="2539"/>
      <c r="H16" s="2539"/>
      <c r="I16" s="2539"/>
      <c r="J16" s="2539"/>
      <c r="K16" s="2539"/>
      <c r="L16" s="322"/>
    </row>
    <row r="17" spans="2:12" ht="13.5" customHeight="1" x14ac:dyDescent="0.2">
      <c r="B17" s="1387" t="s">
        <v>1368</v>
      </c>
      <c r="C17" s="1387"/>
      <c r="D17" s="2540"/>
      <c r="E17" s="2540"/>
      <c r="F17" s="2540"/>
      <c r="G17" s="2540"/>
      <c r="H17" s="2540"/>
      <c r="I17" s="2540"/>
      <c r="J17" s="2540"/>
      <c r="K17" s="254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36"/>
      <c r="C20" s="2536"/>
      <c r="D20" s="2536"/>
      <c r="E20" s="2536"/>
      <c r="F20" s="2536"/>
      <c r="G20" s="2536"/>
      <c r="H20" s="2536"/>
      <c r="I20" s="2536"/>
      <c r="J20" s="2536"/>
      <c r="K20" s="253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36"/>
      <c r="C23" s="2536"/>
      <c r="D23" s="2536"/>
      <c r="E23" s="2536"/>
      <c r="F23" s="2536"/>
      <c r="G23" s="2536"/>
      <c r="H23" s="2536"/>
      <c r="I23" s="2536"/>
      <c r="J23" s="2536"/>
      <c r="K23" s="253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36"/>
      <c r="C26" s="2536"/>
      <c r="D26" s="2536"/>
      <c r="E26" s="2536"/>
      <c r="F26" s="2536"/>
      <c r="G26" s="2536"/>
      <c r="H26" s="2536"/>
      <c r="I26" s="2536"/>
      <c r="J26" s="2536"/>
      <c r="K26" s="253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36"/>
      <c r="C29" s="2536"/>
      <c r="D29" s="2536"/>
      <c r="E29" s="2536"/>
      <c r="F29" s="2536"/>
      <c r="G29" s="2536"/>
      <c r="H29" s="2536"/>
      <c r="I29" s="2536"/>
      <c r="J29" s="2536"/>
      <c r="K29" s="253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36"/>
      <c r="C32" s="2536"/>
      <c r="D32" s="2536"/>
      <c r="E32" s="2536"/>
      <c r="F32" s="2536"/>
      <c r="G32" s="2536"/>
      <c r="H32" s="2536"/>
      <c r="I32" s="2536"/>
      <c r="J32" s="2536"/>
      <c r="K32" s="253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36"/>
      <c r="C35" s="2536"/>
      <c r="D35" s="2536"/>
      <c r="E35" s="2536"/>
      <c r="F35" s="2536"/>
      <c r="G35" s="2536"/>
      <c r="H35" s="2536"/>
      <c r="I35" s="2536"/>
      <c r="J35" s="2536"/>
      <c r="K35" s="253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36"/>
      <c r="C38" s="2536"/>
      <c r="D38" s="2536"/>
      <c r="E38" s="2536"/>
      <c r="F38" s="2536"/>
      <c r="G38" s="2536"/>
      <c r="H38" s="2536"/>
      <c r="I38" s="2536"/>
      <c r="J38" s="2536"/>
      <c r="K38" s="253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36"/>
      <c r="C41" s="2536"/>
      <c r="D41" s="2536"/>
      <c r="E41" s="2536"/>
      <c r="F41" s="2536"/>
      <c r="G41" s="2536"/>
      <c r="H41" s="2536"/>
      <c r="I41" s="2536"/>
      <c r="J41" s="2536"/>
      <c r="K41" s="253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5" t="s">
        <v>404</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159273209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2.9027799999999999E-2</v>
      </c>
      <c r="E10" s="356" t="s">
        <v>1062</v>
      </c>
      <c r="F10" s="355">
        <v>4.4451999999999998E-3</v>
      </c>
      <c r="G10" s="356" t="s">
        <v>1062</v>
      </c>
      <c r="H10" s="355">
        <v>2.2195000000000001E-3</v>
      </c>
      <c r="I10" s="356" t="s">
        <v>1063</v>
      </c>
      <c r="J10" s="1752">
        <f>ROUND(D10+F10+H10,5)</f>
        <v>3.569E-2</v>
      </c>
      <c r="K10" s="222"/>
      <c r="L10" s="355">
        <v>4.772E-4</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27888837</v>
      </c>
      <c r="E16" s="356"/>
      <c r="F16" s="1753">
        <f>SUM('Acct Summary 7-8'!C17,'Acct Summary 7-8'!D17,'Acct Summary 7-8'!F17)</f>
        <v>26378508</v>
      </c>
      <c r="G16" s="356"/>
      <c r="H16" s="1753">
        <f>SUM(D16-F16)</f>
        <v>1510329</v>
      </c>
      <c r="I16" s="222"/>
      <c r="J16" s="1753">
        <f>SUM('Acct Summary 7-8'!C81,'Acct Summary 7-8'!D81,'Acct Summary 7-8'!F81,'Acct Summary 7-8'!I81)</f>
        <v>5538718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21979702.842</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7360000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75" customHeight="1" x14ac:dyDescent="0.2">
      <c r="B55" s="2139"/>
      <c r="C55" s="2140"/>
      <c r="D55" s="2140"/>
      <c r="E55" s="2140"/>
      <c r="F55" s="2140"/>
      <c r="G55" s="2140"/>
      <c r="H55" s="2140"/>
      <c r="I55" s="2140"/>
      <c r="J55" s="2140"/>
      <c r="K55" s="2140"/>
      <c r="L55" s="2141"/>
      <c r="M55" s="380"/>
    </row>
    <row r="56" spans="1:13" ht="12.75" customHeight="1" x14ac:dyDescent="0.2">
      <c r="B56" s="2139"/>
      <c r="C56" s="2140"/>
      <c r="D56" s="2140"/>
      <c r="E56" s="2140"/>
      <c r="F56" s="2140"/>
      <c r="G56" s="2140"/>
      <c r="H56" s="2140"/>
      <c r="I56" s="2140"/>
      <c r="J56" s="2140"/>
      <c r="K56" s="2140"/>
      <c r="L56" s="2141"/>
      <c r="M56" s="222"/>
    </row>
    <row r="57" spans="1:13" ht="12.7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48" sqref="E4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1" t="str">
        <f>'Single Audit Cover'!A7</f>
        <v>Murphysboro CUSD 186</v>
      </c>
      <c r="C1" s="2511"/>
      <c r="D1" s="2511"/>
      <c r="E1" s="1491"/>
    </row>
    <row r="2" spans="2:5" s="1282" customFormat="1" ht="12.75" customHeight="1" x14ac:dyDescent="0.2">
      <c r="B2" s="2513">
        <f>'Single Audit Cover'!E7</f>
        <v>30039186026</v>
      </c>
      <c r="C2" s="2513"/>
      <c r="D2" s="2513"/>
      <c r="E2" s="1492"/>
    </row>
    <row r="3" spans="2:5" ht="12.75" customHeight="1" x14ac:dyDescent="0.2">
      <c r="B3" s="2527" t="s">
        <v>1866</v>
      </c>
      <c r="C3" s="2527"/>
      <c r="D3" s="2527"/>
      <c r="E3" s="1274"/>
    </row>
    <row r="4" spans="2:5" s="1282" customFormat="1" ht="12.75" customHeight="1" x14ac:dyDescent="0.2">
      <c r="B4" s="2544" t="str">
        <f>'Single Audit Cover'!A4</f>
        <v>Year Ending June 30, 2018</v>
      </c>
      <c r="C4" s="2544"/>
      <c r="D4" s="2544"/>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956" t="s">
        <v>2103</v>
      </c>
      <c r="C8" s="1957" t="s">
        <v>2100</v>
      </c>
      <c r="D8" s="1957" t="s">
        <v>2101</v>
      </c>
      <c r="E8" s="324"/>
    </row>
    <row r="9" spans="2:5" ht="13.5" customHeight="1" x14ac:dyDescent="0.2">
      <c r="B9" s="1958"/>
      <c r="C9" s="1959"/>
      <c r="D9" s="1959"/>
      <c r="E9" s="323"/>
    </row>
    <row r="10" spans="2:5" ht="13.5" customHeight="1" x14ac:dyDescent="0.2">
      <c r="B10" s="1956" t="s">
        <v>2104</v>
      </c>
      <c r="C10" s="1959" t="s">
        <v>2102</v>
      </c>
      <c r="D10" s="1957" t="s">
        <v>2101</v>
      </c>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1868</v>
      </c>
    </row>
    <row r="46" spans="2:5" ht="12.2" customHeight="1" x14ac:dyDescent="0.2">
      <c r="B46" s="1504" t="s">
        <v>1869</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E48" sqref="E4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577</v>
      </c>
      <c r="B2" s="2154"/>
      <c r="C2" s="2154"/>
      <c r="D2" s="2154"/>
      <c r="E2" s="2154"/>
      <c r="F2" s="2154"/>
      <c r="G2" s="2154"/>
      <c r="H2" s="2154"/>
      <c r="I2" s="2154"/>
      <c r="J2" s="2154"/>
      <c r="K2" s="2154"/>
      <c r="L2" s="2154"/>
      <c r="M2" s="2154"/>
      <c r="N2" s="2154"/>
      <c r="O2" s="2154"/>
      <c r="P2" s="2154"/>
      <c r="Q2" s="2154"/>
      <c r="R2" s="2154"/>
    </row>
    <row r="3" spans="1:18" ht="12.75" x14ac:dyDescent="0.2">
      <c r="A3" s="2155" t="s">
        <v>1480</v>
      </c>
      <c r="B3" s="2155"/>
      <c r="C3" s="2155"/>
      <c r="D3" s="2155"/>
      <c r="E3" s="2155"/>
      <c r="F3" s="2155"/>
      <c r="G3" s="2155"/>
      <c r="H3" s="2155"/>
      <c r="I3" s="2155"/>
      <c r="J3" s="2155"/>
      <c r="K3" s="2155"/>
      <c r="L3" s="2155"/>
      <c r="M3" s="2155"/>
      <c r="N3" s="2155"/>
      <c r="O3" s="2155"/>
      <c r="P3" s="2155"/>
      <c r="Q3" s="2155"/>
      <c r="R3" s="2155"/>
    </row>
    <row r="4" spans="1:18" x14ac:dyDescent="0.2">
      <c r="A4" s="2156" t="s">
        <v>1635</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Murphysboro CUSD 186</v>
      </c>
      <c r="E7" s="391"/>
      <c r="G7" s="252"/>
      <c r="H7" s="387"/>
      <c r="I7" s="387"/>
      <c r="J7" s="387"/>
      <c r="K7" s="387"/>
      <c r="L7" s="329"/>
      <c r="M7" s="329"/>
      <c r="N7" s="329"/>
      <c r="O7" s="329"/>
      <c r="P7" s="329"/>
    </row>
    <row r="8" spans="1:18" ht="12.75" x14ac:dyDescent="0.2">
      <c r="A8" s="329"/>
      <c r="B8" s="329"/>
      <c r="C8" s="389" t="s">
        <v>1187</v>
      </c>
      <c r="D8" s="392">
        <f>COVER!A13</f>
        <v>30039186026</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5538718</v>
      </c>
      <c r="I12" s="404"/>
      <c r="J12" s="404"/>
      <c r="K12" s="405">
        <f>TRUNC((H12/H13*100000),5)/100000</f>
        <v>0.19930096089999999</v>
      </c>
      <c r="L12" s="406"/>
      <c r="M12" s="360" t="s">
        <v>1206</v>
      </c>
      <c r="N12" s="360"/>
      <c r="O12" s="407">
        <v>0.35</v>
      </c>
      <c r="P12" s="218"/>
      <c r="Q12" s="218"/>
    </row>
    <row r="13" spans="1:18" s="408" customFormat="1" ht="12.75" x14ac:dyDescent="0.2">
      <c r="A13" s="218"/>
      <c r="B13" s="401"/>
      <c r="C13" s="2152" t="s">
        <v>1391</v>
      </c>
      <c r="D13" s="2153"/>
      <c r="E13" s="218"/>
      <c r="F13" s="409" t="s">
        <v>826</v>
      </c>
      <c r="G13" s="402"/>
      <c r="H13" s="403">
        <f>SUM('Acct Summary 7-8'!C8+'Acct Summary 7-8'!D8+'Acct Summary 7-8'!F8+'Acct Summary 7-8'!I8)+H14</f>
        <v>27790724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-98113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26378508</v>
      </c>
      <c r="I17" s="404"/>
      <c r="J17" s="416"/>
      <c r="K17" s="405">
        <f>TRUNC((H17/H18*100000),5)/100000</f>
        <v>0.94918390750000003</v>
      </c>
      <c r="L17" s="406"/>
      <c r="M17" s="417" t="s">
        <v>1233</v>
      </c>
      <c r="O17" s="418" t="str">
        <f>IF(AND(O16="2", J20 &gt; 2),"1",IF(AND(O16 = "1", J20 &gt; 2),"2",IF(AND(O16="1", J20 &gt;1),"1","0")))</f>
        <v>0</v>
      </c>
      <c r="P17" s="218"/>
    </row>
    <row r="18" spans="1:18" s="408" customFormat="1" ht="11.25" x14ac:dyDescent="0.2">
      <c r="A18" s="218"/>
      <c r="B18" s="401"/>
      <c r="C18" s="2152" t="s">
        <v>1384</v>
      </c>
      <c r="D18" s="2153"/>
      <c r="E18" s="218"/>
      <c r="F18" s="419" t="s">
        <v>827</v>
      </c>
      <c r="G18" s="402"/>
      <c r="H18" s="403">
        <f>SUM('Acct Summary 7-8'!C8+'Acct Summary 7-8'!D8+'Acct Summary 7-8'!F8+'Acct Summary 7-8'!I8)+H19</f>
        <v>27790724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-98113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49" t="s">
        <v>1479</v>
      </c>
      <c r="D24" s="2149"/>
      <c r="E24" s="218"/>
      <c r="F24" s="218" t="s">
        <v>465</v>
      </c>
      <c r="G24" s="402"/>
      <c r="H24" s="403">
        <f>SUM('Assets-Liab 5-6'!C4+'Assets-Liab 5-6'!D4+'Assets-Liab 5-6'!F4+'Assets-Liab 5-6'!I4+'Assets-Liab 5-6'!C5+'Assets-Liab 5-6'!D5+'Assets-Liab 5-6'!F5+'Assets-Liab 5-6'!I5)</f>
        <v>5474416</v>
      </c>
      <c r="I24" s="422"/>
      <c r="J24" s="422"/>
      <c r="K24" s="423">
        <f>TRUNC(((H24/H25*100000)/100000),2)</f>
        <v>74.709999999999994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73273.633329999997</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4831791.7048300002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7360000</v>
      </c>
      <c r="I32" s="420"/>
      <c r="J32" s="420"/>
      <c r="K32" s="423">
        <f>TRUNC(100-((((H32/H33*100))*100)/100),2)</f>
        <v>66.510000000000005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21979702.842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E48" sqref="E48"/>
      <selection pane="bottomLeft" activeCell="E48" sqref="E4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9" t="s">
        <v>1030</v>
      </c>
      <c r="B3" s="2160"/>
      <c r="C3" s="1580"/>
      <c r="D3" s="1581"/>
      <c r="E3" s="1581"/>
      <c r="F3" s="1581"/>
      <c r="G3" s="1581"/>
      <c r="H3" s="1581"/>
      <c r="I3" s="1581"/>
      <c r="J3" s="1581"/>
      <c r="K3" s="1581"/>
      <c r="L3" s="1581"/>
      <c r="M3" s="1582"/>
      <c r="N3" s="1583"/>
    </row>
    <row r="4" spans="1:14" ht="13.5" customHeight="1" x14ac:dyDescent="0.2">
      <c r="A4" s="463" t="s">
        <v>1750</v>
      </c>
      <c r="B4" s="464"/>
      <c r="C4" s="465">
        <v>329567</v>
      </c>
      <c r="D4" s="466">
        <v>2352</v>
      </c>
      <c r="E4" s="466">
        <v>5000</v>
      </c>
      <c r="F4" s="466">
        <v>9982</v>
      </c>
      <c r="G4" s="466">
        <v>100</v>
      </c>
      <c r="H4" s="466">
        <v>100</v>
      </c>
      <c r="I4" s="466">
        <v>100</v>
      </c>
      <c r="J4" s="467">
        <v>6793</v>
      </c>
      <c r="K4" s="466">
        <v>100</v>
      </c>
      <c r="L4" s="466">
        <v>272136</v>
      </c>
      <c r="M4" s="468"/>
      <c r="N4" s="469"/>
    </row>
    <row r="5" spans="1:14" x14ac:dyDescent="0.2">
      <c r="A5" s="463" t="s">
        <v>1049</v>
      </c>
      <c r="B5" s="470">
        <v>120</v>
      </c>
      <c r="C5" s="465">
        <v>3085070</v>
      </c>
      <c r="D5" s="466">
        <v>792683</v>
      </c>
      <c r="E5" s="466">
        <v>356336</v>
      </c>
      <c r="F5" s="466">
        <v>306159</v>
      </c>
      <c r="G5" s="466">
        <v>85136</v>
      </c>
      <c r="H5" s="466">
        <v>5194724</v>
      </c>
      <c r="I5" s="466">
        <v>948503</v>
      </c>
      <c r="J5" s="467">
        <v>195127</v>
      </c>
      <c r="K5" s="471">
        <v>186552</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3414637</v>
      </c>
      <c r="D13" s="1757">
        <f t="shared" ref="D13:L13" si="0">SUM(D4:D12)</f>
        <v>795035</v>
      </c>
      <c r="E13" s="1757">
        <f t="shared" si="0"/>
        <v>361336</v>
      </c>
      <c r="F13" s="1757">
        <f t="shared" si="0"/>
        <v>316141</v>
      </c>
      <c r="G13" s="1757">
        <f t="shared" si="0"/>
        <v>85236</v>
      </c>
      <c r="H13" s="1757">
        <f t="shared" si="0"/>
        <v>5194824</v>
      </c>
      <c r="I13" s="1757">
        <f t="shared" si="0"/>
        <v>948603</v>
      </c>
      <c r="J13" s="1757">
        <f t="shared" si="0"/>
        <v>201920</v>
      </c>
      <c r="K13" s="1757">
        <f t="shared" si="0"/>
        <v>186652</v>
      </c>
      <c r="L13" s="1757">
        <f t="shared" si="0"/>
        <v>272136</v>
      </c>
      <c r="M13" s="468"/>
      <c r="N13" s="469"/>
    </row>
    <row r="14" spans="1:14" ht="18" customHeight="1" thickTop="1" x14ac:dyDescent="0.2">
      <c r="A14" s="2161" t="s">
        <v>149</v>
      </c>
      <c r="B14" s="2162"/>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294101</v>
      </c>
      <c r="N16" s="484"/>
    </row>
    <row r="17" spans="1:14" s="485" customFormat="1" ht="12.75" customHeight="1" x14ac:dyDescent="0.2">
      <c r="A17" s="482" t="s">
        <v>1470</v>
      </c>
      <c r="B17" s="483">
        <v>230</v>
      </c>
      <c r="C17" s="477"/>
      <c r="D17" s="477"/>
      <c r="E17" s="477"/>
      <c r="F17" s="477"/>
      <c r="G17" s="477"/>
      <c r="H17" s="477"/>
      <c r="I17" s="477"/>
      <c r="J17" s="477"/>
      <c r="K17" s="477"/>
      <c r="L17" s="477"/>
      <c r="M17" s="467">
        <v>34696310</v>
      </c>
      <c r="N17" s="484"/>
    </row>
    <row r="18" spans="1:14" s="485" customFormat="1" ht="12.75" customHeight="1" x14ac:dyDescent="0.2">
      <c r="A18" s="482" t="s">
        <v>1471</v>
      </c>
      <c r="B18" s="483">
        <v>240</v>
      </c>
      <c r="C18" s="477"/>
      <c r="D18" s="477"/>
      <c r="E18" s="477"/>
      <c r="F18" s="477"/>
      <c r="G18" s="477"/>
      <c r="H18" s="477"/>
      <c r="I18" s="477"/>
      <c r="J18" s="477"/>
      <c r="K18" s="477"/>
      <c r="L18" s="477"/>
      <c r="M18" s="467">
        <v>3876515</v>
      </c>
      <c r="N18" s="484"/>
    </row>
    <row r="19" spans="1:14" s="485" customFormat="1" ht="12.75" customHeight="1" x14ac:dyDescent="0.2">
      <c r="A19" s="482" t="s">
        <v>1472</v>
      </c>
      <c r="B19" s="483">
        <v>250</v>
      </c>
      <c r="C19" s="477"/>
      <c r="D19" s="477"/>
      <c r="E19" s="477"/>
      <c r="F19" s="477"/>
      <c r="G19" s="477"/>
      <c r="H19" s="477"/>
      <c r="I19" s="477"/>
      <c r="J19" s="477"/>
      <c r="K19" s="477"/>
      <c r="L19" s="477"/>
      <c r="M19" s="467">
        <f>4688718+482833</f>
        <v>5171551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361336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6998664</v>
      </c>
    </row>
    <row r="23" spans="1:14" ht="13.5" customHeight="1" thickBot="1" x14ac:dyDescent="0.25">
      <c r="A23" s="1756" t="s">
        <v>664</v>
      </c>
      <c r="B23" s="1761"/>
      <c r="C23" s="468"/>
      <c r="D23" s="468"/>
      <c r="E23" s="468"/>
      <c r="F23" s="468"/>
      <c r="G23" s="468"/>
      <c r="H23" s="468"/>
      <c r="I23" s="468"/>
      <c r="J23" s="468"/>
      <c r="K23" s="468"/>
      <c r="L23" s="468"/>
      <c r="M23" s="1708">
        <f>SUM(M15:M22)</f>
        <v>44038477</v>
      </c>
      <c r="N23" s="1708">
        <f>SUM(N21:N22)</f>
        <v>7360000</v>
      </c>
    </row>
    <row r="24" spans="1:14" ht="18" customHeight="1" thickTop="1" x14ac:dyDescent="0.2">
      <c r="A24" s="2163" t="s">
        <v>619</v>
      </c>
      <c r="B24" s="2164"/>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-64302</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272136</v>
      </c>
      <c r="M33" s="468"/>
      <c r="N33" s="469"/>
    </row>
    <row r="34" spans="1:14" ht="13.5" customHeight="1" thickBot="1" x14ac:dyDescent="0.25">
      <c r="A34" s="1758" t="s">
        <v>675</v>
      </c>
      <c r="B34" s="1759"/>
      <c r="C34" s="1760">
        <f>SUM(C25:C33)</f>
        <v>-64302</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272136</v>
      </c>
      <c r="M34" s="468"/>
      <c r="N34" s="480"/>
    </row>
    <row r="35" spans="1:14" ht="18" customHeight="1" thickTop="1" x14ac:dyDescent="0.2">
      <c r="A35" s="2165" t="s">
        <v>550</v>
      </c>
      <c r="B35" s="2166"/>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7360000</v>
      </c>
    </row>
    <row r="37" spans="1:14" ht="13.5" thickBot="1" x14ac:dyDescent="0.25">
      <c r="A37" s="1756" t="s">
        <v>674</v>
      </c>
      <c r="B37" s="1761"/>
      <c r="C37" s="477"/>
      <c r="D37" s="477"/>
      <c r="E37" s="477"/>
      <c r="F37" s="477"/>
      <c r="G37" s="477"/>
      <c r="H37" s="477"/>
      <c r="I37" s="477"/>
      <c r="J37" s="477"/>
      <c r="K37" s="477"/>
      <c r="L37" s="480"/>
      <c r="M37" s="468"/>
      <c r="N37" s="1708">
        <f>SUM(N36:N36)</f>
        <v>7360000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3478939</v>
      </c>
      <c r="D39" s="466">
        <v>795035</v>
      </c>
      <c r="E39" s="466">
        <v>361336</v>
      </c>
      <c r="F39" s="466">
        <v>316141</v>
      </c>
      <c r="G39" s="466">
        <v>85236</v>
      </c>
      <c r="H39" s="466">
        <v>5194824</v>
      </c>
      <c r="I39" s="466">
        <v>948603</v>
      </c>
      <c r="J39" s="467">
        <v>201920</v>
      </c>
      <c r="K39" s="466">
        <v>186652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44038477</v>
      </c>
      <c r="N40" s="497"/>
    </row>
    <row r="41" spans="1:14" ht="13.5" customHeight="1" thickBot="1" x14ac:dyDescent="0.25">
      <c r="A41" s="1756" t="s">
        <v>676</v>
      </c>
      <c r="B41" s="1726"/>
      <c r="C41" s="1708">
        <f>(SUM(C34,C37,C38,C39))</f>
        <v>3414637</v>
      </c>
      <c r="D41" s="1708">
        <f t="shared" ref="D41:L41" si="2">SUM(D34,D37,D38:D39)</f>
        <v>795035</v>
      </c>
      <c r="E41" s="1708">
        <f t="shared" si="2"/>
        <v>361336</v>
      </c>
      <c r="F41" s="1708">
        <f t="shared" si="2"/>
        <v>316141</v>
      </c>
      <c r="G41" s="1708">
        <f t="shared" si="2"/>
        <v>85236</v>
      </c>
      <c r="H41" s="1708">
        <f t="shared" si="2"/>
        <v>5194824</v>
      </c>
      <c r="I41" s="1708">
        <f t="shared" si="2"/>
        <v>948603</v>
      </c>
      <c r="J41" s="1708">
        <f t="shared" si="2"/>
        <v>201920</v>
      </c>
      <c r="K41" s="1708">
        <f t="shared" si="2"/>
        <v>186652</v>
      </c>
      <c r="L41" s="1708">
        <f t="shared" si="2"/>
        <v>272136</v>
      </c>
      <c r="M41" s="1708">
        <f>SUM(M40)</f>
        <v>44038477</v>
      </c>
      <c r="N41" s="1708">
        <f>SUM(N37)</f>
        <v>7360000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E48" sqref="E48"/>
      <selection pane="bottomLeft" activeCell="E48" sqref="E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7" t="s">
        <v>1237</v>
      </c>
      <c r="B3" s="2188"/>
      <c r="C3" s="1594"/>
      <c r="D3" s="1595"/>
      <c r="E3" s="1595"/>
      <c r="F3" s="1595"/>
      <c r="G3" s="1595"/>
      <c r="H3" s="1595"/>
      <c r="I3" s="1595"/>
      <c r="J3" s="1595"/>
      <c r="K3" s="1596"/>
      <c r="L3" s="506"/>
    </row>
    <row r="4" spans="1:13" ht="15.75" customHeight="1" x14ac:dyDescent="0.2">
      <c r="A4" s="1949" t="s">
        <v>1579</v>
      </c>
      <c r="B4" s="1950">
        <v>1000</v>
      </c>
      <c r="C4" s="1762">
        <f>'Revenues 9-14'!C109</f>
        <v>5525200</v>
      </c>
      <c r="D4" s="1762">
        <f>'Revenues 9-14'!D109</f>
        <v>1028883</v>
      </c>
      <c r="E4" s="1762">
        <f>'Revenues 9-14'!E109</f>
        <v>493412</v>
      </c>
      <c r="F4" s="1762">
        <f>'Revenues 9-14'!F109</f>
        <v>625950</v>
      </c>
      <c r="G4" s="1762">
        <f>'Revenues 9-14'!G109</f>
        <v>672003</v>
      </c>
      <c r="H4" s="1762">
        <f>'Revenues 9-14'!H109</f>
        <v>1097211</v>
      </c>
      <c r="I4" s="1762">
        <f>'Revenues 9-14'!I109</f>
        <v>85179</v>
      </c>
      <c r="J4" s="1762">
        <f>'Revenues 9-14'!J109</f>
        <v>492994</v>
      </c>
      <c r="K4" s="1762">
        <f>'Revenues 9-14'!K109</f>
        <v>82513</v>
      </c>
      <c r="L4" s="347"/>
    </row>
    <row r="5" spans="1:13" ht="15.75" customHeight="1" x14ac:dyDescent="0.2">
      <c r="A5" s="1597" t="s">
        <v>1580</v>
      </c>
      <c r="B5" s="1598">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7" t="s">
        <v>1581</v>
      </c>
      <c r="B6" s="1599">
        <v>3000</v>
      </c>
      <c r="C6" s="1763">
        <f>'Revenues 9-14'!C173</f>
        <v>16962281</v>
      </c>
      <c r="D6" s="1763">
        <f>'Revenues 9-14'!D173</f>
        <v>0</v>
      </c>
      <c r="E6" s="1763">
        <f>'Revenues 9-14'!E173</f>
        <v>0</v>
      </c>
      <c r="F6" s="1763">
        <f>'Revenues 9-14'!F173</f>
        <v>1000832</v>
      </c>
      <c r="G6" s="1763">
        <f>'Revenues 9-14'!G173</f>
        <v>0</v>
      </c>
      <c r="H6" s="1763">
        <f>'Revenues 9-14'!H173</f>
        <v>0</v>
      </c>
      <c r="I6" s="1763">
        <f>'Revenues 9-14'!I173</f>
        <v>0</v>
      </c>
      <c r="J6" s="1763">
        <f>'Revenues 9-14'!J173</f>
        <v>0</v>
      </c>
      <c r="K6" s="1763">
        <f>'Revenues 9-14'!K173</f>
        <v>0</v>
      </c>
      <c r="L6" s="347"/>
      <c r="M6" s="513"/>
    </row>
    <row r="7" spans="1:13" ht="15.75" customHeight="1" x14ac:dyDescent="0.2">
      <c r="A7" s="1597" t="s">
        <v>1582</v>
      </c>
      <c r="B7" s="1599">
        <v>4000</v>
      </c>
      <c r="C7" s="1763">
        <f>'Revenues 9-14'!C274</f>
        <v>2660512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25147993</v>
      </c>
      <c r="D8" s="1708">
        <f t="shared" ref="D8:K8" si="0">SUM(D4:D7)</f>
        <v>1028883</v>
      </c>
      <c r="E8" s="1708">
        <f t="shared" si="0"/>
        <v>493412</v>
      </c>
      <c r="F8" s="1708">
        <f t="shared" si="0"/>
        <v>1626782</v>
      </c>
      <c r="G8" s="1708">
        <f t="shared" si="0"/>
        <v>672003</v>
      </c>
      <c r="H8" s="1708">
        <f t="shared" si="0"/>
        <v>1097211</v>
      </c>
      <c r="I8" s="1708">
        <f t="shared" si="0"/>
        <v>85179</v>
      </c>
      <c r="J8" s="1708">
        <f t="shared" si="0"/>
        <v>492994</v>
      </c>
      <c r="K8" s="1708">
        <f t="shared" si="0"/>
        <v>82513</v>
      </c>
      <c r="L8" s="347"/>
    </row>
    <row r="9" spans="1:13" ht="15.75" thickTop="1" x14ac:dyDescent="0.2">
      <c r="A9" s="514" t="s">
        <v>1752</v>
      </c>
      <c r="B9" s="515">
        <v>3998</v>
      </c>
      <c r="C9" s="481">
        <v>1014317</v>
      </c>
      <c r="D9" s="516"/>
      <c r="E9" s="481"/>
      <c r="F9" s="481"/>
      <c r="G9" s="517"/>
      <c r="H9" s="481"/>
      <c r="I9" s="509" t="s">
        <v>1231</v>
      </c>
      <c r="J9" s="478"/>
      <c r="K9" s="481"/>
      <c r="L9" s="347"/>
    </row>
    <row r="10" spans="1:13" s="519" customFormat="1" ht="13.5" thickBot="1" x14ac:dyDescent="0.25">
      <c r="A10" s="1756" t="s">
        <v>1235</v>
      </c>
      <c r="B10" s="1729"/>
      <c r="C10" s="1708">
        <f>SUM(C8:C9)</f>
        <v>26162310</v>
      </c>
      <c r="D10" s="1708">
        <f t="shared" ref="D10:K10" si="1">SUM(D8:D9)</f>
        <v>1028883</v>
      </c>
      <c r="E10" s="1708">
        <f t="shared" si="1"/>
        <v>493412</v>
      </c>
      <c r="F10" s="1708">
        <f t="shared" si="1"/>
        <v>1626782</v>
      </c>
      <c r="G10" s="1708">
        <f t="shared" si="1"/>
        <v>672003</v>
      </c>
      <c r="H10" s="1708">
        <f t="shared" si="1"/>
        <v>1097211</v>
      </c>
      <c r="I10" s="1708">
        <f t="shared" si="1"/>
        <v>85179</v>
      </c>
      <c r="J10" s="1708">
        <f t="shared" si="1"/>
        <v>492994</v>
      </c>
      <c r="K10" s="1708">
        <f t="shared" si="1"/>
        <v>82513</v>
      </c>
      <c r="L10" s="518"/>
    </row>
    <row r="11" spans="1:13" s="519" customFormat="1" ht="16.7" customHeight="1" thickTop="1" x14ac:dyDescent="0.2">
      <c r="A11" s="2161" t="s">
        <v>1238</v>
      </c>
      <c r="B11" s="2162"/>
      <c r="C11" s="1591"/>
      <c r="D11" s="1592"/>
      <c r="E11" s="1592"/>
      <c r="F11" s="1592"/>
      <c r="G11" s="1592"/>
      <c r="H11" s="1592"/>
      <c r="I11" s="1592"/>
      <c r="J11" s="1592"/>
      <c r="K11" s="1593"/>
      <c r="L11" s="518"/>
    </row>
    <row r="12" spans="1:13" ht="15.75" customHeight="1" x14ac:dyDescent="0.2">
      <c r="A12" s="1597" t="s">
        <v>476</v>
      </c>
      <c r="B12" s="1599">
        <v>1000</v>
      </c>
      <c r="C12" s="1762">
        <f>'Expenditures 15-22'!K33</f>
        <v>11151407</v>
      </c>
      <c r="D12" s="520" t="s">
        <v>1231</v>
      </c>
      <c r="E12" s="468" t="s">
        <v>1231</v>
      </c>
      <c r="F12" s="468" t="s">
        <v>1231</v>
      </c>
      <c r="G12" s="1762">
        <f>'Expenditures 15-22'!K229</f>
        <v>256938</v>
      </c>
      <c r="H12" s="521"/>
      <c r="I12" s="468" t="s">
        <v>1231</v>
      </c>
      <c r="J12" s="468" t="s">
        <v>1231</v>
      </c>
      <c r="K12" s="521" t="s">
        <v>1231</v>
      </c>
      <c r="L12" s="347"/>
    </row>
    <row r="13" spans="1:13" ht="15.75" customHeight="1" x14ac:dyDescent="0.2">
      <c r="A13" s="1597" t="s">
        <v>477</v>
      </c>
      <c r="B13" s="1599">
        <v>2000</v>
      </c>
      <c r="C13" s="1763">
        <f>'Expenditures 15-22'!K74</f>
        <v>5742152</v>
      </c>
      <c r="D13" s="1763">
        <f>'Expenditures 15-22'!K129</f>
        <v>941790</v>
      </c>
      <c r="E13" s="469" t="s">
        <v>1231</v>
      </c>
      <c r="F13" s="1763">
        <f>'Expenditures 15-22'!K184</f>
        <v>1386427</v>
      </c>
      <c r="G13" s="1763">
        <f>'Expenditures 15-22'!K279</f>
        <v>523410</v>
      </c>
      <c r="H13" s="1763">
        <f>'Expenditures 15-22'!K303</f>
        <v>3361417</v>
      </c>
      <c r="I13" s="468" t="s">
        <v>1231</v>
      </c>
      <c r="J13" s="1763">
        <f>'Expenditures 15-22'!K330</f>
        <v>404865</v>
      </c>
      <c r="K13" s="1767">
        <f>'Expenditures 15-22'!K352</f>
        <v>84508</v>
      </c>
      <c r="L13" s="347"/>
    </row>
    <row r="14" spans="1:13" ht="15.75" customHeight="1" x14ac:dyDescent="0.2">
      <c r="A14" s="1597" t="s">
        <v>469</v>
      </c>
      <c r="B14" s="1599">
        <v>3000</v>
      </c>
      <c r="C14" s="1763">
        <f>'Expenditures 15-22'!K75</f>
        <v>31090</v>
      </c>
      <c r="D14" s="1763">
        <f>'Expenditures 15-22'!K130</f>
        <v>0</v>
      </c>
      <c r="E14" s="520" t="s">
        <v>1231</v>
      </c>
      <c r="F14" s="1763">
        <f>'Expenditures 15-22'!K185</f>
        <v>0</v>
      </c>
      <c r="G14" s="1763">
        <f>'Expenditures 15-22'!K280</f>
        <v>2034</v>
      </c>
      <c r="H14" s="512"/>
      <c r="I14" s="468" t="s">
        <v>1231</v>
      </c>
      <c r="J14" s="468" t="s">
        <v>1231</v>
      </c>
      <c r="K14" s="512" t="s">
        <v>1231</v>
      </c>
      <c r="L14" s="347"/>
    </row>
    <row r="15" spans="1:13" ht="15.75" customHeight="1" x14ac:dyDescent="0.2">
      <c r="A15" s="1597" t="s">
        <v>109</v>
      </c>
      <c r="B15" s="1599">
        <v>4000</v>
      </c>
      <c r="C15" s="1763">
        <f>'Expenditures 15-22'!K102</f>
        <v>7125642</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7" t="s">
        <v>470</v>
      </c>
      <c r="B16" s="1599">
        <v>5000</v>
      </c>
      <c r="C16" s="1763">
        <f>'Expenditures 15-22'!K112</f>
        <v>0</v>
      </c>
      <c r="D16" s="1763">
        <f>'Expenditures 15-22'!K149</f>
        <v>0</v>
      </c>
      <c r="E16" s="1763">
        <f>'Expenditures 15-22'!K172</f>
        <v>737359</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24050291</v>
      </c>
      <c r="D17" s="1708">
        <f t="shared" si="2"/>
        <v>941790</v>
      </c>
      <c r="E17" s="1708">
        <f t="shared" si="2"/>
        <v>737359</v>
      </c>
      <c r="F17" s="1708">
        <f t="shared" si="2"/>
        <v>1386427</v>
      </c>
      <c r="G17" s="1708">
        <f t="shared" si="2"/>
        <v>782382</v>
      </c>
      <c r="H17" s="1708">
        <f t="shared" si="2"/>
        <v>3361417</v>
      </c>
      <c r="I17" s="468"/>
      <c r="J17" s="1708">
        <f>SUM(J12:J16)</f>
        <v>404865</v>
      </c>
      <c r="K17" s="1708">
        <f>SUM(K12:K16)</f>
        <v>84508</v>
      </c>
      <c r="L17" s="347"/>
    </row>
    <row r="18" spans="1:12" ht="15" customHeight="1" thickTop="1" x14ac:dyDescent="0.2">
      <c r="A18" s="1764" t="s">
        <v>1753</v>
      </c>
      <c r="B18" s="1765">
        <v>4180</v>
      </c>
      <c r="C18" s="1762">
        <f t="shared" ref="C18:H18" si="3">C9</f>
        <v>1014317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25064608</v>
      </c>
      <c r="D19" s="1708">
        <f t="shared" si="4"/>
        <v>941790</v>
      </c>
      <c r="E19" s="1708">
        <f t="shared" si="4"/>
        <v>737359</v>
      </c>
      <c r="F19" s="1708">
        <f t="shared" si="4"/>
        <v>1386427</v>
      </c>
      <c r="G19" s="1708">
        <f t="shared" si="4"/>
        <v>782382</v>
      </c>
      <c r="H19" s="1708">
        <f t="shared" si="4"/>
        <v>3361417</v>
      </c>
      <c r="I19" s="468"/>
      <c r="J19" s="1708">
        <f>SUM(J17:J18)</f>
        <v>404865</v>
      </c>
      <c r="K19" s="1708">
        <f>SUM(K17:K18)</f>
        <v>84508</v>
      </c>
      <c r="L19" s="347"/>
    </row>
    <row r="20" spans="1:12" ht="16.5" thickTop="1" thickBot="1" x14ac:dyDescent="0.25">
      <c r="A20" s="2177" t="s">
        <v>1754</v>
      </c>
      <c r="B20" s="2178"/>
      <c r="C20" s="1766">
        <f>C8-C17</f>
        <v>1097702</v>
      </c>
      <c r="D20" s="1766">
        <f t="shared" ref="D20:K20" si="5">D8-D17</f>
        <v>87093</v>
      </c>
      <c r="E20" s="1766">
        <f t="shared" si="5"/>
        <v>-243947</v>
      </c>
      <c r="F20" s="1766">
        <f t="shared" si="5"/>
        <v>240355</v>
      </c>
      <c r="G20" s="1766">
        <f t="shared" si="5"/>
        <v>-110379</v>
      </c>
      <c r="H20" s="1766">
        <f t="shared" si="5"/>
        <v>-2264206</v>
      </c>
      <c r="I20" s="1766">
        <f t="shared" si="5"/>
        <v>85179</v>
      </c>
      <c r="J20" s="1766">
        <f t="shared" si="5"/>
        <v>88129</v>
      </c>
      <c r="K20" s="1766">
        <f t="shared" si="5"/>
        <v>-1995</v>
      </c>
      <c r="L20" s="347"/>
    </row>
    <row r="21" spans="1:12" ht="16.7" customHeight="1" thickTop="1" x14ac:dyDescent="0.2">
      <c r="A21" s="2189" t="s">
        <v>616</v>
      </c>
      <c r="B21" s="2190"/>
      <c r="C21" s="1591"/>
      <c r="D21" s="1592"/>
      <c r="E21" s="1592"/>
      <c r="F21" s="1592"/>
      <c r="G21" s="1592"/>
      <c r="H21" s="1592"/>
      <c r="I21" s="1592"/>
      <c r="J21" s="1592"/>
      <c r="K21" s="1593"/>
      <c r="L21" s="524"/>
    </row>
    <row r="22" spans="1:12" ht="15.75" customHeight="1" collapsed="1" x14ac:dyDescent="0.2">
      <c r="A22" s="2185" t="s">
        <v>617</v>
      </c>
      <c r="B22" s="2186"/>
      <c r="C22" s="477"/>
      <c r="D22" s="477"/>
      <c r="E22" s="477"/>
      <c r="F22" s="477"/>
      <c r="G22" s="477"/>
      <c r="H22" s="477"/>
      <c r="I22" s="477"/>
      <c r="J22" s="477"/>
      <c r="K22" s="477"/>
      <c r="L22" s="347"/>
    </row>
    <row r="23" spans="1:12" s="485" customFormat="1" ht="15.75" customHeight="1" x14ac:dyDescent="0.2">
      <c r="A23" s="2181" t="s">
        <v>311</v>
      </c>
      <c r="B23" s="2182"/>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v>9947</v>
      </c>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1893</v>
      </c>
      <c r="B30" s="527">
        <v>7160</v>
      </c>
      <c r="C30" s="477"/>
      <c r="D30" s="467"/>
      <c r="E30" s="477"/>
      <c r="F30" s="477"/>
      <c r="G30" s="477"/>
      <c r="H30" s="477"/>
      <c r="I30" s="477"/>
      <c r="J30" s="477"/>
      <c r="K30" s="477"/>
      <c r="L30" s="524"/>
    </row>
    <row r="31" spans="1:12" s="485" customFormat="1" ht="26.25" x14ac:dyDescent="0.2">
      <c r="A31" s="1510" t="s">
        <v>1897</v>
      </c>
      <c r="B31" s="527">
        <v>7170</v>
      </c>
      <c r="C31" s="477"/>
      <c r="D31" s="477"/>
      <c r="E31" s="474"/>
      <c r="F31" s="477"/>
      <c r="G31" s="477"/>
      <c r="H31" s="477"/>
      <c r="I31" s="477"/>
      <c r="J31" s="477"/>
      <c r="K31" s="477"/>
      <c r="L31" s="524"/>
    </row>
    <row r="32" spans="1:12" s="485" customFormat="1" ht="15.75" customHeight="1" x14ac:dyDescent="0.2">
      <c r="A32" s="2183" t="s">
        <v>1038</v>
      </c>
      <c r="B32" s="2184"/>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v>5490000</v>
      </c>
      <c r="I33" s="467"/>
      <c r="J33" s="467"/>
      <c r="K33" s="467"/>
      <c r="L33" s="524"/>
    </row>
    <row r="34" spans="1:12" s="485" customFormat="1" x14ac:dyDescent="0.2">
      <c r="A34" s="1510" t="s">
        <v>1058</v>
      </c>
      <c r="B34" s="525">
        <v>7220</v>
      </c>
      <c r="C34" s="467"/>
      <c r="D34" s="467"/>
      <c r="E34" s="467">
        <v>326350</v>
      </c>
      <c r="F34" s="467"/>
      <c r="G34" s="477"/>
      <c r="H34" s="478">
        <v>10282</v>
      </c>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3">
        <f>SUM(C54:D57,H54:H57)</f>
        <v>217860</v>
      </c>
      <c r="F37" s="475"/>
      <c r="G37" s="475"/>
      <c r="H37" s="475"/>
      <c r="I37" s="477"/>
      <c r="J37" s="475"/>
      <c r="K37" s="475"/>
      <c r="L37" s="524"/>
    </row>
    <row r="38" spans="1:12" s="485" customFormat="1" x14ac:dyDescent="0.2">
      <c r="A38" s="1510" t="s">
        <v>462</v>
      </c>
      <c r="B38" s="525">
        <v>7500</v>
      </c>
      <c r="C38" s="477"/>
      <c r="D38" s="477"/>
      <c r="E38" s="1763">
        <f>SUM(C58:D61,H58:H61)</f>
        <v>7378</v>
      </c>
      <c r="F38" s="477"/>
      <c r="G38" s="477"/>
      <c r="H38" s="477"/>
      <c r="I38" s="477"/>
      <c r="J38" s="477"/>
      <c r="K38" s="477"/>
      <c r="L38" s="524"/>
    </row>
    <row r="39" spans="1:12" s="485" customFormat="1" x14ac:dyDescent="0.2">
      <c r="A39" s="1510" t="s">
        <v>463</v>
      </c>
      <c r="B39" s="525">
        <v>7600</v>
      </c>
      <c r="C39" s="477"/>
      <c r="D39" s="477"/>
      <c r="E39" s="1763">
        <f>SUM(C62:D65)</f>
        <v>0</v>
      </c>
      <c r="F39" s="477"/>
      <c r="G39" s="477"/>
      <c r="H39" s="477"/>
      <c r="I39" s="477"/>
      <c r="J39" s="477"/>
      <c r="K39" s="477"/>
      <c r="L39" s="524"/>
    </row>
    <row r="40" spans="1:12" s="485" customFormat="1" ht="13.5" customHeight="1" x14ac:dyDescent="0.2">
      <c r="A40" s="1510" t="s">
        <v>663</v>
      </c>
      <c r="B40" s="483">
        <v>7700</v>
      </c>
      <c r="C40" s="477"/>
      <c r="D40" s="477"/>
      <c r="E40" s="1763">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3">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v>100000</v>
      </c>
      <c r="D43" s="467"/>
      <c r="E43" s="467"/>
      <c r="F43" s="467"/>
      <c r="G43" s="467"/>
      <c r="H43" s="467"/>
      <c r="I43" s="467"/>
      <c r="J43" s="467"/>
      <c r="K43" s="467"/>
      <c r="L43" s="524"/>
    </row>
    <row r="44" spans="1:12" s="485" customFormat="1" ht="13.5" customHeight="1" thickBot="1" x14ac:dyDescent="0.25">
      <c r="A44" s="2191" t="s">
        <v>392</v>
      </c>
      <c r="B44" s="2192"/>
      <c r="C44" s="1723">
        <f>SUM(C24:C43)</f>
        <v>109947</v>
      </c>
      <c r="D44" s="1723">
        <f t="shared" ref="D44:K44" si="6">SUM(D24:D43)</f>
        <v>0</v>
      </c>
      <c r="E44" s="1723">
        <f t="shared" si="6"/>
        <v>551588</v>
      </c>
      <c r="F44" s="1723">
        <f t="shared" si="6"/>
        <v>0</v>
      </c>
      <c r="G44" s="1723">
        <f t="shared" si="6"/>
        <v>0</v>
      </c>
      <c r="H44" s="1723">
        <f t="shared" si="6"/>
        <v>5500282</v>
      </c>
      <c r="I44" s="1723">
        <f t="shared" si="6"/>
        <v>0</v>
      </c>
      <c r="J44" s="1723">
        <f t="shared" si="6"/>
        <v>0</v>
      </c>
      <c r="K44" s="1723">
        <f t="shared" si="6"/>
        <v>0</v>
      </c>
      <c r="L44" s="524"/>
    </row>
    <row r="45" spans="1:12" ht="15.75" customHeight="1" thickTop="1" x14ac:dyDescent="0.2">
      <c r="A45" s="2185" t="s">
        <v>110</v>
      </c>
      <c r="B45" s="2186"/>
      <c r="C45" s="528"/>
      <c r="D45" s="528"/>
      <c r="E45" s="528"/>
      <c r="F45" s="528"/>
      <c r="G45" s="528"/>
      <c r="H45" s="528"/>
      <c r="I45" s="528"/>
      <c r="J45" s="528"/>
      <c r="K45" s="528"/>
      <c r="L45" s="347"/>
    </row>
    <row r="46" spans="1:12" s="485" customFormat="1" ht="15.75" customHeight="1" x14ac:dyDescent="0.2">
      <c r="A46" s="2193" t="s">
        <v>111</v>
      </c>
      <c r="B46" s="2194"/>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3">
        <f>SUM(C24,C25:H25,J25:K25)</f>
        <v>0</v>
      </c>
      <c r="J47" s="477"/>
      <c r="K47" s="477"/>
      <c r="L47" s="529"/>
    </row>
    <row r="48" spans="1:12" s="485" customFormat="1" ht="15" x14ac:dyDescent="0.2">
      <c r="A48" s="1511" t="s">
        <v>1759</v>
      </c>
      <c r="B48" s="483">
        <v>8120</v>
      </c>
      <c r="C48" s="480"/>
      <c r="D48" s="480"/>
      <c r="E48" s="477"/>
      <c r="F48" s="480"/>
      <c r="G48" s="477"/>
      <c r="H48" s="477"/>
      <c r="I48" s="1763">
        <f>SUM(C26:H26,J26,K26)</f>
        <v>9947</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3">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3">
        <f>D30</f>
        <v>0</v>
      </c>
      <c r="L52" s="524"/>
    </row>
    <row r="53" spans="1:12" s="485" customFormat="1" ht="26.25" x14ac:dyDescent="0.2">
      <c r="A53" s="1511" t="s">
        <v>1895</v>
      </c>
      <c r="B53" s="483">
        <v>8170</v>
      </c>
      <c r="C53" s="480"/>
      <c r="D53" s="480"/>
      <c r="E53" s="477"/>
      <c r="F53" s="477"/>
      <c r="G53" s="477"/>
      <c r="H53" s="480"/>
      <c r="I53" s="477"/>
      <c r="J53" s="477"/>
      <c r="K53" s="1763">
        <f>E31</f>
        <v>0</v>
      </c>
      <c r="L53" s="524"/>
    </row>
    <row r="54" spans="1:12" s="485" customFormat="1" ht="13.5" thickBot="1" x14ac:dyDescent="0.25">
      <c r="A54" s="1511" t="s">
        <v>716</v>
      </c>
      <c r="B54" s="483">
        <v>8410</v>
      </c>
      <c r="C54" s="530"/>
      <c r="D54" s="530"/>
      <c r="E54" s="477"/>
      <c r="F54" s="477"/>
      <c r="G54" s="477"/>
      <c r="H54" s="530">
        <v>127125</v>
      </c>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v>90735</v>
      </c>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v>7378</v>
      </c>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67" t="s">
        <v>460</v>
      </c>
      <c r="B76" s="2168"/>
      <c r="C76" s="1723">
        <f t="shared" ref="C76:K76" si="7">SUM(C47:C75)</f>
        <v>0</v>
      </c>
      <c r="D76" s="1723">
        <f t="shared" si="7"/>
        <v>98113</v>
      </c>
      <c r="E76" s="1723">
        <f t="shared" si="7"/>
        <v>0</v>
      </c>
      <c r="F76" s="1723">
        <f t="shared" si="7"/>
        <v>0</v>
      </c>
      <c r="G76" s="1723">
        <f t="shared" si="7"/>
        <v>0</v>
      </c>
      <c r="H76" s="1723">
        <f t="shared" si="7"/>
        <v>127125</v>
      </c>
      <c r="I76" s="1723">
        <f t="shared" si="7"/>
        <v>9947</v>
      </c>
      <c r="J76" s="1723">
        <f t="shared" si="7"/>
        <v>0</v>
      </c>
      <c r="K76" s="1723">
        <f t="shared" si="7"/>
        <v>0</v>
      </c>
      <c r="L76" s="524"/>
    </row>
    <row r="77" spans="1:12" ht="14.25" thickTop="1" thickBot="1" x14ac:dyDescent="0.25">
      <c r="A77" s="2169" t="s">
        <v>1239</v>
      </c>
      <c r="B77" s="2170"/>
      <c r="C77" s="1723">
        <f t="shared" ref="C77:K77" si="8">C44-C76</f>
        <v>109947</v>
      </c>
      <c r="D77" s="1723">
        <f t="shared" si="8"/>
        <v>-98113</v>
      </c>
      <c r="E77" s="1723">
        <f t="shared" si="8"/>
        <v>551588</v>
      </c>
      <c r="F77" s="1723">
        <f t="shared" si="8"/>
        <v>0</v>
      </c>
      <c r="G77" s="1723">
        <f t="shared" si="8"/>
        <v>0</v>
      </c>
      <c r="H77" s="1723">
        <f t="shared" si="8"/>
        <v>5373157</v>
      </c>
      <c r="I77" s="1723">
        <f t="shared" si="8"/>
        <v>-9947</v>
      </c>
      <c r="J77" s="1723">
        <f t="shared" si="8"/>
        <v>0</v>
      </c>
      <c r="K77" s="1723">
        <f t="shared" si="8"/>
        <v>0</v>
      </c>
      <c r="L77" s="347"/>
    </row>
    <row r="78" spans="1:12" ht="21.75" customHeight="1" thickTop="1" thickBot="1" x14ac:dyDescent="0.25">
      <c r="A78" s="2173" t="s">
        <v>618</v>
      </c>
      <c r="B78" s="2174"/>
      <c r="C78" s="1722">
        <f t="shared" ref="C78:K78" si="9">C20+C77</f>
        <v>1207649</v>
      </c>
      <c r="D78" s="1722">
        <f t="shared" si="9"/>
        <v>-11020</v>
      </c>
      <c r="E78" s="1722">
        <f t="shared" si="9"/>
        <v>307641</v>
      </c>
      <c r="F78" s="1722">
        <f t="shared" si="9"/>
        <v>240355</v>
      </c>
      <c r="G78" s="1722">
        <f t="shared" si="9"/>
        <v>-110379</v>
      </c>
      <c r="H78" s="1722">
        <f t="shared" si="9"/>
        <v>3108951</v>
      </c>
      <c r="I78" s="1722">
        <f t="shared" si="9"/>
        <v>75232</v>
      </c>
      <c r="J78" s="1722">
        <f t="shared" si="9"/>
        <v>88129</v>
      </c>
      <c r="K78" s="1722">
        <f t="shared" si="9"/>
        <v>-1995</v>
      </c>
      <c r="L78" s="533"/>
    </row>
    <row r="79" spans="1:12" ht="13.5" thickTop="1" x14ac:dyDescent="0.2">
      <c r="A79" s="1515" t="s">
        <v>2067</v>
      </c>
      <c r="B79" s="534"/>
      <c r="C79" s="478">
        <v>2271290</v>
      </c>
      <c r="D79" s="535">
        <v>806055</v>
      </c>
      <c r="E79" s="535">
        <v>53695</v>
      </c>
      <c r="F79" s="535">
        <v>75786</v>
      </c>
      <c r="G79" s="535">
        <v>195615</v>
      </c>
      <c r="H79" s="535">
        <v>2085873</v>
      </c>
      <c r="I79" s="535">
        <v>873371</v>
      </c>
      <c r="J79" s="535">
        <v>113791</v>
      </c>
      <c r="K79" s="535">
        <v>188647</v>
      </c>
      <c r="L79" s="347"/>
    </row>
    <row r="80" spans="1:12" x14ac:dyDescent="0.2">
      <c r="A80" s="2179" t="s">
        <v>1894</v>
      </c>
      <c r="B80" s="2180"/>
      <c r="C80" s="467"/>
      <c r="D80" s="467"/>
      <c r="E80" s="467"/>
      <c r="F80" s="467"/>
      <c r="G80" s="467"/>
      <c r="H80" s="467"/>
      <c r="I80" s="467"/>
      <c r="J80" s="467"/>
      <c r="K80" s="467"/>
      <c r="L80" s="347"/>
    </row>
    <row r="81" spans="1:12" ht="13.5" thickBot="1" x14ac:dyDescent="0.25">
      <c r="A81" s="2171" t="s">
        <v>2068</v>
      </c>
      <c r="B81" s="2172"/>
      <c r="C81" s="1708">
        <f>(SUM(C78:C80))</f>
        <v>3478939</v>
      </c>
      <c r="D81" s="1708">
        <f>SUM(D78:D80)</f>
        <v>795035</v>
      </c>
      <c r="E81" s="1708">
        <f t="shared" ref="E81:K81" si="10">SUM(E78:E80)</f>
        <v>361336</v>
      </c>
      <c r="F81" s="1708">
        <f t="shared" si="10"/>
        <v>316141</v>
      </c>
      <c r="G81" s="1708">
        <f t="shared" si="10"/>
        <v>85236</v>
      </c>
      <c r="H81" s="1708">
        <f t="shared" si="10"/>
        <v>5194824</v>
      </c>
      <c r="I81" s="1708">
        <f t="shared" si="10"/>
        <v>948603</v>
      </c>
      <c r="J81" s="1708">
        <f t="shared" si="10"/>
        <v>201920</v>
      </c>
      <c r="K81" s="1708">
        <f t="shared" si="10"/>
        <v>186652</v>
      </c>
      <c r="L81" s="347"/>
    </row>
    <row r="82" spans="1:12" ht="0.75" customHeight="1" thickTop="1" thickBot="1" x14ac:dyDescent="0.25">
      <c r="A82" s="536" t="s">
        <v>361</v>
      </c>
      <c r="B82" s="537"/>
      <c r="C82" s="538">
        <f>(C81-C79)</f>
        <v>1207649</v>
      </c>
      <c r="D82" s="538">
        <f t="shared" ref="D82:K82" si="11">(D81-D79)</f>
        <v>-11020</v>
      </c>
      <c r="E82" s="538">
        <f t="shared" si="11"/>
        <v>307641</v>
      </c>
      <c r="F82" s="538">
        <f t="shared" si="11"/>
        <v>240355</v>
      </c>
      <c r="G82" s="538">
        <f t="shared" si="11"/>
        <v>-110379</v>
      </c>
      <c r="H82" s="538">
        <f t="shared" si="11"/>
        <v>3108951</v>
      </c>
      <c r="I82" s="538">
        <f t="shared" si="11"/>
        <v>75232</v>
      </c>
      <c r="J82" s="538">
        <f t="shared" si="11"/>
        <v>88129</v>
      </c>
      <c r="K82" s="538">
        <f t="shared" si="11"/>
        <v>-1995</v>
      </c>
    </row>
    <row r="83" spans="1:12" ht="14.25" hidden="1" thickTop="1" thickBot="1" x14ac:dyDescent="0.25">
      <c r="A83" s="539" t="s">
        <v>362</v>
      </c>
      <c r="B83" s="464"/>
      <c r="C83" s="540">
        <f>C82/C81</f>
        <v>0.34713140989249885</v>
      </c>
      <c r="D83" s="540">
        <f t="shared" ref="D83:K83" si="12">D82/D81</f>
        <v>-1.3861024986321357E-2</v>
      </c>
      <c r="E83" s="540">
        <f t="shared" si="12"/>
        <v>0.85139869816458924</v>
      </c>
      <c r="F83" s="540">
        <f t="shared" si="12"/>
        <v>0.76027785070585596</v>
      </c>
      <c r="G83" s="540">
        <f t="shared" si="12"/>
        <v>-1.29498099394622</v>
      </c>
      <c r="H83" s="540">
        <f t="shared" si="12"/>
        <v>0.59847090103533829</v>
      </c>
      <c r="I83" s="540">
        <f t="shared" si="12"/>
        <v>7.9308203748037903E-2</v>
      </c>
      <c r="J83" s="540">
        <f t="shared" si="12"/>
        <v>0.43645503169572109</v>
      </c>
      <c r="K83" s="540">
        <f t="shared" si="12"/>
        <v>-1.0688339798126995E-2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E48" sqref="E48"/>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5" t="s">
        <v>1901</v>
      </c>
      <c r="B1" s="452"/>
      <c r="C1" s="453" t="s">
        <v>445</v>
      </c>
      <c r="D1" s="453" t="s">
        <v>446</v>
      </c>
      <c r="E1" s="453" t="s">
        <v>447</v>
      </c>
      <c r="F1" s="453" t="s">
        <v>448</v>
      </c>
      <c r="G1" s="453" t="s">
        <v>449</v>
      </c>
      <c r="H1" s="453" t="s">
        <v>450</v>
      </c>
      <c r="I1" s="453" t="s">
        <v>451</v>
      </c>
      <c r="J1" s="453" t="s">
        <v>452</v>
      </c>
      <c r="K1" s="453" t="s">
        <v>780</v>
      </c>
    </row>
    <row r="2" spans="1:12" ht="36" x14ac:dyDescent="0.2">
      <c r="A2" s="217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4379181</v>
      </c>
      <c r="D5" s="481">
        <v>694536</v>
      </c>
      <c r="E5" s="466">
        <v>478793</v>
      </c>
      <c r="F5" s="548">
        <v>347272</v>
      </c>
      <c r="G5" s="466">
        <v>302614</v>
      </c>
      <c r="H5" s="466"/>
      <c r="I5" s="466">
        <v>74417</v>
      </c>
      <c r="J5" s="467">
        <v>491130</v>
      </c>
      <c r="K5" s="466">
        <v>79371</v>
      </c>
    </row>
    <row r="6" spans="1:12" ht="15" x14ac:dyDescent="0.2">
      <c r="A6" s="463" t="s">
        <v>1761</v>
      </c>
      <c r="B6" s="470">
        <v>1130</v>
      </c>
      <c r="C6" s="466"/>
      <c r="D6" s="466">
        <v>81859</v>
      </c>
      <c r="E6" s="475"/>
      <c r="F6" s="475"/>
      <c r="G6" s="468"/>
      <c r="H6" s="468"/>
      <c r="I6" s="468"/>
      <c r="J6" s="468"/>
      <c r="K6" s="468"/>
    </row>
    <row r="7" spans="1:12" x14ac:dyDescent="0.2">
      <c r="A7" s="463" t="s">
        <v>112</v>
      </c>
      <c r="B7" s="549">
        <v>1140</v>
      </c>
      <c r="C7" s="466">
        <v>84332</v>
      </c>
      <c r="D7" s="466"/>
      <c r="E7" s="468"/>
      <c r="F7" s="467"/>
      <c r="G7" s="467"/>
      <c r="H7" s="467"/>
      <c r="I7" s="468"/>
      <c r="J7" s="468"/>
      <c r="K7" s="468"/>
    </row>
    <row r="8" spans="1:12" x14ac:dyDescent="0.2">
      <c r="A8" s="463" t="s">
        <v>433</v>
      </c>
      <c r="B8" s="470">
        <v>1150</v>
      </c>
      <c r="C8" s="475"/>
      <c r="D8" s="475"/>
      <c r="E8" s="477"/>
      <c r="F8" s="477"/>
      <c r="G8" s="481">
        <v>325446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4463513</v>
      </c>
      <c r="D12" s="1727">
        <f t="shared" si="0"/>
        <v>776395</v>
      </c>
      <c r="E12" s="1727">
        <f t="shared" si="0"/>
        <v>478793</v>
      </c>
      <c r="F12" s="1727">
        <f t="shared" si="0"/>
        <v>347272</v>
      </c>
      <c r="G12" s="1727">
        <f t="shared" si="0"/>
        <v>628060</v>
      </c>
      <c r="H12" s="1727">
        <f t="shared" si="0"/>
        <v>0</v>
      </c>
      <c r="I12" s="1727">
        <f t="shared" si="0"/>
        <v>74417</v>
      </c>
      <c r="J12" s="1727">
        <f t="shared" si="0"/>
        <v>491130</v>
      </c>
      <c r="K12" s="1708">
        <f t="shared" si="0"/>
        <v>79371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29154</v>
      </c>
      <c r="D14" s="466"/>
      <c r="E14" s="466">
        <v>10000</v>
      </c>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47125</v>
      </c>
      <c r="D16" s="466"/>
      <c r="E16" s="466"/>
      <c r="F16" s="466">
        <v>230000</v>
      </c>
      <c r="G16" s="466">
        <v>40440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76279</v>
      </c>
      <c r="D18" s="1730">
        <f t="shared" ref="D18:K18" si="1">SUM(D14:D17)</f>
        <v>0</v>
      </c>
      <c r="E18" s="1730">
        <f t="shared" si="1"/>
        <v>10000</v>
      </c>
      <c r="F18" s="1730">
        <f t="shared" si="1"/>
        <v>230000</v>
      </c>
      <c r="G18" s="1730">
        <f t="shared" si="1"/>
        <v>40440</v>
      </c>
      <c r="H18" s="1730">
        <f t="shared" si="1"/>
        <v>0</v>
      </c>
      <c r="I18" s="1730">
        <f t="shared" si="1"/>
        <v>0</v>
      </c>
      <c r="J18" s="1730">
        <f t="shared" si="1"/>
        <v>0</v>
      </c>
      <c r="K18" s="1731">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41087</v>
      </c>
      <c r="D65" s="466">
        <v>17433</v>
      </c>
      <c r="E65" s="466">
        <v>4619</v>
      </c>
      <c r="F65" s="467">
        <v>4678</v>
      </c>
      <c r="G65" s="466">
        <v>3503</v>
      </c>
      <c r="H65" s="466">
        <v>56663</v>
      </c>
      <c r="I65" s="466">
        <v>10762</v>
      </c>
      <c r="J65" s="467">
        <v>1864</v>
      </c>
      <c r="K65" s="466">
        <v>3142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41087</v>
      </c>
      <c r="D67" s="1708">
        <f t="shared" ref="D67:K67" si="2">SUM(D65:D66)</f>
        <v>17433</v>
      </c>
      <c r="E67" s="1708">
        <f t="shared" si="2"/>
        <v>4619</v>
      </c>
      <c r="F67" s="1708">
        <f t="shared" si="2"/>
        <v>4678</v>
      </c>
      <c r="G67" s="1708">
        <f t="shared" si="2"/>
        <v>3503</v>
      </c>
      <c r="H67" s="1708">
        <f t="shared" si="2"/>
        <v>56663</v>
      </c>
      <c r="I67" s="1708">
        <f t="shared" si="2"/>
        <v>10762</v>
      </c>
      <c r="J67" s="1708">
        <f t="shared" si="2"/>
        <v>1864</v>
      </c>
      <c r="K67" s="1708">
        <f t="shared" si="2"/>
        <v>3142</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128331</v>
      </c>
      <c r="D74" s="468"/>
      <c r="E74" s="468"/>
      <c r="F74" s="468"/>
      <c r="G74" s="468"/>
      <c r="H74" s="468"/>
      <c r="I74" s="468"/>
      <c r="J74" s="468"/>
      <c r="K74" s="468"/>
    </row>
    <row r="75" spans="1:11" ht="12.75" customHeight="1" thickBot="1" x14ac:dyDescent="0.25">
      <c r="A75" s="1728" t="s">
        <v>569</v>
      </c>
      <c r="B75" s="1729"/>
      <c r="C75" s="1708">
        <f>SUM(C69:C74)</f>
        <v>128331</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95929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3467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7832</v>
      </c>
      <c r="D81" s="466"/>
      <c r="E81" s="468"/>
      <c r="F81" s="468"/>
      <c r="G81" s="468"/>
      <c r="H81" s="468"/>
      <c r="I81" s="468"/>
      <c r="J81" s="468"/>
      <c r="K81" s="468"/>
    </row>
    <row r="82" spans="1:11" ht="12.75" customHeight="1" thickBot="1" x14ac:dyDescent="0.25">
      <c r="A82" s="1728" t="s">
        <v>259</v>
      </c>
      <c r="B82" s="1729"/>
      <c r="C82" s="1727">
        <f>SUM(C77:C81)</f>
        <v>107228</v>
      </c>
      <c r="D82" s="1708">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43489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43489</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148246</v>
      </c>
      <c r="D95" s="551"/>
      <c r="E95" s="521"/>
      <c r="F95" s="521"/>
      <c r="G95" s="521"/>
      <c r="H95" s="521"/>
      <c r="I95" s="521"/>
      <c r="J95" s="521"/>
      <c r="K95" s="521"/>
    </row>
    <row r="96" spans="1:11" ht="12.75" customHeight="1" x14ac:dyDescent="0.2">
      <c r="A96" s="463" t="s">
        <v>409</v>
      </c>
      <c r="B96" s="470">
        <v>1920</v>
      </c>
      <c r="C96" s="551">
        <v>800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2925</v>
      </c>
      <c r="D101" s="526"/>
      <c r="E101" s="480"/>
      <c r="F101" s="526"/>
      <c r="G101" s="475"/>
      <c r="H101" s="526"/>
      <c r="I101" s="468"/>
      <c r="J101" s="475"/>
      <c r="K101" s="475"/>
    </row>
    <row r="102" spans="1:12" ht="12.75" customHeight="1" x14ac:dyDescent="0.2">
      <c r="A102" s="463" t="s">
        <v>265</v>
      </c>
      <c r="B102" s="470">
        <v>1980</v>
      </c>
      <c r="C102" s="489">
        <v>7381</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1040548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505921</v>
      </c>
      <c r="D107" s="466">
        <f>126038+109017</f>
        <v>235055</v>
      </c>
      <c r="E107" s="466"/>
      <c r="F107" s="466">
        <v>44000</v>
      </c>
      <c r="G107" s="466"/>
      <c r="H107" s="466"/>
      <c r="I107" s="466"/>
      <c r="J107" s="467"/>
      <c r="K107" s="466"/>
    </row>
    <row r="108" spans="1:12" ht="12.75" customHeight="1" thickBot="1" x14ac:dyDescent="0.25">
      <c r="A108" s="1728" t="s">
        <v>508</v>
      </c>
      <c r="B108" s="1732"/>
      <c r="C108" s="1727">
        <f>SUM(C95:C107)</f>
        <v>665273</v>
      </c>
      <c r="D108" s="1727">
        <f t="shared" ref="D108:K108" si="3">SUM(D95:D107)</f>
        <v>235055</v>
      </c>
      <c r="E108" s="1727">
        <f t="shared" si="3"/>
        <v>0</v>
      </c>
      <c r="F108" s="1727">
        <f t="shared" si="3"/>
        <v>44000</v>
      </c>
      <c r="G108" s="1727">
        <f t="shared" si="3"/>
        <v>0</v>
      </c>
      <c r="H108" s="1727">
        <f t="shared" si="3"/>
        <v>1040548</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5525200</v>
      </c>
      <c r="D109" s="1735">
        <f t="shared" si="4"/>
        <v>1028883</v>
      </c>
      <c r="E109" s="1735">
        <f t="shared" si="4"/>
        <v>493412</v>
      </c>
      <c r="F109" s="1735">
        <f t="shared" si="4"/>
        <v>625950</v>
      </c>
      <c r="G109" s="1735">
        <f t="shared" si="4"/>
        <v>672003</v>
      </c>
      <c r="H109" s="1735">
        <f t="shared" si="4"/>
        <v>1097211</v>
      </c>
      <c r="I109" s="1735">
        <f t="shared" si="4"/>
        <v>85179</v>
      </c>
      <c r="J109" s="1735">
        <f t="shared" si="4"/>
        <v>492994</v>
      </c>
      <c r="K109" s="1722">
        <f t="shared" si="4"/>
        <v>82513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10420371</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7" t="s">
        <v>1900</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10420371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144955</v>
      </c>
      <c r="D125" s="561"/>
      <c r="E125" s="468"/>
      <c r="F125" s="466"/>
      <c r="G125" s="468"/>
      <c r="H125" s="468"/>
      <c r="I125" s="468"/>
      <c r="J125" s="468"/>
      <c r="K125" s="468"/>
    </row>
    <row r="126" spans="1:11" ht="12.75" customHeight="1" x14ac:dyDescent="0.2">
      <c r="A126" s="463" t="s">
        <v>922</v>
      </c>
      <c r="B126" s="562">
        <v>3110</v>
      </c>
      <c r="C126" s="551">
        <v>247427</v>
      </c>
      <c r="D126" s="466"/>
      <c r="E126" s="468"/>
      <c r="F126" s="466"/>
      <c r="G126" s="468"/>
      <c r="H126" s="468"/>
      <c r="I126" s="468"/>
      <c r="J126" s="468"/>
      <c r="K126" s="468"/>
    </row>
    <row r="127" spans="1:11" ht="12.75" customHeight="1" x14ac:dyDescent="0.2">
      <c r="A127" s="463" t="s">
        <v>107</v>
      </c>
      <c r="B127" s="562">
        <v>3120</v>
      </c>
      <c r="C127" s="466">
        <v>21789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2106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416277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15400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15400</v>
      </c>
      <c r="D144" s="468"/>
      <c r="E144" s="509"/>
      <c r="F144" s="468"/>
      <c r="G144" s="1741">
        <f>SUM(G142:G143)</f>
        <v>0</v>
      </c>
      <c r="H144" s="468"/>
      <c r="I144" s="468"/>
      <c r="J144" s="468"/>
      <c r="K144" s="468"/>
    </row>
    <row r="145" spans="1:11" s="202" customFormat="1" ht="12.75" customHeight="1" thickTop="1" x14ac:dyDescent="0.2">
      <c r="A145" s="1519" t="s">
        <v>1116</v>
      </c>
      <c r="B145" s="568">
        <v>3360</v>
      </c>
      <c r="C145" s="569">
        <v>16104</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25746</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639229</v>
      </c>
      <c r="G151" s="467"/>
      <c r="H151" s="468"/>
      <c r="I151" s="468"/>
      <c r="J151" s="468"/>
      <c r="K151" s="468"/>
    </row>
    <row r="152" spans="1:11" ht="12.75" customHeight="1" x14ac:dyDescent="0.2">
      <c r="A152" s="463" t="s">
        <v>1117</v>
      </c>
      <c r="B152" s="562">
        <v>3510</v>
      </c>
      <c r="C152" s="551"/>
      <c r="D152" s="466"/>
      <c r="E152" s="561"/>
      <c r="F152" s="466">
        <v>361603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1000832</v>
      </c>
      <c r="G154" s="1727">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6065613</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2770</v>
      </c>
      <c r="D171" s="580"/>
      <c r="E171" s="580"/>
      <c r="F171" s="580"/>
      <c r="G171" s="581"/>
      <c r="H171" s="582"/>
      <c r="I171" s="581"/>
      <c r="J171" s="581"/>
      <c r="K171" s="582"/>
    </row>
    <row r="172" spans="1:11" ht="12.75" customHeight="1" thickTop="1" thickBot="1" x14ac:dyDescent="0.25">
      <c r="A172" s="2195" t="s">
        <v>418</v>
      </c>
      <c r="B172" s="2196"/>
      <c r="C172" s="1742">
        <f t="shared" ref="C172:K172" si="6">SUM(C131,C140,C144,C145:C149,C154,C155:C170,C171)</f>
        <v>6541910</v>
      </c>
      <c r="D172" s="1742">
        <f t="shared" si="6"/>
        <v>0</v>
      </c>
      <c r="E172" s="1742">
        <f t="shared" si="6"/>
        <v>0</v>
      </c>
      <c r="F172" s="1742">
        <f t="shared" si="6"/>
        <v>1000832</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16962281</v>
      </c>
      <c r="D173" s="1735">
        <f>SUM(D121,D172)</f>
        <v>0</v>
      </c>
      <c r="E173" s="1735">
        <f>SUM(E121,E172)</f>
        <v>0</v>
      </c>
      <c r="F173" s="1735">
        <f t="shared" ref="F173:K173" si="7">SUM(F121,F172)</f>
        <v>1000832</v>
      </c>
      <c r="G173" s="1735">
        <f t="shared" si="7"/>
        <v>0</v>
      </c>
      <c r="H173" s="1735">
        <f t="shared" si="7"/>
        <v>0</v>
      </c>
      <c r="I173" s="1735">
        <f t="shared" si="7"/>
        <v>0</v>
      </c>
      <c r="J173" s="1735">
        <f t="shared" si="7"/>
        <v>0</v>
      </c>
      <c r="K173" s="1722">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97" t="s">
        <v>1572</v>
      </c>
      <c r="B175" s="219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1" t="s">
        <v>1764</v>
      </c>
      <c r="B178" s="2202"/>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05" t="s">
        <v>1763</v>
      </c>
      <c r="B179" s="220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3" t="s">
        <v>818</v>
      </c>
      <c r="B184" s="2204"/>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9" t="s">
        <v>1902</v>
      </c>
      <c r="B185" s="2200"/>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688406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304139</v>
      </c>
      <c r="D196" s="468"/>
      <c r="E196" s="561"/>
      <c r="F196" s="468"/>
      <c r="G196" s="585"/>
      <c r="H196" s="468"/>
      <c r="I196" s="468"/>
      <c r="J196" s="468"/>
      <c r="K196" s="468"/>
    </row>
    <row r="197" spans="1:11" ht="12.75" customHeight="1" x14ac:dyDescent="0.2">
      <c r="A197" s="463" t="s">
        <v>1526</v>
      </c>
      <c r="B197" s="470">
        <v>4225</v>
      </c>
      <c r="C197" s="551">
        <v>4903</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997448</v>
      </c>
      <c r="D201" s="468"/>
      <c r="E201" s="468"/>
      <c r="F201" s="468"/>
      <c r="G201" s="1708">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952270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952270</v>
      </c>
      <c r="D211" s="1727">
        <f>SUM(D203:D210)</f>
        <v>0</v>
      </c>
      <c r="E211" s="468"/>
      <c r="F211" s="1727">
        <f>SUM(F203:F210)</f>
        <v>0</v>
      </c>
      <c r="G211" s="1727">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12758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12758</v>
      </c>
      <c r="D216" s="1727">
        <f>SUM(D213:D215)</f>
        <v>0</v>
      </c>
      <c r="E216" s="468" t="s">
        <v>1231</v>
      </c>
      <c r="F216" s="1727">
        <f>SUM(F213:F215)</f>
        <v>0</v>
      </c>
      <c r="G216" s="1727">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302070</v>
      </c>
      <c r="D220" s="466"/>
      <c r="E220" s="468"/>
      <c r="F220" s="466"/>
      <c r="G220" s="466"/>
      <c r="H220" s="468"/>
      <c r="I220" s="468"/>
      <c r="J220" s="468"/>
      <c r="K220" s="468"/>
    </row>
    <row r="221" spans="1:11" ht="12.75" customHeight="1" x14ac:dyDescent="0.2">
      <c r="A221" s="463" t="s">
        <v>1114</v>
      </c>
      <c r="B221" s="470">
        <v>4625</v>
      </c>
      <c r="C221" s="551">
        <v>2011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304081</v>
      </c>
      <c r="D224" s="1727">
        <f>SUM(D218:D223)</f>
        <v>0</v>
      </c>
      <c r="E224" s="468"/>
      <c r="F224" s="1727">
        <f>SUM(F218:F223)</f>
        <v>0</v>
      </c>
      <c r="G224" s="1727">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36212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36212</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130814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68764</v>
      </c>
      <c r="D270" s="576"/>
      <c r="E270" s="468"/>
      <c r="F270" s="576"/>
      <c r="G270" s="576"/>
      <c r="H270" s="468"/>
      <c r="I270" s="468"/>
      <c r="J270" s="468"/>
      <c r="K270" s="468"/>
    </row>
    <row r="271" spans="1:11" ht="12.75" customHeight="1" thickTop="1" thickBot="1" x14ac:dyDescent="0.25">
      <c r="A271" s="463" t="s">
        <v>395</v>
      </c>
      <c r="B271" s="470">
        <v>4992</v>
      </c>
      <c r="C271" s="575">
        <v>68630</v>
      </c>
      <c r="D271" s="576"/>
      <c r="E271" s="468"/>
      <c r="F271" s="576"/>
      <c r="G271" s="576"/>
      <c r="H271" s="468"/>
      <c r="I271" s="468"/>
      <c r="J271" s="468"/>
      <c r="K271" s="468"/>
    </row>
    <row r="272" spans="1:11" s="594" customFormat="1" ht="12.75" customHeight="1" thickTop="1" thickBot="1" x14ac:dyDescent="0.25">
      <c r="A272" s="563" t="s">
        <v>77</v>
      </c>
      <c r="B272" s="557">
        <v>4999</v>
      </c>
      <c r="C272" s="575">
        <v>89535</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2660512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2660512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25147993</v>
      </c>
      <c r="D275" s="1735">
        <f t="shared" si="12"/>
        <v>1028883</v>
      </c>
      <c r="E275" s="1735">
        <f t="shared" si="12"/>
        <v>493412</v>
      </c>
      <c r="F275" s="1735">
        <f t="shared" si="12"/>
        <v>1626782</v>
      </c>
      <c r="G275" s="1735">
        <f t="shared" si="12"/>
        <v>672003</v>
      </c>
      <c r="H275" s="1735">
        <f t="shared" si="12"/>
        <v>1097211</v>
      </c>
      <c r="I275" s="1735">
        <f t="shared" si="12"/>
        <v>85179</v>
      </c>
      <c r="J275" s="1735">
        <f t="shared" si="12"/>
        <v>492994</v>
      </c>
      <c r="K275" s="1722">
        <f t="shared" si="12"/>
        <v>82513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E48" sqref="E48"/>
      <selection pane="bottomLeft" activeCell="E48" sqref="E4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5"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3" t="s">
        <v>315</v>
      </c>
      <c r="B3" s="221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5537588</v>
      </c>
      <c r="D5" s="466">
        <v>1561657</v>
      </c>
      <c r="E5" s="466">
        <v>117529</v>
      </c>
      <c r="F5" s="466">
        <v>480763</v>
      </c>
      <c r="G5" s="466">
        <v>110586</v>
      </c>
      <c r="H5" s="466"/>
      <c r="I5" s="467"/>
      <c r="J5" s="467"/>
      <c r="K5" s="1691">
        <f>SUM(C5:J5)</f>
        <v>7808123</v>
      </c>
      <c r="L5" s="466">
        <v>7709841</v>
      </c>
    </row>
    <row r="6" spans="1:14" x14ac:dyDescent="0.2">
      <c r="A6" s="1525" t="s">
        <v>1508</v>
      </c>
      <c r="B6" s="615" t="s">
        <v>1506</v>
      </c>
      <c r="C6" s="477"/>
      <c r="D6" s="477"/>
      <c r="E6" s="466"/>
      <c r="F6" s="477"/>
      <c r="G6" s="477"/>
      <c r="H6" s="477"/>
      <c r="I6" s="477"/>
      <c r="J6" s="477"/>
      <c r="K6" s="1691">
        <f>SUM(C6,E6)</f>
        <v>0</v>
      </c>
      <c r="L6" s="466">
        <v>0</v>
      </c>
    </row>
    <row r="7" spans="1:14" x14ac:dyDescent="0.2">
      <c r="A7" s="1525" t="s">
        <v>165</v>
      </c>
      <c r="B7" s="615" t="s">
        <v>1024</v>
      </c>
      <c r="C7" s="467"/>
      <c r="D7" s="467"/>
      <c r="E7" s="467"/>
      <c r="F7" s="467"/>
      <c r="G7" s="467"/>
      <c r="H7" s="467"/>
      <c r="I7" s="467"/>
      <c r="J7" s="467"/>
      <c r="K7" s="1691">
        <f t="shared" ref="K7:K32" si="0">SUM(C7:J7)</f>
        <v>0</v>
      </c>
      <c r="L7" s="466">
        <v>0</v>
      </c>
    </row>
    <row r="8" spans="1:14" x14ac:dyDescent="0.2">
      <c r="A8" s="1525" t="s">
        <v>166</v>
      </c>
      <c r="B8" s="615">
        <v>1200</v>
      </c>
      <c r="C8" s="466">
        <v>1753978</v>
      </c>
      <c r="D8" s="466">
        <v>540578</v>
      </c>
      <c r="E8" s="466">
        <v>394</v>
      </c>
      <c r="F8" s="466">
        <v>17171</v>
      </c>
      <c r="G8" s="466">
        <v>1566</v>
      </c>
      <c r="H8" s="466"/>
      <c r="I8" s="467"/>
      <c r="J8" s="467"/>
      <c r="K8" s="1691">
        <f t="shared" si="0"/>
        <v>2313687</v>
      </c>
      <c r="L8" s="466">
        <v>2310500</v>
      </c>
    </row>
    <row r="9" spans="1:14" x14ac:dyDescent="0.2">
      <c r="A9" s="1525" t="s">
        <v>745</v>
      </c>
      <c r="B9" s="615" t="s">
        <v>1025</v>
      </c>
      <c r="C9" s="467"/>
      <c r="D9" s="467"/>
      <c r="E9" s="467"/>
      <c r="F9" s="467"/>
      <c r="G9" s="467"/>
      <c r="H9" s="467"/>
      <c r="I9" s="467"/>
      <c r="J9" s="467"/>
      <c r="K9" s="1691">
        <f t="shared" si="0"/>
        <v>0</v>
      </c>
      <c r="L9" s="466">
        <v>0</v>
      </c>
    </row>
    <row r="10" spans="1:14" x14ac:dyDescent="0.2">
      <c r="A10" s="1525" t="s">
        <v>746</v>
      </c>
      <c r="B10" s="615">
        <v>1250</v>
      </c>
      <c r="C10" s="466">
        <v>363969</v>
      </c>
      <c r="D10" s="466">
        <v>169232</v>
      </c>
      <c r="E10" s="466"/>
      <c r="F10" s="466"/>
      <c r="G10" s="466"/>
      <c r="H10" s="466"/>
      <c r="I10" s="467"/>
      <c r="J10" s="467"/>
      <c r="K10" s="1691">
        <f t="shared" si="0"/>
        <v>533201</v>
      </c>
      <c r="L10" s="466">
        <v>510900</v>
      </c>
    </row>
    <row r="11" spans="1:14" x14ac:dyDescent="0.2">
      <c r="A11" s="1525" t="s">
        <v>1192</v>
      </c>
      <c r="B11" s="615" t="s">
        <v>163</v>
      </c>
      <c r="C11" s="467"/>
      <c r="D11" s="467"/>
      <c r="E11" s="467"/>
      <c r="F11" s="467"/>
      <c r="G11" s="467"/>
      <c r="H11" s="467"/>
      <c r="I11" s="467"/>
      <c r="J11" s="467"/>
      <c r="K11" s="1691">
        <f t="shared" si="0"/>
        <v>0</v>
      </c>
      <c r="L11" s="466">
        <v>0</v>
      </c>
    </row>
    <row r="12" spans="1:14" x14ac:dyDescent="0.2">
      <c r="A12" s="1525" t="s">
        <v>1019</v>
      </c>
      <c r="B12" s="615">
        <v>1300</v>
      </c>
      <c r="C12" s="466"/>
      <c r="D12" s="466"/>
      <c r="E12" s="466"/>
      <c r="F12" s="466"/>
      <c r="G12" s="466"/>
      <c r="H12" s="466"/>
      <c r="I12" s="467"/>
      <c r="J12" s="467"/>
      <c r="K12" s="1691">
        <f t="shared" si="0"/>
        <v>0</v>
      </c>
      <c r="L12" s="466">
        <v>0</v>
      </c>
    </row>
    <row r="13" spans="1:14" x14ac:dyDescent="0.2">
      <c r="A13" s="1525" t="s">
        <v>747</v>
      </c>
      <c r="B13" s="615">
        <v>1400</v>
      </c>
      <c r="C13" s="466">
        <v>27016</v>
      </c>
      <c r="D13" s="466">
        <v>4229</v>
      </c>
      <c r="E13" s="466"/>
      <c r="F13" s="466"/>
      <c r="G13" s="466"/>
      <c r="H13" s="466"/>
      <c r="I13" s="467"/>
      <c r="J13" s="467"/>
      <c r="K13" s="1691">
        <f t="shared" si="0"/>
        <v>31245</v>
      </c>
      <c r="L13" s="466">
        <v>50900</v>
      </c>
    </row>
    <row r="14" spans="1:14" x14ac:dyDescent="0.2">
      <c r="A14" s="1525" t="s">
        <v>1020</v>
      </c>
      <c r="B14" s="615">
        <v>1500</v>
      </c>
      <c r="C14" s="466">
        <v>203129</v>
      </c>
      <c r="D14" s="466">
        <v>11603</v>
      </c>
      <c r="E14" s="466">
        <v>101637</v>
      </c>
      <c r="F14" s="466">
        <v>38912</v>
      </c>
      <c r="G14" s="466">
        <v>18385</v>
      </c>
      <c r="H14" s="466">
        <v>12501</v>
      </c>
      <c r="I14" s="467"/>
      <c r="J14" s="467"/>
      <c r="K14" s="1691">
        <f t="shared" si="0"/>
        <v>386167</v>
      </c>
      <c r="L14" s="466">
        <v>388048</v>
      </c>
    </row>
    <row r="15" spans="1:14" x14ac:dyDescent="0.2">
      <c r="A15" s="1525" t="s">
        <v>1021</v>
      </c>
      <c r="B15" s="615">
        <v>1600</v>
      </c>
      <c r="C15" s="466"/>
      <c r="D15" s="466"/>
      <c r="E15" s="466"/>
      <c r="F15" s="466"/>
      <c r="G15" s="466"/>
      <c r="H15" s="466"/>
      <c r="I15" s="467"/>
      <c r="J15" s="467"/>
      <c r="K15" s="1691">
        <f t="shared" si="0"/>
        <v>0</v>
      </c>
      <c r="L15" s="466">
        <v>0</v>
      </c>
    </row>
    <row r="16" spans="1:14" x14ac:dyDescent="0.2">
      <c r="A16" s="1525" t="s">
        <v>1044</v>
      </c>
      <c r="B16" s="615" t="s">
        <v>444</v>
      </c>
      <c r="C16" s="466"/>
      <c r="D16" s="466"/>
      <c r="E16" s="466"/>
      <c r="F16" s="466"/>
      <c r="G16" s="466"/>
      <c r="H16" s="466"/>
      <c r="I16" s="467"/>
      <c r="J16" s="467"/>
      <c r="K16" s="1691">
        <f t="shared" si="0"/>
        <v>0</v>
      </c>
      <c r="L16" s="466">
        <v>0</v>
      </c>
    </row>
    <row r="17" spans="1:12" x14ac:dyDescent="0.2">
      <c r="A17" s="1525" t="s">
        <v>748</v>
      </c>
      <c r="B17" s="615" t="s">
        <v>164</v>
      </c>
      <c r="C17" s="467"/>
      <c r="D17" s="467"/>
      <c r="E17" s="467"/>
      <c r="F17" s="467"/>
      <c r="G17" s="467"/>
      <c r="H17" s="467"/>
      <c r="I17" s="467"/>
      <c r="J17" s="467"/>
      <c r="K17" s="1691">
        <f t="shared" si="0"/>
        <v>0</v>
      </c>
      <c r="L17" s="466">
        <v>0</v>
      </c>
    </row>
    <row r="18" spans="1:12" x14ac:dyDescent="0.2">
      <c r="A18" s="1525" t="s">
        <v>1148</v>
      </c>
      <c r="B18" s="615">
        <v>1800</v>
      </c>
      <c r="C18" s="466">
        <v>58132</v>
      </c>
      <c r="D18" s="466">
        <v>20852</v>
      </c>
      <c r="E18" s="466"/>
      <c r="F18" s="466"/>
      <c r="G18" s="466"/>
      <c r="H18" s="466"/>
      <c r="I18" s="467"/>
      <c r="J18" s="467"/>
      <c r="K18" s="1691">
        <f t="shared" si="0"/>
        <v>78984</v>
      </c>
      <c r="L18" s="466">
        <v>113500</v>
      </c>
    </row>
    <row r="19" spans="1:12" x14ac:dyDescent="0.2">
      <c r="A19" s="1525" t="s">
        <v>136</v>
      </c>
      <c r="B19" s="615">
        <v>1900</v>
      </c>
      <c r="C19" s="466"/>
      <c r="D19" s="466"/>
      <c r="E19" s="466"/>
      <c r="F19" s="466"/>
      <c r="G19" s="466"/>
      <c r="H19" s="466"/>
      <c r="I19" s="467"/>
      <c r="J19" s="467"/>
      <c r="K19" s="1691">
        <f t="shared" si="0"/>
        <v>0</v>
      </c>
      <c r="L19" s="466">
        <v>0</v>
      </c>
    </row>
    <row r="20" spans="1:12" x14ac:dyDescent="0.2">
      <c r="A20" s="1526" t="s">
        <v>762</v>
      </c>
      <c r="B20" s="603" t="s">
        <v>749</v>
      </c>
      <c r="C20" s="477"/>
      <c r="D20" s="477"/>
      <c r="E20" s="477"/>
      <c r="F20" s="477"/>
      <c r="G20" s="477"/>
      <c r="H20" s="474"/>
      <c r="I20" s="617"/>
      <c r="J20" s="475"/>
      <c r="K20" s="1691">
        <f t="shared" si="0"/>
        <v>0</v>
      </c>
      <c r="L20" s="471">
        <v>0</v>
      </c>
    </row>
    <row r="21" spans="1:12" x14ac:dyDescent="0.2">
      <c r="A21" s="1526" t="s">
        <v>763</v>
      </c>
      <c r="B21" s="603" t="s">
        <v>750</v>
      </c>
      <c r="C21" s="477"/>
      <c r="D21" s="477"/>
      <c r="E21" s="477"/>
      <c r="F21" s="477"/>
      <c r="G21" s="477"/>
      <c r="H21" s="474"/>
      <c r="I21" s="617"/>
      <c r="J21" s="477"/>
      <c r="K21" s="1691">
        <f t="shared" si="0"/>
        <v>0</v>
      </c>
      <c r="L21" s="471">
        <v>0</v>
      </c>
    </row>
    <row r="22" spans="1:12" x14ac:dyDescent="0.2">
      <c r="A22" s="1526" t="s">
        <v>764</v>
      </c>
      <c r="B22" s="603" t="s">
        <v>751</v>
      </c>
      <c r="C22" s="477"/>
      <c r="D22" s="477"/>
      <c r="E22" s="477"/>
      <c r="F22" s="477"/>
      <c r="G22" s="477"/>
      <c r="H22" s="474"/>
      <c r="I22" s="617"/>
      <c r="J22" s="477"/>
      <c r="K22" s="1691">
        <f t="shared" si="0"/>
        <v>0</v>
      </c>
      <c r="L22" s="471">
        <v>0</v>
      </c>
    </row>
    <row r="23" spans="1:12" x14ac:dyDescent="0.2">
      <c r="A23" s="1526" t="s">
        <v>765</v>
      </c>
      <c r="B23" s="603" t="s">
        <v>752</v>
      </c>
      <c r="C23" s="477"/>
      <c r="D23" s="477"/>
      <c r="E23" s="477"/>
      <c r="F23" s="477"/>
      <c r="G23" s="477"/>
      <c r="H23" s="474"/>
      <c r="I23" s="617"/>
      <c r="J23" s="477"/>
      <c r="K23" s="1691">
        <f t="shared" si="0"/>
        <v>0</v>
      </c>
      <c r="L23" s="471">
        <v>0</v>
      </c>
    </row>
    <row r="24" spans="1:12" ht="12.75" customHeight="1" x14ac:dyDescent="0.2">
      <c r="A24" s="1526" t="s">
        <v>766</v>
      </c>
      <c r="B24" s="603" t="s">
        <v>753</v>
      </c>
      <c r="C24" s="477"/>
      <c r="D24" s="477"/>
      <c r="E24" s="477"/>
      <c r="F24" s="477"/>
      <c r="G24" s="477"/>
      <c r="H24" s="474"/>
      <c r="I24" s="617"/>
      <c r="J24" s="477"/>
      <c r="K24" s="1691">
        <f t="shared" si="0"/>
        <v>0</v>
      </c>
      <c r="L24" s="471">
        <v>0</v>
      </c>
    </row>
    <row r="25" spans="1:12" ht="12.75" customHeight="1" x14ac:dyDescent="0.2">
      <c r="A25" s="1526" t="s">
        <v>835</v>
      </c>
      <c r="B25" s="603" t="s">
        <v>754</v>
      </c>
      <c r="C25" s="477"/>
      <c r="D25" s="477"/>
      <c r="E25" s="477"/>
      <c r="F25" s="477"/>
      <c r="G25" s="477"/>
      <c r="H25" s="474"/>
      <c r="I25" s="617"/>
      <c r="J25" s="477"/>
      <c r="K25" s="1691">
        <f t="shared" si="0"/>
        <v>0</v>
      </c>
      <c r="L25" s="471">
        <v>0</v>
      </c>
    </row>
    <row r="26" spans="1:12" x14ac:dyDescent="0.2">
      <c r="A26" s="1526" t="s">
        <v>643</v>
      </c>
      <c r="B26" s="603" t="s">
        <v>755</v>
      </c>
      <c r="C26" s="477"/>
      <c r="D26" s="477"/>
      <c r="E26" s="477"/>
      <c r="F26" s="477"/>
      <c r="G26" s="477"/>
      <c r="H26" s="474"/>
      <c r="I26" s="617"/>
      <c r="J26" s="477"/>
      <c r="K26" s="1691">
        <f t="shared" si="0"/>
        <v>0</v>
      </c>
      <c r="L26" s="471">
        <v>0</v>
      </c>
    </row>
    <row r="27" spans="1:12" x14ac:dyDescent="0.2">
      <c r="A27" s="1526" t="s">
        <v>644</v>
      </c>
      <c r="B27" s="603" t="s">
        <v>756</v>
      </c>
      <c r="C27" s="477"/>
      <c r="D27" s="477"/>
      <c r="E27" s="477"/>
      <c r="F27" s="477"/>
      <c r="G27" s="477"/>
      <c r="H27" s="474"/>
      <c r="I27" s="617"/>
      <c r="J27" s="477"/>
      <c r="K27" s="1691">
        <f t="shared" si="0"/>
        <v>0</v>
      </c>
      <c r="L27" s="471">
        <v>0</v>
      </c>
    </row>
    <row r="28" spans="1:12" x14ac:dyDescent="0.2">
      <c r="A28" s="1526" t="s">
        <v>152</v>
      </c>
      <c r="B28" s="603" t="s">
        <v>757</v>
      </c>
      <c r="C28" s="477"/>
      <c r="D28" s="477"/>
      <c r="E28" s="477"/>
      <c r="F28" s="477"/>
      <c r="G28" s="477"/>
      <c r="H28" s="474"/>
      <c r="I28" s="617"/>
      <c r="J28" s="477"/>
      <c r="K28" s="1691">
        <f t="shared" si="0"/>
        <v>0</v>
      </c>
      <c r="L28" s="471">
        <v>0</v>
      </c>
    </row>
    <row r="29" spans="1:12" x14ac:dyDescent="0.2">
      <c r="A29" s="1526" t="s">
        <v>153</v>
      </c>
      <c r="B29" s="603" t="s">
        <v>758</v>
      </c>
      <c r="C29" s="477"/>
      <c r="D29" s="477"/>
      <c r="E29" s="477"/>
      <c r="F29" s="477"/>
      <c r="G29" s="477"/>
      <c r="H29" s="474"/>
      <c r="I29" s="617"/>
      <c r="J29" s="477"/>
      <c r="K29" s="1691">
        <f t="shared" si="0"/>
        <v>0</v>
      </c>
      <c r="L29" s="471">
        <v>0</v>
      </c>
    </row>
    <row r="30" spans="1:12" x14ac:dyDescent="0.2">
      <c r="A30" s="1526" t="s">
        <v>154</v>
      </c>
      <c r="B30" s="603" t="s">
        <v>759</v>
      </c>
      <c r="C30" s="477"/>
      <c r="D30" s="477"/>
      <c r="E30" s="477"/>
      <c r="F30" s="477"/>
      <c r="G30" s="477"/>
      <c r="H30" s="474"/>
      <c r="I30" s="617"/>
      <c r="J30" s="477"/>
      <c r="K30" s="1691">
        <f t="shared" si="0"/>
        <v>0</v>
      </c>
      <c r="L30" s="471">
        <v>0</v>
      </c>
    </row>
    <row r="31" spans="1:12" x14ac:dyDescent="0.2">
      <c r="A31" s="1526" t="s">
        <v>155</v>
      </c>
      <c r="B31" s="603" t="s">
        <v>760</v>
      </c>
      <c r="C31" s="477"/>
      <c r="D31" s="477"/>
      <c r="E31" s="477"/>
      <c r="F31" s="477"/>
      <c r="G31" s="477"/>
      <c r="H31" s="474"/>
      <c r="I31" s="617"/>
      <c r="J31" s="477"/>
      <c r="K31" s="1691">
        <f t="shared" si="0"/>
        <v>0</v>
      </c>
      <c r="L31" s="471">
        <v>0</v>
      </c>
    </row>
    <row r="32" spans="1:12" x14ac:dyDescent="0.2">
      <c r="A32" s="1527"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7943812</v>
      </c>
      <c r="D33" s="1690">
        <f t="shared" ref="D33:L33" si="1">SUM(D5:D32)</f>
        <v>2308151</v>
      </c>
      <c r="E33" s="1690">
        <f t="shared" si="1"/>
        <v>219560</v>
      </c>
      <c r="F33" s="1690">
        <f t="shared" si="1"/>
        <v>536846</v>
      </c>
      <c r="G33" s="1690">
        <f t="shared" si="1"/>
        <v>130537</v>
      </c>
      <c r="H33" s="1690">
        <f t="shared" si="1"/>
        <v>12501</v>
      </c>
      <c r="I33" s="1690">
        <f t="shared" si="1"/>
        <v>0</v>
      </c>
      <c r="J33" s="1690">
        <f t="shared" si="1"/>
        <v>0</v>
      </c>
      <c r="K33" s="1690">
        <f t="shared" si="1"/>
        <v>11151407</v>
      </c>
      <c r="L33" s="1690">
        <f t="shared" si="1"/>
        <v>11083689</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270169</v>
      </c>
      <c r="D36" s="481">
        <v>70947</v>
      </c>
      <c r="E36" s="481"/>
      <c r="F36" s="481">
        <v>59</v>
      </c>
      <c r="G36" s="481"/>
      <c r="H36" s="481"/>
      <c r="I36" s="467"/>
      <c r="J36" s="467"/>
      <c r="K36" s="1691">
        <f t="shared" ref="K36:K41" si="2">SUM(C36:J36)</f>
        <v>341175</v>
      </c>
      <c r="L36" s="466">
        <v>360900</v>
      </c>
    </row>
    <row r="37" spans="1:14" x14ac:dyDescent="0.2">
      <c r="A37" s="1525" t="s">
        <v>1151</v>
      </c>
      <c r="B37" s="615">
        <v>2120</v>
      </c>
      <c r="C37" s="466">
        <v>113215</v>
      </c>
      <c r="D37" s="466">
        <v>31230</v>
      </c>
      <c r="E37" s="466"/>
      <c r="F37" s="466">
        <v>930</v>
      </c>
      <c r="G37" s="466"/>
      <c r="H37" s="466"/>
      <c r="I37" s="467"/>
      <c r="J37" s="467"/>
      <c r="K37" s="1691">
        <f t="shared" si="2"/>
        <v>145375</v>
      </c>
      <c r="L37" s="466">
        <v>205500</v>
      </c>
    </row>
    <row r="38" spans="1:14" x14ac:dyDescent="0.2">
      <c r="A38" s="1525" t="s">
        <v>207</v>
      </c>
      <c r="B38" s="615">
        <v>2130</v>
      </c>
      <c r="C38" s="466">
        <v>75704</v>
      </c>
      <c r="D38" s="466">
        <v>21813</v>
      </c>
      <c r="E38" s="466">
        <v>2167</v>
      </c>
      <c r="F38" s="466">
        <v>1508</v>
      </c>
      <c r="G38" s="466"/>
      <c r="H38" s="466"/>
      <c r="I38" s="467"/>
      <c r="J38" s="467"/>
      <c r="K38" s="1691">
        <f t="shared" si="2"/>
        <v>101192</v>
      </c>
      <c r="L38" s="466">
        <v>110400</v>
      </c>
    </row>
    <row r="39" spans="1:14" x14ac:dyDescent="0.2">
      <c r="A39" s="1525" t="s">
        <v>208</v>
      </c>
      <c r="B39" s="615">
        <v>2140</v>
      </c>
      <c r="C39" s="466"/>
      <c r="D39" s="466"/>
      <c r="E39" s="466"/>
      <c r="F39" s="466"/>
      <c r="G39" s="466"/>
      <c r="H39" s="466"/>
      <c r="I39" s="467"/>
      <c r="J39" s="467"/>
      <c r="K39" s="1691">
        <f t="shared" si="2"/>
        <v>0</v>
      </c>
      <c r="L39" s="466">
        <v>0</v>
      </c>
    </row>
    <row r="40" spans="1:14" x14ac:dyDescent="0.2">
      <c r="A40" s="1525" t="s">
        <v>209</v>
      </c>
      <c r="B40" s="615">
        <v>2150</v>
      </c>
      <c r="C40" s="466">
        <v>103367</v>
      </c>
      <c r="D40" s="466">
        <v>29644</v>
      </c>
      <c r="E40" s="466">
        <v>16103</v>
      </c>
      <c r="F40" s="466">
        <v>2029</v>
      </c>
      <c r="G40" s="466"/>
      <c r="H40" s="466"/>
      <c r="I40" s="467"/>
      <c r="J40" s="467"/>
      <c r="K40" s="1691">
        <f t="shared" si="2"/>
        <v>151143</v>
      </c>
      <c r="L40" s="466">
        <v>154300</v>
      </c>
    </row>
    <row r="41" spans="1:14" x14ac:dyDescent="0.2">
      <c r="A41" s="1525" t="s">
        <v>1768</v>
      </c>
      <c r="B41" s="615">
        <v>2190</v>
      </c>
      <c r="C41" s="466">
        <v>80192</v>
      </c>
      <c r="D41" s="466">
        <v>23472</v>
      </c>
      <c r="E41" s="466"/>
      <c r="F41" s="466"/>
      <c r="G41" s="466"/>
      <c r="H41" s="466"/>
      <c r="I41" s="467"/>
      <c r="J41" s="467"/>
      <c r="K41" s="1691">
        <f t="shared" si="2"/>
        <v>103664</v>
      </c>
      <c r="L41" s="466">
        <v>102200</v>
      </c>
    </row>
    <row r="42" spans="1:14" ht="12.75" customHeight="1" thickBot="1" x14ac:dyDescent="0.25">
      <c r="A42" s="1688" t="s">
        <v>581</v>
      </c>
      <c r="B42" s="1689" t="s">
        <v>740</v>
      </c>
      <c r="C42" s="1690">
        <f>SUM(C36:C41)</f>
        <v>642647</v>
      </c>
      <c r="D42" s="1690">
        <f t="shared" ref="D42:L42" si="3">SUM(D36:D41)</f>
        <v>177106</v>
      </c>
      <c r="E42" s="1690">
        <f t="shared" si="3"/>
        <v>18270</v>
      </c>
      <c r="F42" s="1690">
        <f t="shared" si="3"/>
        <v>4526</v>
      </c>
      <c r="G42" s="1690">
        <f t="shared" si="3"/>
        <v>0</v>
      </c>
      <c r="H42" s="1690">
        <f t="shared" si="3"/>
        <v>0</v>
      </c>
      <c r="I42" s="1690">
        <f t="shared" si="3"/>
        <v>0</v>
      </c>
      <c r="J42" s="1690">
        <f t="shared" si="3"/>
        <v>0</v>
      </c>
      <c r="K42" s="1690">
        <f t="shared" si="3"/>
        <v>842549</v>
      </c>
      <c r="L42" s="1690">
        <f t="shared" si="3"/>
        <v>933300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56842</v>
      </c>
      <c r="D44" s="481">
        <v>4574</v>
      </c>
      <c r="E44" s="481">
        <v>63178</v>
      </c>
      <c r="F44" s="481"/>
      <c r="G44" s="481"/>
      <c r="H44" s="481"/>
      <c r="I44" s="467"/>
      <c r="J44" s="467"/>
      <c r="K44" s="1692">
        <f>SUM(C44:J44)</f>
        <v>124594</v>
      </c>
      <c r="L44" s="481">
        <v>85000</v>
      </c>
    </row>
    <row r="45" spans="1:14" x14ac:dyDescent="0.2">
      <c r="A45" s="1525" t="s">
        <v>869</v>
      </c>
      <c r="B45" s="615">
        <v>2220</v>
      </c>
      <c r="C45" s="466">
        <v>118267</v>
      </c>
      <c r="D45" s="466">
        <v>31253</v>
      </c>
      <c r="E45" s="466">
        <v>10988</v>
      </c>
      <c r="F45" s="466">
        <v>7491</v>
      </c>
      <c r="G45" s="466"/>
      <c r="H45" s="466"/>
      <c r="I45" s="467"/>
      <c r="J45" s="467"/>
      <c r="K45" s="1692">
        <f>SUM(C45:J45)</f>
        <v>167999</v>
      </c>
      <c r="L45" s="466">
        <v>162284</v>
      </c>
    </row>
    <row r="46" spans="1:14" x14ac:dyDescent="0.2">
      <c r="A46" s="1525" t="s">
        <v>870</v>
      </c>
      <c r="B46" s="615">
        <v>2230</v>
      </c>
      <c r="C46" s="466"/>
      <c r="D46" s="466"/>
      <c r="E46" s="466">
        <v>40401</v>
      </c>
      <c r="F46" s="466"/>
      <c r="G46" s="466"/>
      <c r="H46" s="466"/>
      <c r="I46" s="467"/>
      <c r="J46" s="467"/>
      <c r="K46" s="1692">
        <f>SUM(C46:J46)</f>
        <v>40401</v>
      </c>
      <c r="L46" s="466">
        <v>40500</v>
      </c>
    </row>
    <row r="47" spans="1:14" ht="12.75" customHeight="1" thickBot="1" x14ac:dyDescent="0.25">
      <c r="A47" s="1688" t="s">
        <v>582</v>
      </c>
      <c r="B47" s="1689" t="s">
        <v>32</v>
      </c>
      <c r="C47" s="1690">
        <f>SUM(C44:C46)</f>
        <v>175109</v>
      </c>
      <c r="D47" s="1690">
        <f t="shared" ref="D47:K47" si="4">SUM(D44:D46)</f>
        <v>35827</v>
      </c>
      <c r="E47" s="1690">
        <f t="shared" si="4"/>
        <v>114567</v>
      </c>
      <c r="F47" s="1690">
        <f t="shared" si="4"/>
        <v>7491</v>
      </c>
      <c r="G47" s="1690">
        <f t="shared" si="4"/>
        <v>0</v>
      </c>
      <c r="H47" s="1690">
        <f t="shared" si="4"/>
        <v>0</v>
      </c>
      <c r="I47" s="1690">
        <f t="shared" si="4"/>
        <v>0</v>
      </c>
      <c r="J47" s="1690">
        <f t="shared" si="4"/>
        <v>0</v>
      </c>
      <c r="K47" s="1690">
        <f t="shared" si="4"/>
        <v>332994</v>
      </c>
      <c r="L47" s="1690">
        <f>SUM(L44:L46)</f>
        <v>287784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12408</v>
      </c>
      <c r="D49" s="481">
        <v>252137</v>
      </c>
      <c r="E49" s="481">
        <v>76355</v>
      </c>
      <c r="F49" s="481">
        <v>7955</v>
      </c>
      <c r="G49" s="481"/>
      <c r="H49" s="481">
        <v>128</v>
      </c>
      <c r="I49" s="467"/>
      <c r="J49" s="467"/>
      <c r="K49" s="1692">
        <f>SUM(C49:J49)</f>
        <v>348983</v>
      </c>
      <c r="L49" s="481">
        <v>388103</v>
      </c>
    </row>
    <row r="50" spans="1:14" x14ac:dyDescent="0.2">
      <c r="A50" s="1525" t="s">
        <v>872</v>
      </c>
      <c r="B50" s="615">
        <v>2320</v>
      </c>
      <c r="C50" s="466">
        <v>113576</v>
      </c>
      <c r="D50" s="466">
        <v>22575</v>
      </c>
      <c r="E50" s="466">
        <v>870</v>
      </c>
      <c r="F50" s="466">
        <v>166</v>
      </c>
      <c r="G50" s="466"/>
      <c r="H50" s="466">
        <v>1334</v>
      </c>
      <c r="I50" s="467"/>
      <c r="J50" s="467"/>
      <c r="K50" s="1692">
        <f>SUM(C50:J50)</f>
        <v>138521</v>
      </c>
      <c r="L50" s="466">
        <v>144167</v>
      </c>
    </row>
    <row r="51" spans="1:14" x14ac:dyDescent="0.2">
      <c r="A51" s="1525" t="s">
        <v>44</v>
      </c>
      <c r="B51" s="615">
        <v>2330</v>
      </c>
      <c r="C51" s="466"/>
      <c r="D51" s="466"/>
      <c r="E51" s="466"/>
      <c r="F51" s="466"/>
      <c r="G51" s="466"/>
      <c r="H51" s="466"/>
      <c r="I51" s="467"/>
      <c r="J51" s="467"/>
      <c r="K51" s="1692">
        <f>SUM(C51:J51)</f>
        <v>0</v>
      </c>
      <c r="L51" s="466">
        <v>0</v>
      </c>
    </row>
    <row r="52" spans="1:14" ht="22.5" x14ac:dyDescent="0.2">
      <c r="A52" s="1526"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125984</v>
      </c>
      <c r="D53" s="1690">
        <f t="shared" ref="D53:L53" si="5">SUM(D49:D52)</f>
        <v>274712</v>
      </c>
      <c r="E53" s="1690">
        <f t="shared" si="5"/>
        <v>77225</v>
      </c>
      <c r="F53" s="1690">
        <f t="shared" si="5"/>
        <v>8121</v>
      </c>
      <c r="G53" s="1690">
        <f t="shared" si="5"/>
        <v>0</v>
      </c>
      <c r="H53" s="1690">
        <f t="shared" si="5"/>
        <v>1462</v>
      </c>
      <c r="I53" s="1690">
        <f t="shared" si="5"/>
        <v>0</v>
      </c>
      <c r="J53" s="1690">
        <f t="shared" si="5"/>
        <v>0</v>
      </c>
      <c r="K53" s="1690">
        <f t="shared" si="5"/>
        <v>487504</v>
      </c>
      <c r="L53" s="1690">
        <f t="shared" si="5"/>
        <v>532270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821964</v>
      </c>
      <c r="D55" s="481">
        <v>188768</v>
      </c>
      <c r="E55" s="481">
        <v>3012</v>
      </c>
      <c r="F55" s="481">
        <v>203</v>
      </c>
      <c r="G55" s="481"/>
      <c r="H55" s="481">
        <v>1389</v>
      </c>
      <c r="I55" s="467"/>
      <c r="J55" s="467"/>
      <c r="K55" s="1692">
        <f>SUM(C55:J55)</f>
        <v>1015336</v>
      </c>
      <c r="L55" s="481">
        <v>1022000</v>
      </c>
    </row>
    <row r="56" spans="1:14" ht="12.75" customHeight="1" x14ac:dyDescent="0.2">
      <c r="A56" s="1529"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821964</v>
      </c>
      <c r="D57" s="1694">
        <f t="shared" ref="D57:K57" si="6">SUM(D55:D56)</f>
        <v>188768</v>
      </c>
      <c r="E57" s="1694">
        <f t="shared" si="6"/>
        <v>3012</v>
      </c>
      <c r="F57" s="1694">
        <f t="shared" si="6"/>
        <v>203</v>
      </c>
      <c r="G57" s="1694">
        <f t="shared" si="6"/>
        <v>0</v>
      </c>
      <c r="H57" s="1694">
        <f t="shared" si="6"/>
        <v>1389</v>
      </c>
      <c r="I57" s="1694">
        <f t="shared" si="6"/>
        <v>0</v>
      </c>
      <c r="J57" s="1694">
        <f t="shared" si="6"/>
        <v>0</v>
      </c>
      <c r="K57" s="1694">
        <f t="shared" si="6"/>
        <v>1015336</v>
      </c>
      <c r="L57" s="1690">
        <f>SUM(L55:L56)</f>
        <v>1022000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44555</v>
      </c>
      <c r="D59" s="481">
        <v>5329</v>
      </c>
      <c r="E59" s="481">
        <v>3248</v>
      </c>
      <c r="F59" s="481">
        <v>382</v>
      </c>
      <c r="G59" s="481">
        <v>982</v>
      </c>
      <c r="H59" s="481">
        <v>570</v>
      </c>
      <c r="I59" s="467"/>
      <c r="J59" s="467"/>
      <c r="K59" s="1692">
        <f t="shared" ref="K59:K64" si="7">SUM(C59:J59)</f>
        <v>55066</v>
      </c>
      <c r="L59" s="481">
        <v>54984</v>
      </c>
      <c r="M59" s="610"/>
      <c r="N59" s="610"/>
    </row>
    <row r="60" spans="1:14" s="343" customFormat="1" x14ac:dyDescent="0.2">
      <c r="A60" s="1525" t="s">
        <v>483</v>
      </c>
      <c r="B60" s="615">
        <v>2520</v>
      </c>
      <c r="C60" s="466"/>
      <c r="D60" s="466"/>
      <c r="E60" s="466"/>
      <c r="F60" s="466"/>
      <c r="G60" s="466"/>
      <c r="H60" s="466"/>
      <c r="I60" s="467"/>
      <c r="J60" s="467"/>
      <c r="K60" s="1692">
        <f t="shared" si="7"/>
        <v>0</v>
      </c>
      <c r="L60" s="466">
        <v>0</v>
      </c>
      <c r="M60" s="610"/>
      <c r="N60" s="610"/>
    </row>
    <row r="61" spans="1:14" s="343" customFormat="1" x14ac:dyDescent="0.2">
      <c r="A61" s="1525" t="s">
        <v>206</v>
      </c>
      <c r="B61" s="615">
        <v>2540</v>
      </c>
      <c r="C61" s="466">
        <v>592762</v>
      </c>
      <c r="D61" s="466">
        <v>117060</v>
      </c>
      <c r="E61" s="466">
        <v>120209</v>
      </c>
      <c r="F61" s="466">
        <v>400460</v>
      </c>
      <c r="G61" s="466"/>
      <c r="H61" s="466"/>
      <c r="I61" s="467"/>
      <c r="J61" s="467"/>
      <c r="K61" s="1692">
        <f t="shared" si="7"/>
        <v>1230491</v>
      </c>
      <c r="L61" s="466">
        <v>1294100</v>
      </c>
      <c r="M61" s="610"/>
      <c r="N61" s="610"/>
    </row>
    <row r="62" spans="1:14" s="343" customFormat="1" x14ac:dyDescent="0.2">
      <c r="A62" s="1525" t="s">
        <v>1010</v>
      </c>
      <c r="B62" s="615">
        <v>2550</v>
      </c>
      <c r="C62" s="466"/>
      <c r="D62" s="466"/>
      <c r="E62" s="466"/>
      <c r="F62" s="466"/>
      <c r="G62" s="466"/>
      <c r="H62" s="466"/>
      <c r="I62" s="467"/>
      <c r="J62" s="467"/>
      <c r="K62" s="1692">
        <f t="shared" si="7"/>
        <v>0</v>
      </c>
      <c r="L62" s="466">
        <v>0</v>
      </c>
      <c r="M62" s="610"/>
      <c r="N62" s="610"/>
    </row>
    <row r="63" spans="1:14" s="610" customFormat="1" x14ac:dyDescent="0.2">
      <c r="A63" s="1525" t="s">
        <v>102</v>
      </c>
      <c r="B63" s="615">
        <v>2560</v>
      </c>
      <c r="C63" s="466">
        <v>391001</v>
      </c>
      <c r="D63" s="466">
        <v>162296</v>
      </c>
      <c r="E63" s="466">
        <v>37596</v>
      </c>
      <c r="F63" s="466">
        <v>462463</v>
      </c>
      <c r="G63" s="466">
        <v>4625</v>
      </c>
      <c r="H63" s="466"/>
      <c r="I63" s="467"/>
      <c r="J63" s="467"/>
      <c r="K63" s="1692">
        <f t="shared" si="7"/>
        <v>1057981</v>
      </c>
      <c r="L63" s="466">
        <v>1186123</v>
      </c>
    </row>
    <row r="64" spans="1:14" s="610" customFormat="1" x14ac:dyDescent="0.2">
      <c r="A64" s="1530"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1028318</v>
      </c>
      <c r="D65" s="1690">
        <f t="shared" ref="D65:L65" si="8">SUM(D59:D64)</f>
        <v>284685</v>
      </c>
      <c r="E65" s="1690">
        <f t="shared" si="8"/>
        <v>161053</v>
      </c>
      <c r="F65" s="1690">
        <f t="shared" si="8"/>
        <v>863305</v>
      </c>
      <c r="G65" s="1690">
        <f t="shared" si="8"/>
        <v>5607</v>
      </c>
      <c r="H65" s="1690">
        <f t="shared" si="8"/>
        <v>570</v>
      </c>
      <c r="I65" s="1690">
        <f t="shared" si="8"/>
        <v>0</v>
      </c>
      <c r="J65" s="1690">
        <f t="shared" si="8"/>
        <v>0</v>
      </c>
      <c r="K65" s="1690">
        <f t="shared" si="8"/>
        <v>2343538</v>
      </c>
      <c r="L65" s="1690">
        <f t="shared" si="8"/>
        <v>2535207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2">
        <f>SUM(C67:J67)</f>
        <v>0</v>
      </c>
      <c r="L67" s="481">
        <v>0</v>
      </c>
      <c r="M67" s="610"/>
      <c r="N67" s="610"/>
    </row>
    <row r="68" spans="1:14" s="343" customFormat="1" x14ac:dyDescent="0.2">
      <c r="A68" s="1525" t="s">
        <v>628</v>
      </c>
      <c r="B68" s="615">
        <v>2620</v>
      </c>
      <c r="C68" s="466"/>
      <c r="D68" s="466"/>
      <c r="E68" s="466"/>
      <c r="F68" s="466"/>
      <c r="G68" s="466"/>
      <c r="H68" s="466"/>
      <c r="I68" s="467"/>
      <c r="J68" s="467"/>
      <c r="K68" s="1692">
        <f>SUM(C68:J68)</f>
        <v>0</v>
      </c>
      <c r="L68" s="466">
        <v>0</v>
      </c>
      <c r="M68" s="610"/>
      <c r="N68" s="610"/>
    </row>
    <row r="69" spans="1:14" s="343" customFormat="1" x14ac:dyDescent="0.2">
      <c r="A69" s="1525" t="s">
        <v>1121</v>
      </c>
      <c r="B69" s="615">
        <v>2630</v>
      </c>
      <c r="C69" s="466"/>
      <c r="D69" s="466"/>
      <c r="E69" s="466"/>
      <c r="F69" s="466"/>
      <c r="G69" s="466"/>
      <c r="H69" s="466"/>
      <c r="I69" s="467"/>
      <c r="J69" s="467"/>
      <c r="K69" s="1692">
        <f>SUM(C69:J69)</f>
        <v>0</v>
      </c>
      <c r="L69" s="466">
        <v>0</v>
      </c>
      <c r="M69" s="610"/>
      <c r="N69" s="610"/>
    </row>
    <row r="70" spans="1:14" s="343" customFormat="1" x14ac:dyDescent="0.2">
      <c r="A70" s="1525" t="s">
        <v>423</v>
      </c>
      <c r="B70" s="615">
        <v>2640</v>
      </c>
      <c r="C70" s="466"/>
      <c r="D70" s="466"/>
      <c r="E70" s="466"/>
      <c r="F70" s="466">
        <v>1839</v>
      </c>
      <c r="G70" s="466"/>
      <c r="H70" s="466"/>
      <c r="I70" s="467"/>
      <c r="J70" s="467"/>
      <c r="K70" s="1692">
        <f>SUM(C70:J70)</f>
        <v>1839</v>
      </c>
      <c r="L70" s="466">
        <v>0</v>
      </c>
      <c r="M70" s="610"/>
      <c r="N70" s="610"/>
    </row>
    <row r="71" spans="1:14" s="343" customFormat="1" x14ac:dyDescent="0.2">
      <c r="A71" s="1525" t="s">
        <v>424</v>
      </c>
      <c r="B71" s="615">
        <v>2660</v>
      </c>
      <c r="C71" s="466">
        <v>140252</v>
      </c>
      <c r="D71" s="466">
        <v>26118</v>
      </c>
      <c r="E71" s="466">
        <v>455306</v>
      </c>
      <c r="F71" s="466">
        <v>29735</v>
      </c>
      <c r="G71" s="466">
        <v>66981</v>
      </c>
      <c r="H71" s="466"/>
      <c r="I71" s="467"/>
      <c r="J71" s="467"/>
      <c r="K71" s="1692">
        <f>SUM(C71:J71)</f>
        <v>718392</v>
      </c>
      <c r="L71" s="466">
        <v>843607</v>
      </c>
      <c r="M71" s="610"/>
      <c r="N71" s="610"/>
    </row>
    <row r="72" spans="1:14" s="343" customFormat="1" ht="12.75" customHeight="1" thickBot="1" x14ac:dyDescent="0.25">
      <c r="A72" s="1688" t="s">
        <v>37</v>
      </c>
      <c r="B72" s="1695" t="s">
        <v>36</v>
      </c>
      <c r="C72" s="1690">
        <f>SUM(C67:C71)</f>
        <v>140252</v>
      </c>
      <c r="D72" s="1690">
        <f t="shared" ref="D72:K72" si="9">SUM(D67:D71)</f>
        <v>26118</v>
      </c>
      <c r="E72" s="1690">
        <f t="shared" si="9"/>
        <v>455306</v>
      </c>
      <c r="F72" s="1690">
        <f t="shared" si="9"/>
        <v>31574</v>
      </c>
      <c r="G72" s="1690">
        <f t="shared" si="9"/>
        <v>66981</v>
      </c>
      <c r="H72" s="1690">
        <f t="shared" si="9"/>
        <v>0</v>
      </c>
      <c r="I72" s="1690">
        <f t="shared" si="9"/>
        <v>0</v>
      </c>
      <c r="J72" s="1690">
        <f t="shared" si="9"/>
        <v>0</v>
      </c>
      <c r="K72" s="1690">
        <f t="shared" si="9"/>
        <v>720231</v>
      </c>
      <c r="L72" s="1690">
        <f>SUM(L67:L71)</f>
        <v>843607</v>
      </c>
      <c r="M72" s="610"/>
      <c r="N72" s="610"/>
    </row>
    <row r="73" spans="1:14" s="343" customFormat="1" ht="14.25" thickTop="1" thickBot="1" x14ac:dyDescent="0.25">
      <c r="A73" s="1531"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2934274</v>
      </c>
      <c r="D74" s="1697">
        <f t="shared" ref="D74:K74" si="10">SUM(D42,D47,D53,D57,D65,D72,D73)</f>
        <v>987216</v>
      </c>
      <c r="E74" s="1697">
        <f t="shared" si="10"/>
        <v>829433</v>
      </c>
      <c r="F74" s="1697">
        <f t="shared" si="10"/>
        <v>915220</v>
      </c>
      <c r="G74" s="1697">
        <f t="shared" si="10"/>
        <v>72588</v>
      </c>
      <c r="H74" s="1697">
        <f t="shared" si="10"/>
        <v>3421</v>
      </c>
      <c r="I74" s="1697">
        <f t="shared" si="10"/>
        <v>0</v>
      </c>
      <c r="J74" s="1697">
        <f t="shared" si="10"/>
        <v>0</v>
      </c>
      <c r="K74" s="1697">
        <f t="shared" si="10"/>
        <v>5742152</v>
      </c>
      <c r="L74" s="1697">
        <f>SUM(L42,L47,L53,L57,L65,L72,L73)</f>
        <v>6154168</v>
      </c>
    </row>
    <row r="75" spans="1:14" s="259" customFormat="1" ht="15.75" customHeight="1" thickTop="1" thickBot="1" x14ac:dyDescent="0.25">
      <c r="A75" s="1631" t="s">
        <v>49</v>
      </c>
      <c r="B75" s="1632" t="s">
        <v>596</v>
      </c>
      <c r="C75" s="573">
        <v>29094</v>
      </c>
      <c r="D75" s="573"/>
      <c r="E75" s="573">
        <v>609</v>
      </c>
      <c r="F75" s="573">
        <v>1387</v>
      </c>
      <c r="G75" s="573"/>
      <c r="H75" s="573"/>
      <c r="I75" s="531"/>
      <c r="J75" s="531"/>
      <c r="K75" s="1690">
        <f>SUM(C75:J75)</f>
        <v>31090</v>
      </c>
      <c r="L75" s="576">
        <v>8500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v>1812</v>
      </c>
      <c r="I78" s="477"/>
      <c r="J78" s="477"/>
      <c r="K78" s="1691">
        <f t="shared" ref="K78:K83" si="11">SUM(C78:J78)</f>
        <v>1812</v>
      </c>
      <c r="L78" s="481">
        <v>8000</v>
      </c>
    </row>
    <row r="79" spans="1:14" x14ac:dyDescent="0.2">
      <c r="A79" s="1525" t="s">
        <v>322</v>
      </c>
      <c r="B79" s="615">
        <v>4120</v>
      </c>
      <c r="C79" s="617"/>
      <c r="D79" s="617"/>
      <c r="E79" s="466"/>
      <c r="F79" s="617"/>
      <c r="G79" s="617"/>
      <c r="H79" s="466">
        <v>1161055</v>
      </c>
      <c r="I79" s="477"/>
      <c r="J79" s="477"/>
      <c r="K79" s="1691">
        <f t="shared" si="11"/>
        <v>1161055</v>
      </c>
      <c r="L79" s="466">
        <v>1250000</v>
      </c>
    </row>
    <row r="80" spans="1:14" x14ac:dyDescent="0.2">
      <c r="A80" s="1525" t="s">
        <v>323</v>
      </c>
      <c r="B80" s="615">
        <v>4130</v>
      </c>
      <c r="C80" s="617"/>
      <c r="D80" s="617"/>
      <c r="E80" s="466"/>
      <c r="F80" s="617"/>
      <c r="G80" s="617"/>
      <c r="H80" s="466"/>
      <c r="I80" s="477"/>
      <c r="J80" s="477"/>
      <c r="K80" s="1691">
        <f t="shared" si="11"/>
        <v>0</v>
      </c>
      <c r="L80" s="466">
        <v>0</v>
      </c>
    </row>
    <row r="81" spans="1:12" x14ac:dyDescent="0.2">
      <c r="A81" s="1525" t="s">
        <v>721</v>
      </c>
      <c r="B81" s="615">
        <v>4140</v>
      </c>
      <c r="C81" s="617"/>
      <c r="D81" s="617"/>
      <c r="E81" s="466"/>
      <c r="F81" s="617"/>
      <c r="G81" s="617"/>
      <c r="H81" s="466"/>
      <c r="I81" s="477"/>
      <c r="J81" s="477"/>
      <c r="K81" s="1691">
        <f t="shared" si="11"/>
        <v>0</v>
      </c>
      <c r="L81" s="466">
        <v>0</v>
      </c>
    </row>
    <row r="82" spans="1:12" x14ac:dyDescent="0.2">
      <c r="A82" s="1525" t="s">
        <v>88</v>
      </c>
      <c r="B82" s="615">
        <v>4170</v>
      </c>
      <c r="C82" s="617"/>
      <c r="D82" s="617"/>
      <c r="E82" s="466"/>
      <c r="F82" s="617"/>
      <c r="G82" s="617"/>
      <c r="H82" s="466"/>
      <c r="I82" s="477"/>
      <c r="J82" s="477"/>
      <c r="K82" s="1691">
        <f t="shared" si="11"/>
        <v>0</v>
      </c>
      <c r="L82" s="466">
        <v>0</v>
      </c>
    </row>
    <row r="83" spans="1:12" x14ac:dyDescent="0.2">
      <c r="A83" s="1529" t="s">
        <v>722</v>
      </c>
      <c r="B83" s="629">
        <v>4190</v>
      </c>
      <c r="C83" s="617"/>
      <c r="D83" s="617"/>
      <c r="E83" s="466">
        <v>5962775</v>
      </c>
      <c r="F83" s="617"/>
      <c r="G83" s="617"/>
      <c r="H83" s="466"/>
      <c r="I83" s="477"/>
      <c r="J83" s="477"/>
      <c r="K83" s="1691">
        <f t="shared" si="11"/>
        <v>5962775</v>
      </c>
      <c r="L83" s="466">
        <v>4666000</v>
      </c>
    </row>
    <row r="84" spans="1:12" ht="13.5" thickBot="1" x14ac:dyDescent="0.25">
      <c r="A84" s="1688" t="s">
        <v>1565</v>
      </c>
      <c r="B84" s="1698">
        <v>4100</v>
      </c>
      <c r="C84" s="617"/>
      <c r="D84" s="617"/>
      <c r="E84" s="1690">
        <f>SUM(E78:E83)</f>
        <v>5962775</v>
      </c>
      <c r="F84" s="617"/>
      <c r="G84" s="617"/>
      <c r="H84" s="1690">
        <f>SUM(H78:H83)</f>
        <v>1162867</v>
      </c>
      <c r="I84" s="477"/>
      <c r="J84" s="477"/>
      <c r="K84" s="1690">
        <f>SUM(K78:K83)</f>
        <v>7125642</v>
      </c>
      <c r="L84" s="1690">
        <f>SUM(L78:L83)</f>
        <v>5924000</v>
      </c>
    </row>
    <row r="85" spans="1:12" ht="12.75" customHeight="1" thickTop="1" thickBot="1" x14ac:dyDescent="0.25">
      <c r="A85" s="1532" t="s">
        <v>273</v>
      </c>
      <c r="B85" s="636">
        <v>4210</v>
      </c>
      <c r="C85" s="617"/>
      <c r="D85" s="617"/>
      <c r="E85" s="637"/>
      <c r="F85" s="617"/>
      <c r="G85" s="617"/>
      <c r="H85" s="535"/>
      <c r="I85" s="477"/>
      <c r="J85" s="477"/>
      <c r="K85" s="1697">
        <f>H85</f>
        <v>0</v>
      </c>
      <c r="L85" s="530">
        <v>0</v>
      </c>
    </row>
    <row r="86" spans="1:12" ht="12.75" customHeight="1" thickTop="1" thickBot="1" x14ac:dyDescent="0.25">
      <c r="A86" s="1533" t="s">
        <v>723</v>
      </c>
      <c r="B86" s="638">
        <v>4220</v>
      </c>
      <c r="C86" s="617"/>
      <c r="D86" s="617"/>
      <c r="E86" s="639"/>
      <c r="F86" s="617"/>
      <c r="G86" s="617"/>
      <c r="H86" s="467"/>
      <c r="I86" s="477"/>
      <c r="J86" s="477"/>
      <c r="K86" s="1697">
        <f t="shared" ref="K86:K98" si="12">H86</f>
        <v>0</v>
      </c>
      <c r="L86" s="530">
        <v>0</v>
      </c>
    </row>
    <row r="87" spans="1:12" ht="14.25" thickTop="1" thickBot="1" x14ac:dyDescent="0.25">
      <c r="A87" s="1534" t="s">
        <v>724</v>
      </c>
      <c r="B87" s="640">
        <v>4230</v>
      </c>
      <c r="C87" s="617"/>
      <c r="D87" s="617"/>
      <c r="E87" s="639"/>
      <c r="F87" s="617"/>
      <c r="G87" s="617"/>
      <c r="H87" s="467"/>
      <c r="I87" s="477"/>
      <c r="J87" s="477"/>
      <c r="K87" s="1697">
        <f t="shared" si="12"/>
        <v>0</v>
      </c>
      <c r="L87" s="530">
        <v>0</v>
      </c>
    </row>
    <row r="88" spans="1:12" ht="12.75" customHeight="1" thickTop="1" thickBot="1" x14ac:dyDescent="0.25">
      <c r="A88" s="1534" t="s">
        <v>789</v>
      </c>
      <c r="B88" s="640">
        <v>4240</v>
      </c>
      <c r="C88" s="617"/>
      <c r="D88" s="617"/>
      <c r="E88" s="639"/>
      <c r="F88" s="617"/>
      <c r="G88" s="617"/>
      <c r="H88" s="467"/>
      <c r="I88" s="477"/>
      <c r="J88" s="477"/>
      <c r="K88" s="1697">
        <f t="shared" si="12"/>
        <v>0</v>
      </c>
      <c r="L88" s="530">
        <v>0</v>
      </c>
    </row>
    <row r="89" spans="1:12" ht="12.75" customHeight="1" thickTop="1" thickBot="1" x14ac:dyDescent="0.25">
      <c r="A89" s="1534" t="s">
        <v>725</v>
      </c>
      <c r="B89" s="640">
        <v>4270</v>
      </c>
      <c r="C89" s="617"/>
      <c r="D89" s="617"/>
      <c r="E89" s="639"/>
      <c r="F89" s="617"/>
      <c r="G89" s="617"/>
      <c r="H89" s="467"/>
      <c r="I89" s="477"/>
      <c r="J89" s="477"/>
      <c r="K89" s="1697">
        <f t="shared" si="12"/>
        <v>0</v>
      </c>
      <c r="L89" s="530">
        <v>0</v>
      </c>
    </row>
    <row r="90" spans="1:12" ht="12.75" customHeight="1" thickTop="1" thickBot="1" x14ac:dyDescent="0.25">
      <c r="A90" s="1534" t="s">
        <v>710</v>
      </c>
      <c r="B90" s="640">
        <v>4280</v>
      </c>
      <c r="C90" s="617"/>
      <c r="D90" s="617"/>
      <c r="E90" s="639"/>
      <c r="F90" s="617"/>
      <c r="G90" s="617"/>
      <c r="H90" s="467"/>
      <c r="I90" s="477"/>
      <c r="J90" s="477"/>
      <c r="K90" s="1697">
        <f t="shared" si="12"/>
        <v>0</v>
      </c>
      <c r="L90" s="530">
        <v>0</v>
      </c>
    </row>
    <row r="91" spans="1:12" ht="12.75" customHeight="1" thickTop="1" thickBot="1" x14ac:dyDescent="0.25">
      <c r="A91" s="1534"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3" t="s">
        <v>712</v>
      </c>
      <c r="B93" s="641">
        <v>4310</v>
      </c>
      <c r="C93" s="617"/>
      <c r="D93" s="617"/>
      <c r="E93" s="639"/>
      <c r="F93" s="617"/>
      <c r="G93" s="617"/>
      <c r="H93" s="642"/>
      <c r="I93" s="477"/>
      <c r="J93" s="477"/>
      <c r="K93" s="1697">
        <f t="shared" si="12"/>
        <v>0</v>
      </c>
      <c r="L93" s="532">
        <v>0</v>
      </c>
    </row>
    <row r="94" spans="1:12" ht="12.75" customHeight="1" thickTop="1" thickBot="1" x14ac:dyDescent="0.25">
      <c r="A94" s="1534" t="s">
        <v>713</v>
      </c>
      <c r="B94" s="640">
        <v>4320</v>
      </c>
      <c r="C94" s="617"/>
      <c r="D94" s="617"/>
      <c r="E94" s="639"/>
      <c r="F94" s="617"/>
      <c r="G94" s="617"/>
      <c r="H94" s="467"/>
      <c r="I94" s="477"/>
      <c r="J94" s="477"/>
      <c r="K94" s="1697">
        <f t="shared" si="12"/>
        <v>0</v>
      </c>
      <c r="L94" s="530">
        <v>0</v>
      </c>
    </row>
    <row r="95" spans="1:12" ht="15" customHeight="1" thickTop="1" thickBot="1" x14ac:dyDescent="0.25">
      <c r="A95" s="1534" t="s">
        <v>1568</v>
      </c>
      <c r="B95" s="640">
        <v>4330</v>
      </c>
      <c r="C95" s="617"/>
      <c r="D95" s="617"/>
      <c r="E95" s="639"/>
      <c r="F95" s="617"/>
      <c r="G95" s="617"/>
      <c r="H95" s="467"/>
      <c r="I95" s="477"/>
      <c r="J95" s="477"/>
      <c r="K95" s="1697">
        <f t="shared" si="12"/>
        <v>0</v>
      </c>
      <c r="L95" s="530">
        <v>0</v>
      </c>
    </row>
    <row r="96" spans="1:12" ht="14.25" thickTop="1" thickBot="1" x14ac:dyDescent="0.25">
      <c r="A96" s="1534" t="s">
        <v>714</v>
      </c>
      <c r="B96" s="640">
        <v>4340</v>
      </c>
      <c r="C96" s="617"/>
      <c r="D96" s="617"/>
      <c r="E96" s="639"/>
      <c r="F96" s="617"/>
      <c r="G96" s="617"/>
      <c r="H96" s="467"/>
      <c r="I96" s="477"/>
      <c r="J96" s="477"/>
      <c r="K96" s="1697">
        <f t="shared" si="12"/>
        <v>0</v>
      </c>
      <c r="L96" s="530">
        <v>0</v>
      </c>
    </row>
    <row r="97" spans="1:14" ht="12.75" customHeight="1" thickTop="1" thickBot="1" x14ac:dyDescent="0.25">
      <c r="A97" s="1534" t="s">
        <v>787</v>
      </c>
      <c r="B97" s="640">
        <v>4370</v>
      </c>
      <c r="C97" s="617"/>
      <c r="D97" s="617"/>
      <c r="E97" s="639"/>
      <c r="F97" s="617"/>
      <c r="G97" s="617"/>
      <c r="H97" s="467"/>
      <c r="I97" s="477"/>
      <c r="J97" s="477"/>
      <c r="K97" s="1697">
        <f t="shared" si="12"/>
        <v>0</v>
      </c>
      <c r="L97" s="530">
        <v>0</v>
      </c>
    </row>
    <row r="98" spans="1:14" ht="14.25" thickTop="1" thickBot="1" x14ac:dyDescent="0.25">
      <c r="A98" s="1534" t="s">
        <v>788</v>
      </c>
      <c r="B98" s="640">
        <v>4380</v>
      </c>
      <c r="C98" s="617"/>
      <c r="D98" s="617"/>
      <c r="E98" s="643"/>
      <c r="F98" s="617"/>
      <c r="G98" s="617"/>
      <c r="H98" s="467"/>
      <c r="I98" s="477"/>
      <c r="J98" s="477"/>
      <c r="K98" s="1697">
        <f t="shared" si="12"/>
        <v>0</v>
      </c>
      <c r="L98" s="530">
        <v>0</v>
      </c>
    </row>
    <row r="99" spans="1:14" ht="14.25" thickTop="1" thickBot="1" x14ac:dyDescent="0.25">
      <c r="A99" s="1534"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1"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5962775</v>
      </c>
      <c r="F102" s="617"/>
      <c r="G102" s="617"/>
      <c r="H102" s="1697">
        <f>SUM(H84,H92,H100,H101)</f>
        <v>1162867</v>
      </c>
      <c r="I102" s="477"/>
      <c r="J102" s="477"/>
      <c r="K102" s="1697">
        <f>SUM(K84,K92,K100,K101)</f>
        <v>7125642</v>
      </c>
      <c r="L102" s="1697">
        <f>SUM(L84,L92,L100,L101)</f>
        <v>5924000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1">
        <f>H105</f>
        <v>0</v>
      </c>
      <c r="L105" s="481">
        <v>0</v>
      </c>
      <c r="M105" s="210"/>
      <c r="N105" s="210"/>
    </row>
    <row r="106" spans="1:14" s="598" customFormat="1" x14ac:dyDescent="0.2">
      <c r="A106" s="1525"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10907180</v>
      </c>
      <c r="D114" s="1690">
        <f t="shared" ref="D114:K114" si="13">SUM(D33,D74,D75,D102,D112,D113)</f>
        <v>3295367</v>
      </c>
      <c r="E114" s="1690">
        <f t="shared" si="13"/>
        <v>7012377</v>
      </c>
      <c r="F114" s="1690">
        <f t="shared" si="13"/>
        <v>1453453</v>
      </c>
      <c r="G114" s="1690">
        <f t="shared" si="13"/>
        <v>203125</v>
      </c>
      <c r="H114" s="1690">
        <f>SUM(H33,H74,H75,H102,H112,H113)</f>
        <v>1178789</v>
      </c>
      <c r="I114" s="1690">
        <f t="shared" si="13"/>
        <v>0</v>
      </c>
      <c r="J114" s="1690">
        <f t="shared" si="13"/>
        <v>0</v>
      </c>
      <c r="K114" s="1690">
        <f t="shared" si="13"/>
        <v>24050291</v>
      </c>
      <c r="L114" s="1690">
        <f>SUM(L33,L74,L75,L102,L112,L113)</f>
        <v>23170357</v>
      </c>
    </row>
    <row r="115" spans="1:14" ht="13.5" thickTop="1" x14ac:dyDescent="0.2">
      <c r="A115" s="2232" t="s">
        <v>1053</v>
      </c>
      <c r="B115" s="2233"/>
      <c r="C115" s="619"/>
      <c r="D115" s="619"/>
      <c r="E115" s="619"/>
      <c r="F115" s="619"/>
      <c r="G115" s="619"/>
      <c r="H115" s="619"/>
      <c r="I115" s="619"/>
      <c r="J115" s="619"/>
      <c r="K115" s="1704">
        <f>'Revenues 9-14'!C275-'Expenditures 15-22'!K114</f>
        <v>1097702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0" t="s">
        <v>314</v>
      </c>
      <c r="B117" s="221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0">
        <f>SUM(C122:J122)</f>
        <v>0</v>
      </c>
      <c r="L122" s="466">
        <v>0</v>
      </c>
    </row>
    <row r="123" spans="1:14" ht="14.25" thickTop="1" thickBot="1" x14ac:dyDescent="0.25">
      <c r="A123" s="1525" t="s">
        <v>4</v>
      </c>
      <c r="B123" s="615">
        <v>2530</v>
      </c>
      <c r="C123" s="466"/>
      <c r="D123" s="466"/>
      <c r="E123" s="466"/>
      <c r="F123" s="466"/>
      <c r="G123" s="466">
        <v>32279</v>
      </c>
      <c r="H123" s="466"/>
      <c r="I123" s="467"/>
      <c r="J123" s="467"/>
      <c r="K123" s="1690">
        <f>SUM(C123:J123)</f>
        <v>32279</v>
      </c>
      <c r="L123" s="466">
        <v>25000</v>
      </c>
    </row>
    <row r="124" spans="1:14" ht="14.25" thickTop="1" thickBot="1" x14ac:dyDescent="0.25">
      <c r="A124" s="1525" t="s">
        <v>206</v>
      </c>
      <c r="B124" s="615">
        <v>2540</v>
      </c>
      <c r="C124" s="466"/>
      <c r="D124" s="466"/>
      <c r="E124" s="466">
        <v>332023</v>
      </c>
      <c r="F124" s="466">
        <v>183080</v>
      </c>
      <c r="G124" s="466">
        <v>394408</v>
      </c>
      <c r="H124" s="466"/>
      <c r="I124" s="467"/>
      <c r="J124" s="467"/>
      <c r="K124" s="1690">
        <f>SUM(C124:J124)</f>
        <v>909511</v>
      </c>
      <c r="L124" s="466">
        <v>925000</v>
      </c>
    </row>
    <row r="125" spans="1:14" ht="14.25" thickTop="1" thickBot="1" x14ac:dyDescent="0.25">
      <c r="A125" s="1525" t="s">
        <v>1010</v>
      </c>
      <c r="B125" s="615">
        <v>2550</v>
      </c>
      <c r="C125" s="466"/>
      <c r="D125" s="466"/>
      <c r="E125" s="466"/>
      <c r="F125" s="466"/>
      <c r="G125" s="466"/>
      <c r="H125" s="466"/>
      <c r="I125" s="467"/>
      <c r="J125" s="467"/>
      <c r="K125" s="1690">
        <f>SUM(C125:J125)</f>
        <v>0</v>
      </c>
      <c r="L125" s="466">
        <v>0</v>
      </c>
    </row>
    <row r="126" spans="1:14" ht="14.25" thickTop="1" thickBot="1" x14ac:dyDescent="0.25">
      <c r="A126" s="1525"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332023</v>
      </c>
      <c r="F127" s="1690">
        <f t="shared" si="14"/>
        <v>183080</v>
      </c>
      <c r="G127" s="1690">
        <f t="shared" si="14"/>
        <v>426687</v>
      </c>
      <c r="H127" s="1690">
        <f t="shared" si="14"/>
        <v>0</v>
      </c>
      <c r="I127" s="1690">
        <f t="shared" si="14"/>
        <v>0</v>
      </c>
      <c r="J127" s="1690">
        <f t="shared" si="14"/>
        <v>0</v>
      </c>
      <c r="K127" s="1690">
        <f t="shared" si="14"/>
        <v>941790</v>
      </c>
      <c r="L127" s="1690">
        <f t="shared" si="14"/>
        <v>950000</v>
      </c>
    </row>
    <row r="128" spans="1:14" ht="12.75" customHeight="1" thickTop="1" x14ac:dyDescent="0.2">
      <c r="A128" s="1532"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0</v>
      </c>
      <c r="D129" s="1697">
        <f t="shared" ref="D129:L129" si="15">SUM(D120,D127,D128)</f>
        <v>0</v>
      </c>
      <c r="E129" s="1697">
        <f t="shared" si="15"/>
        <v>332023</v>
      </c>
      <c r="F129" s="1697">
        <f t="shared" si="15"/>
        <v>183080</v>
      </c>
      <c r="G129" s="1697">
        <f t="shared" si="15"/>
        <v>426687</v>
      </c>
      <c r="H129" s="1697">
        <f t="shared" si="15"/>
        <v>0</v>
      </c>
      <c r="I129" s="1697">
        <f t="shared" si="15"/>
        <v>0</v>
      </c>
      <c r="J129" s="1697">
        <f t="shared" si="15"/>
        <v>0</v>
      </c>
      <c r="K129" s="1697">
        <f t="shared" si="15"/>
        <v>941790</v>
      </c>
      <c r="L129" s="1697">
        <f t="shared" si="15"/>
        <v>950000</v>
      </c>
    </row>
    <row r="130" spans="1:14" ht="15.75" customHeight="1" thickTop="1" thickBot="1" x14ac:dyDescent="0.25">
      <c r="A130" s="1631" t="s">
        <v>1096</v>
      </c>
      <c r="B130" s="1632" t="s">
        <v>596</v>
      </c>
      <c r="C130" s="576"/>
      <c r="D130" s="576"/>
      <c r="E130" s="576"/>
      <c r="F130" s="576"/>
      <c r="G130" s="576"/>
      <c r="H130" s="576"/>
      <c r="I130" s="531"/>
      <c r="J130" s="531"/>
      <c r="K130" s="1690">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1" t="s">
        <v>1952</v>
      </c>
      <c r="C133" s="468"/>
      <c r="D133" s="468"/>
      <c r="E133" s="642"/>
      <c r="F133" s="468"/>
      <c r="G133" s="468"/>
      <c r="H133" s="642"/>
      <c r="I133" s="468"/>
      <c r="J133" s="468"/>
      <c r="K133" s="1842">
        <f>SUM(E133,H133)</f>
        <v>0</v>
      </c>
      <c r="L133" s="642">
        <v>0</v>
      </c>
      <c r="M133" s="206"/>
      <c r="N133" s="206"/>
    </row>
    <row r="134" spans="1:14" x14ac:dyDescent="0.2">
      <c r="A134" s="1525" t="s">
        <v>322</v>
      </c>
      <c r="B134" s="615">
        <v>4120</v>
      </c>
      <c r="C134" s="617"/>
      <c r="D134" s="617"/>
      <c r="E134" s="478"/>
      <c r="F134" s="617"/>
      <c r="G134" s="617"/>
      <c r="H134" s="481"/>
      <c r="I134" s="477"/>
      <c r="J134" s="617"/>
      <c r="K134" s="1692">
        <f>SUM(E134,H134)</f>
        <v>0</v>
      </c>
      <c r="L134" s="481">
        <v>0</v>
      </c>
    </row>
    <row r="135" spans="1:14" x14ac:dyDescent="0.2">
      <c r="A135" s="1525" t="s">
        <v>721</v>
      </c>
      <c r="B135" s="615">
        <v>4140</v>
      </c>
      <c r="C135" s="617"/>
      <c r="D135" s="617"/>
      <c r="E135" s="467"/>
      <c r="F135" s="617"/>
      <c r="G135" s="617"/>
      <c r="H135" s="466"/>
      <c r="I135" s="477"/>
      <c r="J135" s="617"/>
      <c r="K135" s="1692">
        <f>SUM(E135,H135)</f>
        <v>0</v>
      </c>
      <c r="L135" s="466">
        <v>0</v>
      </c>
    </row>
    <row r="136" spans="1:14" x14ac:dyDescent="0.2">
      <c r="A136" s="1529"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1"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2">
        <f>SUM(H142)</f>
        <v>0</v>
      </c>
      <c r="L142" s="481">
        <v>0</v>
      </c>
    </row>
    <row r="143" spans="1:14" x14ac:dyDescent="0.2">
      <c r="A143" s="1525" t="s">
        <v>90</v>
      </c>
      <c r="B143" s="615">
        <v>5120</v>
      </c>
      <c r="C143" s="617"/>
      <c r="D143" s="617"/>
      <c r="E143" s="617"/>
      <c r="F143" s="617"/>
      <c r="G143" s="617"/>
      <c r="H143" s="466"/>
      <c r="I143" s="468"/>
      <c r="J143" s="617"/>
      <c r="K143" s="1692">
        <f>SUM(H143)</f>
        <v>0</v>
      </c>
      <c r="L143" s="466">
        <v>0</v>
      </c>
    </row>
    <row r="144" spans="1:14" ht="12.75" customHeight="1" x14ac:dyDescent="0.2">
      <c r="A144" s="1525" t="s">
        <v>1232</v>
      </c>
      <c r="B144" s="629" t="s">
        <v>638</v>
      </c>
      <c r="C144" s="617"/>
      <c r="D144" s="617"/>
      <c r="E144" s="617"/>
      <c r="F144" s="617"/>
      <c r="G144" s="617"/>
      <c r="H144" s="466"/>
      <c r="I144" s="468"/>
      <c r="J144" s="617"/>
      <c r="K144" s="1692">
        <f>SUM(H144)</f>
        <v>0</v>
      </c>
      <c r="L144" s="466">
        <v>0</v>
      </c>
    </row>
    <row r="145" spans="1:14" x14ac:dyDescent="0.2">
      <c r="A145" s="1525" t="s">
        <v>91</v>
      </c>
      <c r="B145" s="615" t="s">
        <v>610</v>
      </c>
      <c r="C145" s="617"/>
      <c r="D145" s="617"/>
      <c r="E145" s="617"/>
      <c r="F145" s="617"/>
      <c r="G145" s="617"/>
      <c r="H145" s="466"/>
      <c r="I145" s="468"/>
      <c r="J145" s="617"/>
      <c r="K145" s="1692">
        <f>SUM(H145)</f>
        <v>0</v>
      </c>
      <c r="L145" s="466">
        <v>0</v>
      </c>
    </row>
    <row r="146" spans="1:14" ht="12.75" customHeight="1" x14ac:dyDescent="0.2">
      <c r="A146" s="1525" t="s">
        <v>640</v>
      </c>
      <c r="B146" s="615" t="s">
        <v>639</v>
      </c>
      <c r="C146" s="617"/>
      <c r="D146" s="617"/>
      <c r="E146" s="617"/>
      <c r="F146" s="617"/>
      <c r="G146" s="617"/>
      <c r="H146" s="466"/>
      <c r="I146" s="468"/>
      <c r="J146" s="617"/>
      <c r="K146" s="1692">
        <f>SUM(H146)</f>
        <v>0</v>
      </c>
      <c r="L146" s="466">
        <v>0</v>
      </c>
    </row>
    <row r="147" spans="1:14" ht="12.75" customHeight="1" thickBot="1" x14ac:dyDescent="0.25">
      <c r="A147" s="1536"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8"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10000</v>
      </c>
    </row>
    <row r="151" spans="1:14" ht="12.75" customHeight="1" thickTop="1" thickBot="1" x14ac:dyDescent="0.25">
      <c r="A151" s="2222" t="s">
        <v>641</v>
      </c>
      <c r="B151" s="2204"/>
      <c r="C151" s="1690">
        <f>SUM(C129,C130,C139,C149,C150)</f>
        <v>0</v>
      </c>
      <c r="D151" s="1690">
        <f t="shared" ref="D151:K151" si="16">SUM(D129,D130,D139,D149,D150)</f>
        <v>0</v>
      </c>
      <c r="E151" s="1690">
        <f t="shared" si="16"/>
        <v>332023</v>
      </c>
      <c r="F151" s="1690">
        <f t="shared" si="16"/>
        <v>183080</v>
      </c>
      <c r="G151" s="1690">
        <f t="shared" si="16"/>
        <v>426687</v>
      </c>
      <c r="H151" s="1690">
        <f t="shared" si="16"/>
        <v>0</v>
      </c>
      <c r="I151" s="1690">
        <f t="shared" si="16"/>
        <v>0</v>
      </c>
      <c r="J151" s="1690">
        <f t="shared" si="16"/>
        <v>0</v>
      </c>
      <c r="K151" s="1690">
        <f t="shared" si="16"/>
        <v>941790</v>
      </c>
      <c r="L151" s="1690">
        <f>SUM(L129,L130,L139,L149,L150)</f>
        <v>960000</v>
      </c>
    </row>
    <row r="152" spans="1:14" ht="12.75" customHeight="1" thickTop="1" x14ac:dyDescent="0.2">
      <c r="A152" s="2225" t="s">
        <v>1240</v>
      </c>
      <c r="B152" s="2226"/>
      <c r="C152" s="619"/>
      <c r="D152" s="619"/>
      <c r="E152" s="619"/>
      <c r="F152" s="619"/>
      <c r="G152" s="619"/>
      <c r="H152" s="619"/>
      <c r="I152" s="619"/>
      <c r="J152" s="617"/>
      <c r="K152" s="1704">
        <f>'Revenues 9-14'!D275-'Expenditures 15-22'!K151</f>
        <v>87093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0" t="s">
        <v>642</v>
      </c>
      <c r="B154" s="221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1953</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1952</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1954</v>
      </c>
      <c r="C158" s="617"/>
      <c r="D158" s="617"/>
      <c r="E158" s="617"/>
      <c r="F158" s="617"/>
      <c r="G158" s="617"/>
      <c r="H158" s="467"/>
      <c r="I158" s="617"/>
      <c r="J158" s="617"/>
      <c r="K158" s="1691">
        <f>H158</f>
        <v>0</v>
      </c>
      <c r="L158" s="467">
        <v>0</v>
      </c>
      <c r="M158" s="620"/>
      <c r="N158" s="620"/>
    </row>
    <row r="159" spans="1:14" s="621" customFormat="1" ht="12" x14ac:dyDescent="0.2">
      <c r="A159" s="1847" t="s">
        <v>1955</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1956</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1">
        <f>SUM(C163:J163)</f>
        <v>0</v>
      </c>
      <c r="L163" s="466">
        <v>5000</v>
      </c>
    </row>
    <row r="164" spans="1:14" x14ac:dyDescent="0.2">
      <c r="A164" s="1525" t="s">
        <v>90</v>
      </c>
      <c r="B164" s="615">
        <v>5120</v>
      </c>
      <c r="C164" s="617"/>
      <c r="D164" s="617"/>
      <c r="E164" s="617"/>
      <c r="F164" s="617"/>
      <c r="G164" s="617"/>
      <c r="H164" s="466"/>
      <c r="I164" s="617"/>
      <c r="J164" s="617"/>
      <c r="K164" s="1691">
        <f>SUM(C164:J164)</f>
        <v>0</v>
      </c>
      <c r="L164" s="466">
        <v>0</v>
      </c>
    </row>
    <row r="165" spans="1:14" ht="12.75" customHeight="1" x14ac:dyDescent="0.2">
      <c r="A165" s="1525" t="s">
        <v>1232</v>
      </c>
      <c r="B165" s="615" t="s">
        <v>638</v>
      </c>
      <c r="C165" s="617"/>
      <c r="D165" s="617"/>
      <c r="E165" s="617"/>
      <c r="F165" s="617"/>
      <c r="G165" s="617"/>
      <c r="H165" s="466"/>
      <c r="I165" s="617"/>
      <c r="J165" s="617"/>
      <c r="K165" s="1691">
        <f>SUM(C165:J165)</f>
        <v>0</v>
      </c>
      <c r="L165" s="466">
        <v>0</v>
      </c>
    </row>
    <row r="166" spans="1:14" x14ac:dyDescent="0.2">
      <c r="A166" s="1525" t="s">
        <v>91</v>
      </c>
      <c r="B166" s="629" t="s">
        <v>610</v>
      </c>
      <c r="C166" s="617"/>
      <c r="D166" s="617"/>
      <c r="E166" s="617"/>
      <c r="F166" s="617"/>
      <c r="G166" s="617"/>
      <c r="H166" s="466"/>
      <c r="I166" s="617"/>
      <c r="J166" s="617"/>
      <c r="K166" s="1691">
        <f>SUM(C166:J166)</f>
        <v>0</v>
      </c>
      <c r="L166" s="466">
        <v>0</v>
      </c>
    </row>
    <row r="167" spans="1:14" ht="12.75" customHeight="1" x14ac:dyDescent="0.2">
      <c r="A167" s="1525"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5000</v>
      </c>
    </row>
    <row r="169" spans="1:14" ht="15.75" customHeight="1" thickTop="1" x14ac:dyDescent="0.2">
      <c r="A169" s="670" t="s">
        <v>85</v>
      </c>
      <c r="B169" s="671" t="s">
        <v>38</v>
      </c>
      <c r="C169" s="617"/>
      <c r="D169" s="617"/>
      <c r="E169" s="617"/>
      <c r="F169" s="617"/>
      <c r="G169" s="617"/>
      <c r="H169" s="657">
        <v>249145</v>
      </c>
      <c r="I169" s="617"/>
      <c r="J169" s="617"/>
      <c r="K169" s="1691">
        <f>SUM(C169:H169)</f>
        <v>249145</v>
      </c>
      <c r="L169" s="657">
        <v>256524</v>
      </c>
    </row>
    <row r="170" spans="1:14" ht="33.75" customHeight="1" x14ac:dyDescent="0.2">
      <c r="A170" s="670" t="s">
        <v>1769</v>
      </c>
      <c r="B170" s="672" t="s">
        <v>31</v>
      </c>
      <c r="C170" s="617"/>
      <c r="D170" s="617"/>
      <c r="E170" s="617"/>
      <c r="F170" s="617"/>
      <c r="G170" s="617"/>
      <c r="H170" s="569">
        <v>390000</v>
      </c>
      <c r="I170" s="617"/>
      <c r="J170" s="617"/>
      <c r="K170" s="1691">
        <f>SUM(C170:J170)</f>
        <v>390000</v>
      </c>
      <c r="L170" s="569">
        <v>480735</v>
      </c>
    </row>
    <row r="171" spans="1:14" ht="15.75" customHeight="1" x14ac:dyDescent="0.2">
      <c r="A171" s="622" t="s">
        <v>790</v>
      </c>
      <c r="B171" s="673" t="s">
        <v>86</v>
      </c>
      <c r="C171" s="617"/>
      <c r="D171" s="617"/>
      <c r="E171" s="466"/>
      <c r="F171" s="617"/>
      <c r="G171" s="617"/>
      <c r="H171" s="569">
        <f>100+7371+90743</f>
        <v>98214</v>
      </c>
      <c r="I171" s="477"/>
      <c r="J171" s="617"/>
      <c r="K171" s="1691">
        <f>SUM(C171:J171)</f>
        <v>98214</v>
      </c>
      <c r="L171" s="569">
        <v>0</v>
      </c>
    </row>
    <row r="172" spans="1:14" ht="12.75" customHeight="1" thickBot="1" x14ac:dyDescent="0.25">
      <c r="A172" s="1688" t="s">
        <v>659</v>
      </c>
      <c r="B172" s="1689" t="s">
        <v>513</v>
      </c>
      <c r="C172" s="617"/>
      <c r="D172" s="617"/>
      <c r="E172" s="1697">
        <f>SUM(E168,E169,E170,E171)</f>
        <v>0</v>
      </c>
      <c r="F172" s="617"/>
      <c r="G172" s="617"/>
      <c r="H172" s="1697">
        <f>SUM(H168,H169,H170,H171)</f>
        <v>737359</v>
      </c>
      <c r="I172" s="639"/>
      <c r="J172" s="617"/>
      <c r="K172" s="1697">
        <f>SUM(K168,K169,K170,K171)</f>
        <v>737359</v>
      </c>
      <c r="L172" s="1697">
        <f>SUM(L168,L169,L170,L171)</f>
        <v>742259</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737359</v>
      </c>
      <c r="I174" s="639"/>
      <c r="J174" s="617"/>
      <c r="K174" s="1697">
        <f>SUM(K160,K172,K173)</f>
        <v>737359</v>
      </c>
      <c r="L174" s="1697">
        <f>SUM(L160,L172,L173)</f>
        <v>742259</v>
      </c>
    </row>
    <row r="175" spans="1:14" ht="13.5" thickTop="1" x14ac:dyDescent="0.2">
      <c r="A175" s="2232" t="s">
        <v>1053</v>
      </c>
      <c r="B175" s="2233"/>
      <c r="C175" s="617"/>
      <c r="D175" s="617"/>
      <c r="E175" s="617"/>
      <c r="F175" s="617"/>
      <c r="G175" s="617"/>
      <c r="H175" s="619"/>
      <c r="I175" s="617"/>
      <c r="J175" s="617"/>
      <c r="K175" s="1704">
        <f>'Revenues 9-14'!E275-'Expenditures 15-22'!K174</f>
        <v>-243947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29704</v>
      </c>
      <c r="D182" s="466">
        <v>3219</v>
      </c>
      <c r="E182" s="466">
        <v>1232316</v>
      </c>
      <c r="F182" s="466">
        <v>121188</v>
      </c>
      <c r="G182" s="466"/>
      <c r="H182" s="466"/>
      <c r="I182" s="467"/>
      <c r="J182" s="467"/>
      <c r="K182" s="1691">
        <f>SUM(C182:J182)</f>
        <v>1386427</v>
      </c>
      <c r="L182" s="466">
        <v>1359716</v>
      </c>
    </row>
    <row r="183" spans="1:14" ht="12.75" customHeight="1" thickBot="1" x14ac:dyDescent="0.25">
      <c r="A183" s="1530"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29704</v>
      </c>
      <c r="D184" s="1697">
        <f t="shared" ref="D184:J184" si="17">SUM(D180,D182,D183)</f>
        <v>3219</v>
      </c>
      <c r="E184" s="1697">
        <f t="shared" si="17"/>
        <v>1232316</v>
      </c>
      <c r="F184" s="1697">
        <f t="shared" si="17"/>
        <v>121188</v>
      </c>
      <c r="G184" s="1697">
        <f t="shared" si="17"/>
        <v>0</v>
      </c>
      <c r="H184" s="1697">
        <f t="shared" si="17"/>
        <v>0</v>
      </c>
      <c r="I184" s="1697">
        <f t="shared" si="17"/>
        <v>0</v>
      </c>
      <c r="J184" s="1697">
        <f t="shared" si="17"/>
        <v>0</v>
      </c>
      <c r="K184" s="1697">
        <f>SUM(K180,K182,K183)</f>
        <v>1386427</v>
      </c>
      <c r="L184" s="1697">
        <f>SUM(L180, L182:L183)</f>
        <v>1359716</v>
      </c>
    </row>
    <row r="185" spans="1:14" ht="15.75" customHeight="1" thickTop="1" thickBot="1" x14ac:dyDescent="0.25">
      <c r="A185" s="1643" t="s">
        <v>996</v>
      </c>
      <c r="B185" s="1632">
        <v>3000</v>
      </c>
      <c r="C185" s="576"/>
      <c r="D185" s="576"/>
      <c r="E185" s="576"/>
      <c r="F185" s="576"/>
      <c r="G185" s="576"/>
      <c r="H185" s="576"/>
      <c r="I185" s="531"/>
      <c r="J185" s="531"/>
      <c r="K185" s="1690">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1">
        <f t="shared" ref="K188:K193" si="18">SUM(E188,H188)</f>
        <v>0</v>
      </c>
      <c r="L188" s="466">
        <v>0</v>
      </c>
    </row>
    <row r="189" spans="1:14" x14ac:dyDescent="0.2">
      <c r="A189" s="1525" t="s">
        <v>322</v>
      </c>
      <c r="B189" s="615">
        <v>4120</v>
      </c>
      <c r="C189" s="617"/>
      <c r="D189" s="617"/>
      <c r="E189" s="466"/>
      <c r="F189" s="617"/>
      <c r="G189" s="617"/>
      <c r="H189" s="466"/>
      <c r="I189" s="477"/>
      <c r="J189" s="617"/>
      <c r="K189" s="1691">
        <f t="shared" si="18"/>
        <v>0</v>
      </c>
      <c r="L189" s="466">
        <v>0</v>
      </c>
    </row>
    <row r="190" spans="1:14" x14ac:dyDescent="0.2">
      <c r="A190" s="1525" t="s">
        <v>323</v>
      </c>
      <c r="B190" s="629">
        <v>4130</v>
      </c>
      <c r="C190" s="617"/>
      <c r="D190" s="617"/>
      <c r="E190" s="466"/>
      <c r="F190" s="617"/>
      <c r="G190" s="617"/>
      <c r="H190" s="466"/>
      <c r="I190" s="477"/>
      <c r="J190" s="617"/>
      <c r="K190" s="1691">
        <f t="shared" si="18"/>
        <v>0</v>
      </c>
      <c r="L190" s="466">
        <v>0</v>
      </c>
    </row>
    <row r="191" spans="1:14" x14ac:dyDescent="0.2">
      <c r="A191" s="1525" t="s">
        <v>721</v>
      </c>
      <c r="B191" s="615">
        <v>4140</v>
      </c>
      <c r="C191" s="617"/>
      <c r="D191" s="617"/>
      <c r="E191" s="466"/>
      <c r="F191" s="617"/>
      <c r="G191" s="617"/>
      <c r="H191" s="466"/>
      <c r="I191" s="477"/>
      <c r="J191" s="617"/>
      <c r="K191" s="1691">
        <f t="shared" si="18"/>
        <v>0</v>
      </c>
      <c r="L191" s="466">
        <v>0</v>
      </c>
    </row>
    <row r="192" spans="1:14" x14ac:dyDescent="0.2">
      <c r="A192" s="1525" t="s">
        <v>88</v>
      </c>
      <c r="B192" s="615">
        <v>4170</v>
      </c>
      <c r="C192" s="617"/>
      <c r="D192" s="617"/>
      <c r="E192" s="466"/>
      <c r="F192" s="617"/>
      <c r="G192" s="617"/>
      <c r="H192" s="466"/>
      <c r="I192" s="477"/>
      <c r="J192" s="617"/>
      <c r="K192" s="1691">
        <f t="shared" si="18"/>
        <v>0</v>
      </c>
      <c r="L192" s="466">
        <v>0</v>
      </c>
    </row>
    <row r="193" spans="1:14" x14ac:dyDescent="0.2">
      <c r="A193" s="1529"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1">
        <f>SUM(H199)</f>
        <v>0</v>
      </c>
      <c r="L199" s="466">
        <v>0</v>
      </c>
    </row>
    <row r="200" spans="1:14" x14ac:dyDescent="0.2">
      <c r="A200" s="1525" t="s">
        <v>90</v>
      </c>
      <c r="B200" s="615">
        <v>5120</v>
      </c>
      <c r="C200" s="617"/>
      <c r="D200" s="617"/>
      <c r="E200" s="617"/>
      <c r="F200" s="617"/>
      <c r="G200" s="617"/>
      <c r="H200" s="466"/>
      <c r="I200" s="617"/>
      <c r="J200" s="617"/>
      <c r="K200" s="1691">
        <f>SUM(H200)</f>
        <v>0</v>
      </c>
      <c r="L200" s="466">
        <v>0</v>
      </c>
    </row>
    <row r="201" spans="1:14" ht="12.75" customHeight="1" x14ac:dyDescent="0.2">
      <c r="A201" s="1525" t="s">
        <v>1232</v>
      </c>
      <c r="B201" s="629" t="s">
        <v>638</v>
      </c>
      <c r="C201" s="617"/>
      <c r="D201" s="617"/>
      <c r="E201" s="617"/>
      <c r="F201" s="617"/>
      <c r="G201" s="617"/>
      <c r="H201" s="466"/>
      <c r="I201" s="617"/>
      <c r="J201" s="617"/>
      <c r="K201" s="1691">
        <f>SUM(H201)</f>
        <v>0</v>
      </c>
      <c r="L201" s="466">
        <v>0</v>
      </c>
    </row>
    <row r="202" spans="1:14" x14ac:dyDescent="0.2">
      <c r="A202" s="1525" t="s">
        <v>91</v>
      </c>
      <c r="B202" s="615" t="s">
        <v>610</v>
      </c>
      <c r="C202" s="617"/>
      <c r="D202" s="617"/>
      <c r="E202" s="617"/>
      <c r="F202" s="617"/>
      <c r="G202" s="617"/>
      <c r="H202" s="466"/>
      <c r="I202" s="617"/>
      <c r="J202" s="617"/>
      <c r="K202" s="1691">
        <f>SUM(H202)</f>
        <v>0</v>
      </c>
      <c r="L202" s="466">
        <v>0</v>
      </c>
    </row>
    <row r="203" spans="1:14" x14ac:dyDescent="0.2">
      <c r="A203" s="1537"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29704</v>
      </c>
      <c r="D210" s="1690">
        <f>SUM(D184,D185)</f>
        <v>3219</v>
      </c>
      <c r="E210" s="1690">
        <f>SUM(E184,E185,E196)</f>
        <v>1232316</v>
      </c>
      <c r="F210" s="1690">
        <f>SUM(F184,F185)</f>
        <v>121188</v>
      </c>
      <c r="G210" s="1690">
        <f>SUM(G184,G185)</f>
        <v>0</v>
      </c>
      <c r="H210" s="1690">
        <f>SUM(H184,H185,H196,H208,H209)</f>
        <v>0</v>
      </c>
      <c r="I210" s="1690">
        <f>SUM(I184,I185)</f>
        <v>0</v>
      </c>
      <c r="J210" s="1690">
        <f>SUM(J184,J185)</f>
        <v>0</v>
      </c>
      <c r="K210" s="1691">
        <f>SUM(K184,K185,K196,K208,K209)</f>
        <v>1386427</v>
      </c>
      <c r="L210" s="1690">
        <f>SUM(L184,L185,L196,L208,L209)</f>
        <v>1359716</v>
      </c>
    </row>
    <row r="211" spans="1:14" ht="13.5" thickTop="1" x14ac:dyDescent="0.2">
      <c r="A211" s="2232" t="s">
        <v>1053</v>
      </c>
      <c r="B211" s="2233"/>
      <c r="C211" s="619"/>
      <c r="D211" s="619"/>
      <c r="E211" s="619"/>
      <c r="F211" s="619"/>
      <c r="G211" s="619"/>
      <c r="H211" s="619"/>
      <c r="I211" s="617"/>
      <c r="J211" s="617"/>
      <c r="K211" s="1704">
        <f>'Revenues 9-14'!F275-'Expenditures 15-22'!K210</f>
        <v>240355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7" t="s">
        <v>1022</v>
      </c>
      <c r="B213" s="222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80318</v>
      </c>
      <c r="E215" s="617"/>
      <c r="F215" s="617"/>
      <c r="G215" s="617"/>
      <c r="H215" s="617"/>
      <c r="I215" s="617"/>
      <c r="J215" s="617"/>
      <c r="K215" s="1691">
        <f>D215</f>
        <v>80318</v>
      </c>
      <c r="L215" s="466">
        <v>85000</v>
      </c>
    </row>
    <row r="216" spans="1:14" x14ac:dyDescent="0.2">
      <c r="A216" s="1525" t="s">
        <v>165</v>
      </c>
      <c r="B216" s="615" t="s">
        <v>1024</v>
      </c>
      <c r="C216" s="617"/>
      <c r="D216" s="467"/>
      <c r="E216" s="617"/>
      <c r="F216" s="617"/>
      <c r="G216" s="617"/>
      <c r="H216" s="617"/>
      <c r="I216" s="617"/>
      <c r="J216" s="617"/>
      <c r="K216" s="1691">
        <f t="shared" ref="K216:K228" si="19">D216</f>
        <v>0</v>
      </c>
      <c r="L216" s="466">
        <v>82000</v>
      </c>
    </row>
    <row r="217" spans="1:14" x14ac:dyDescent="0.2">
      <c r="A217" s="1525" t="s">
        <v>166</v>
      </c>
      <c r="B217" s="615">
        <v>1200</v>
      </c>
      <c r="C217" s="617"/>
      <c r="D217" s="466">
        <v>82170</v>
      </c>
      <c r="E217" s="617"/>
      <c r="F217" s="617"/>
      <c r="G217" s="617"/>
      <c r="H217" s="617"/>
      <c r="I217" s="617"/>
      <c r="J217" s="617"/>
      <c r="K217" s="1691">
        <f t="shared" si="19"/>
        <v>82170</v>
      </c>
      <c r="L217" s="466">
        <v>0</v>
      </c>
    </row>
    <row r="218" spans="1:14" x14ac:dyDescent="0.2">
      <c r="A218" s="1525" t="s">
        <v>296</v>
      </c>
      <c r="B218" s="615" t="s">
        <v>1025</v>
      </c>
      <c r="C218" s="617"/>
      <c r="D218" s="467"/>
      <c r="E218" s="617"/>
      <c r="F218" s="617"/>
      <c r="G218" s="617"/>
      <c r="H218" s="617"/>
      <c r="I218" s="617"/>
      <c r="J218" s="617"/>
      <c r="K218" s="1691">
        <f t="shared" si="19"/>
        <v>0</v>
      </c>
      <c r="L218" s="466">
        <v>0</v>
      </c>
    </row>
    <row r="219" spans="1:14" x14ac:dyDescent="0.2">
      <c r="A219" s="1525" t="s">
        <v>297</v>
      </c>
      <c r="B219" s="615">
        <v>1250</v>
      </c>
      <c r="C219" s="617"/>
      <c r="D219" s="466">
        <v>74161</v>
      </c>
      <c r="E219" s="617"/>
      <c r="F219" s="617"/>
      <c r="G219" s="617"/>
      <c r="H219" s="617"/>
      <c r="I219" s="617"/>
      <c r="J219" s="617"/>
      <c r="K219" s="1691">
        <f t="shared" si="19"/>
        <v>74161</v>
      </c>
      <c r="L219" s="466">
        <v>75000</v>
      </c>
    </row>
    <row r="220" spans="1:14" x14ac:dyDescent="0.2">
      <c r="A220" s="1525" t="s">
        <v>298</v>
      </c>
      <c r="B220" s="615" t="s">
        <v>163</v>
      </c>
      <c r="C220" s="617"/>
      <c r="D220" s="467"/>
      <c r="E220" s="617"/>
      <c r="F220" s="617"/>
      <c r="G220" s="617"/>
      <c r="H220" s="617"/>
      <c r="I220" s="617"/>
      <c r="J220" s="617"/>
      <c r="K220" s="1691">
        <f t="shared" si="19"/>
        <v>0</v>
      </c>
      <c r="L220" s="466"/>
    </row>
    <row r="221" spans="1:14" x14ac:dyDescent="0.2">
      <c r="A221" s="1525" t="s">
        <v>1019</v>
      </c>
      <c r="B221" s="615">
        <v>1300</v>
      </c>
      <c r="C221" s="617"/>
      <c r="D221" s="466"/>
      <c r="E221" s="617"/>
      <c r="F221" s="617"/>
      <c r="G221" s="617"/>
      <c r="H221" s="617"/>
      <c r="I221" s="617"/>
      <c r="J221" s="617"/>
      <c r="K221" s="1691">
        <f t="shared" si="19"/>
        <v>0</v>
      </c>
      <c r="L221" s="466"/>
    </row>
    <row r="222" spans="1:14" x14ac:dyDescent="0.2">
      <c r="A222" s="1525" t="s">
        <v>747</v>
      </c>
      <c r="B222" s="615">
        <v>1400</v>
      </c>
      <c r="C222" s="617"/>
      <c r="D222" s="466">
        <v>392</v>
      </c>
      <c r="E222" s="617"/>
      <c r="F222" s="617"/>
      <c r="G222" s="617"/>
      <c r="H222" s="617"/>
      <c r="I222" s="617"/>
      <c r="J222" s="617"/>
      <c r="K222" s="1691">
        <f t="shared" si="19"/>
        <v>392</v>
      </c>
      <c r="L222" s="466">
        <v>500</v>
      </c>
    </row>
    <row r="223" spans="1:14" x14ac:dyDescent="0.2">
      <c r="A223" s="1525" t="s">
        <v>1020</v>
      </c>
      <c r="B223" s="615">
        <v>1500</v>
      </c>
      <c r="C223" s="617"/>
      <c r="D223" s="466">
        <v>13835</v>
      </c>
      <c r="E223" s="617"/>
      <c r="F223" s="617"/>
      <c r="G223" s="617"/>
      <c r="H223" s="617"/>
      <c r="I223" s="617"/>
      <c r="J223" s="617"/>
      <c r="K223" s="1691">
        <f t="shared" si="19"/>
        <v>13835</v>
      </c>
      <c r="L223" s="466">
        <v>15000</v>
      </c>
    </row>
    <row r="224" spans="1:14" x14ac:dyDescent="0.2">
      <c r="A224" s="1525" t="s">
        <v>1021</v>
      </c>
      <c r="B224" s="615">
        <v>1600</v>
      </c>
      <c r="C224" s="617"/>
      <c r="D224" s="466"/>
      <c r="E224" s="617"/>
      <c r="F224" s="617"/>
      <c r="G224" s="617"/>
      <c r="H224" s="617"/>
      <c r="I224" s="617"/>
      <c r="J224" s="617"/>
      <c r="K224" s="1691">
        <f t="shared" si="19"/>
        <v>0</v>
      </c>
      <c r="L224" s="466">
        <v>0</v>
      </c>
    </row>
    <row r="225" spans="1:12" x14ac:dyDescent="0.2">
      <c r="A225" s="1525" t="s">
        <v>1044</v>
      </c>
      <c r="B225" s="615">
        <v>1650</v>
      </c>
      <c r="C225" s="617"/>
      <c r="D225" s="466"/>
      <c r="E225" s="617"/>
      <c r="F225" s="617"/>
      <c r="G225" s="617"/>
      <c r="H225" s="617"/>
      <c r="I225" s="617"/>
      <c r="J225" s="617"/>
      <c r="K225" s="1691">
        <f t="shared" si="19"/>
        <v>0</v>
      </c>
      <c r="L225" s="466">
        <v>0</v>
      </c>
    </row>
    <row r="226" spans="1:12" x14ac:dyDescent="0.2">
      <c r="A226" s="1525" t="s">
        <v>748</v>
      </c>
      <c r="B226" s="615" t="s">
        <v>164</v>
      </c>
      <c r="C226" s="617"/>
      <c r="D226" s="467"/>
      <c r="E226" s="617"/>
      <c r="F226" s="617"/>
      <c r="G226" s="617"/>
      <c r="H226" s="617"/>
      <c r="I226" s="617"/>
      <c r="J226" s="617"/>
      <c r="K226" s="1691">
        <f t="shared" si="19"/>
        <v>0</v>
      </c>
      <c r="L226" s="466">
        <v>0</v>
      </c>
    </row>
    <row r="227" spans="1:12" x14ac:dyDescent="0.2">
      <c r="A227" s="1525" t="s">
        <v>1148</v>
      </c>
      <c r="B227" s="615">
        <v>1800</v>
      </c>
      <c r="C227" s="617"/>
      <c r="D227" s="466">
        <v>6062</v>
      </c>
      <c r="E227" s="617"/>
      <c r="F227" s="617"/>
      <c r="G227" s="617"/>
      <c r="H227" s="617"/>
      <c r="I227" s="617"/>
      <c r="J227" s="617"/>
      <c r="K227" s="1691">
        <f t="shared" si="19"/>
        <v>6062</v>
      </c>
      <c r="L227" s="466">
        <v>8000</v>
      </c>
    </row>
    <row r="228" spans="1:12" x14ac:dyDescent="0.2">
      <c r="A228" s="1525"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256938</v>
      </c>
      <c r="E229" s="617"/>
      <c r="F229" s="617"/>
      <c r="G229" s="617"/>
      <c r="H229" s="617"/>
      <c r="I229" s="617"/>
      <c r="J229" s="617"/>
      <c r="K229" s="1690">
        <f>SUM(K215:K228)</f>
        <v>256938</v>
      </c>
      <c r="L229" s="1690">
        <f>SUM(L215:L228)</f>
        <v>265500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19892</v>
      </c>
      <c r="E232" s="617"/>
      <c r="F232" s="617"/>
      <c r="G232" s="617"/>
      <c r="H232" s="617"/>
      <c r="I232" s="617"/>
      <c r="J232" s="617"/>
      <c r="K232" s="1691">
        <f t="shared" ref="K232:K237" si="20">D232</f>
        <v>19892</v>
      </c>
      <c r="L232" s="466">
        <v>21000</v>
      </c>
    </row>
    <row r="233" spans="1:12" x14ac:dyDescent="0.2">
      <c r="A233" s="1525" t="s">
        <v>1151</v>
      </c>
      <c r="B233" s="615">
        <v>2120</v>
      </c>
      <c r="C233" s="617"/>
      <c r="D233" s="466">
        <v>1615</v>
      </c>
      <c r="E233" s="617"/>
      <c r="F233" s="617"/>
      <c r="G233" s="617"/>
      <c r="H233" s="617"/>
      <c r="I233" s="617"/>
      <c r="J233" s="617"/>
      <c r="K233" s="1691">
        <f t="shared" si="20"/>
        <v>1615</v>
      </c>
      <c r="L233" s="466">
        <v>2200</v>
      </c>
    </row>
    <row r="234" spans="1:12" x14ac:dyDescent="0.2">
      <c r="A234" s="1525" t="s">
        <v>207</v>
      </c>
      <c r="B234" s="615">
        <v>2130</v>
      </c>
      <c r="C234" s="617"/>
      <c r="D234" s="466">
        <v>1083</v>
      </c>
      <c r="E234" s="617"/>
      <c r="F234" s="617"/>
      <c r="G234" s="617"/>
      <c r="H234" s="617"/>
      <c r="I234" s="617"/>
      <c r="J234" s="617"/>
      <c r="K234" s="1691">
        <f t="shared" si="20"/>
        <v>1083</v>
      </c>
      <c r="L234" s="466">
        <v>1200</v>
      </c>
    </row>
    <row r="235" spans="1:12" x14ac:dyDescent="0.2">
      <c r="A235" s="1525" t="s">
        <v>208</v>
      </c>
      <c r="B235" s="615">
        <v>2140</v>
      </c>
      <c r="C235" s="617"/>
      <c r="D235" s="466"/>
      <c r="E235" s="617"/>
      <c r="F235" s="617"/>
      <c r="G235" s="617"/>
      <c r="H235" s="617"/>
      <c r="I235" s="617"/>
      <c r="J235" s="617"/>
      <c r="K235" s="1691">
        <f t="shared" si="20"/>
        <v>0</v>
      </c>
      <c r="L235" s="466">
        <v>0</v>
      </c>
    </row>
    <row r="236" spans="1:12" x14ac:dyDescent="0.2">
      <c r="A236" s="1525" t="s">
        <v>209</v>
      </c>
      <c r="B236" s="615">
        <v>2150</v>
      </c>
      <c r="C236" s="617"/>
      <c r="D236" s="466">
        <v>1466</v>
      </c>
      <c r="E236" s="617"/>
      <c r="F236" s="617"/>
      <c r="G236" s="617"/>
      <c r="H236" s="617"/>
      <c r="I236" s="617"/>
      <c r="J236" s="617"/>
      <c r="K236" s="1691">
        <f t="shared" si="20"/>
        <v>1466</v>
      </c>
      <c r="L236" s="466">
        <v>1500</v>
      </c>
    </row>
    <row r="237" spans="1:12" x14ac:dyDescent="0.2">
      <c r="A237" s="1525" t="s">
        <v>167</v>
      </c>
      <c r="B237" s="615">
        <v>2190</v>
      </c>
      <c r="C237" s="617"/>
      <c r="D237" s="466">
        <v>15645</v>
      </c>
      <c r="E237" s="617"/>
      <c r="F237" s="617"/>
      <c r="G237" s="617"/>
      <c r="H237" s="617"/>
      <c r="I237" s="617"/>
      <c r="J237" s="617"/>
      <c r="K237" s="1691">
        <f t="shared" si="20"/>
        <v>15645</v>
      </c>
      <c r="L237" s="466">
        <v>16500</v>
      </c>
    </row>
    <row r="238" spans="1:12" ht="12.75" customHeight="1" thickBot="1" x14ac:dyDescent="0.25">
      <c r="A238" s="1688" t="s">
        <v>581</v>
      </c>
      <c r="B238" s="1695" t="s">
        <v>740</v>
      </c>
      <c r="C238" s="617"/>
      <c r="D238" s="1690">
        <f>SUM(D232:D237)</f>
        <v>39701</v>
      </c>
      <c r="E238" s="617"/>
      <c r="F238" s="617"/>
      <c r="G238" s="617"/>
      <c r="H238" s="617"/>
      <c r="I238" s="617"/>
      <c r="J238" s="617"/>
      <c r="K238" s="1690">
        <f>SUM(K232:K237)</f>
        <v>39701</v>
      </c>
      <c r="L238" s="1690">
        <f>SUM(L232:L237)</f>
        <v>42400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183</v>
      </c>
      <c r="E240" s="617"/>
      <c r="F240" s="617"/>
      <c r="G240" s="617"/>
      <c r="H240" s="617"/>
      <c r="I240" s="617"/>
      <c r="J240" s="617"/>
      <c r="K240" s="1692">
        <f>D240</f>
        <v>183</v>
      </c>
      <c r="L240" s="481">
        <v>0</v>
      </c>
    </row>
    <row r="241" spans="1:12" x14ac:dyDescent="0.2">
      <c r="A241" s="1525" t="s">
        <v>869</v>
      </c>
      <c r="B241" s="615">
        <v>2220</v>
      </c>
      <c r="C241" s="617"/>
      <c r="D241" s="466">
        <v>1666</v>
      </c>
      <c r="E241" s="617"/>
      <c r="F241" s="617"/>
      <c r="G241" s="617"/>
      <c r="H241" s="617"/>
      <c r="I241" s="617"/>
      <c r="J241" s="617"/>
      <c r="K241" s="1692">
        <f>D241</f>
        <v>1666</v>
      </c>
      <c r="L241" s="466">
        <v>1600</v>
      </c>
    </row>
    <row r="242" spans="1:12" x14ac:dyDescent="0.2">
      <c r="A242" s="1525"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1849</v>
      </c>
      <c r="E243" s="617"/>
      <c r="F243" s="617"/>
      <c r="G243" s="617"/>
      <c r="H243" s="617"/>
      <c r="I243" s="617"/>
      <c r="J243" s="617"/>
      <c r="K243" s="1690">
        <f>SUM(K240:K242)</f>
        <v>1849</v>
      </c>
      <c r="L243" s="1690">
        <f>SUM(L240:L242)</f>
        <v>1600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152563</v>
      </c>
      <c r="E245" s="617"/>
      <c r="F245" s="617"/>
      <c r="G245" s="617"/>
      <c r="H245" s="617"/>
      <c r="I245" s="617"/>
      <c r="J245" s="617"/>
      <c r="K245" s="1692">
        <f>D245</f>
        <v>152563</v>
      </c>
      <c r="L245" s="481">
        <v>152800</v>
      </c>
    </row>
    <row r="246" spans="1:12" x14ac:dyDescent="0.2">
      <c r="A246" s="1525" t="s">
        <v>872</v>
      </c>
      <c r="B246" s="615">
        <v>2320</v>
      </c>
      <c r="C246" s="617"/>
      <c r="D246" s="466">
        <v>1455</v>
      </c>
      <c r="E246" s="617"/>
      <c r="F246" s="617"/>
      <c r="G246" s="617"/>
      <c r="H246" s="617"/>
      <c r="I246" s="617"/>
      <c r="J246" s="617"/>
      <c r="K246" s="1692">
        <f t="shared" ref="K246:K256" si="21">D246</f>
        <v>1455</v>
      </c>
      <c r="L246" s="466">
        <v>1600</v>
      </c>
    </row>
    <row r="247" spans="1:12" x14ac:dyDescent="0.2">
      <c r="A247" s="1525" t="s">
        <v>873</v>
      </c>
      <c r="B247" s="615">
        <v>2330</v>
      </c>
      <c r="C247" s="617"/>
      <c r="D247" s="466"/>
      <c r="E247" s="617"/>
      <c r="F247" s="617"/>
      <c r="G247" s="617"/>
      <c r="H247" s="617"/>
      <c r="I247" s="617"/>
      <c r="J247" s="617"/>
      <c r="K247" s="1692">
        <f t="shared" si="21"/>
        <v>0</v>
      </c>
      <c r="L247" s="466">
        <v>0</v>
      </c>
    </row>
    <row r="248" spans="1:12" x14ac:dyDescent="0.2">
      <c r="A248" s="1526" t="s">
        <v>317</v>
      </c>
      <c r="B248" s="603" t="s">
        <v>299</v>
      </c>
      <c r="C248" s="617"/>
      <c r="D248" s="474"/>
      <c r="E248" s="617"/>
      <c r="F248" s="617"/>
      <c r="G248" s="617"/>
      <c r="H248" s="617"/>
      <c r="I248" s="617"/>
      <c r="J248" s="617"/>
      <c r="K248" s="1692">
        <f t="shared" si="21"/>
        <v>0</v>
      </c>
      <c r="L248" s="466">
        <v>0</v>
      </c>
    </row>
    <row r="249" spans="1:12" x14ac:dyDescent="0.2">
      <c r="A249" s="1527" t="s">
        <v>1904</v>
      </c>
      <c r="B249" s="684" t="s">
        <v>300</v>
      </c>
      <c r="C249" s="617"/>
      <c r="D249" s="474"/>
      <c r="E249" s="617"/>
      <c r="F249" s="617"/>
      <c r="G249" s="617"/>
      <c r="H249" s="617"/>
      <c r="I249" s="617"/>
      <c r="J249" s="617"/>
      <c r="K249" s="1692">
        <f t="shared" si="21"/>
        <v>0</v>
      </c>
      <c r="L249" s="466">
        <v>0</v>
      </c>
    </row>
    <row r="250" spans="1:12" x14ac:dyDescent="0.2">
      <c r="A250" s="1526" t="s">
        <v>1905</v>
      </c>
      <c r="B250" s="603" t="s">
        <v>301</v>
      </c>
      <c r="C250" s="617"/>
      <c r="D250" s="474"/>
      <c r="E250" s="617"/>
      <c r="F250" s="617"/>
      <c r="G250" s="617"/>
      <c r="H250" s="617"/>
      <c r="I250" s="617"/>
      <c r="J250" s="617"/>
      <c r="K250" s="1692">
        <f t="shared" si="21"/>
        <v>0</v>
      </c>
      <c r="L250" s="466">
        <v>0</v>
      </c>
    </row>
    <row r="251" spans="1:12" x14ac:dyDescent="0.2">
      <c r="A251" s="1526" t="s">
        <v>256</v>
      </c>
      <c r="B251" s="603" t="s">
        <v>302</v>
      </c>
      <c r="C251" s="617"/>
      <c r="D251" s="474"/>
      <c r="E251" s="617"/>
      <c r="F251" s="617"/>
      <c r="G251" s="617"/>
      <c r="H251" s="617"/>
      <c r="I251" s="617"/>
      <c r="J251" s="617"/>
      <c r="K251" s="1692">
        <f t="shared" si="21"/>
        <v>0</v>
      </c>
      <c r="L251" s="466">
        <v>0</v>
      </c>
    </row>
    <row r="252" spans="1:12" x14ac:dyDescent="0.2">
      <c r="A252" s="1526" t="s">
        <v>726</v>
      </c>
      <c r="B252" s="603" t="s">
        <v>303</v>
      </c>
      <c r="C252" s="617"/>
      <c r="D252" s="474"/>
      <c r="E252" s="617"/>
      <c r="F252" s="617"/>
      <c r="G252" s="617"/>
      <c r="H252" s="617"/>
      <c r="I252" s="617"/>
      <c r="J252" s="617"/>
      <c r="K252" s="1692">
        <f t="shared" si="21"/>
        <v>0</v>
      </c>
      <c r="L252" s="466">
        <v>0</v>
      </c>
    </row>
    <row r="253" spans="1:12" x14ac:dyDescent="0.2">
      <c r="A253" s="1526" t="s">
        <v>257</v>
      </c>
      <c r="B253" s="603" t="s">
        <v>304</v>
      </c>
      <c r="C253" s="617"/>
      <c r="D253" s="474"/>
      <c r="E253" s="617"/>
      <c r="F253" s="617"/>
      <c r="G253" s="617"/>
      <c r="H253" s="617"/>
      <c r="I253" s="617"/>
      <c r="J253" s="617"/>
      <c r="K253" s="1692">
        <f t="shared" si="21"/>
        <v>0</v>
      </c>
      <c r="L253" s="466">
        <v>0</v>
      </c>
    </row>
    <row r="254" spans="1:12" ht="22.5" x14ac:dyDescent="0.2">
      <c r="A254" s="1526" t="s">
        <v>1087</v>
      </c>
      <c r="B254" s="684" t="s">
        <v>305</v>
      </c>
      <c r="C254" s="617"/>
      <c r="D254" s="474"/>
      <c r="E254" s="617"/>
      <c r="F254" s="617"/>
      <c r="G254" s="617"/>
      <c r="H254" s="617"/>
      <c r="I254" s="617"/>
      <c r="J254" s="617"/>
      <c r="K254" s="1692">
        <f t="shared" si="21"/>
        <v>0</v>
      </c>
      <c r="L254" s="466">
        <v>0</v>
      </c>
    </row>
    <row r="255" spans="1:12" x14ac:dyDescent="0.2">
      <c r="A255" s="1526" t="s">
        <v>1088</v>
      </c>
      <c r="B255" s="603" t="s">
        <v>306</v>
      </c>
      <c r="C255" s="617"/>
      <c r="D255" s="474"/>
      <c r="E255" s="617"/>
      <c r="F255" s="617"/>
      <c r="G255" s="617"/>
      <c r="H255" s="617"/>
      <c r="I255" s="617"/>
      <c r="J255" s="617"/>
      <c r="K255" s="1692">
        <f t="shared" si="21"/>
        <v>0</v>
      </c>
      <c r="L255" s="466">
        <v>0</v>
      </c>
    </row>
    <row r="256" spans="1:12" x14ac:dyDescent="0.2">
      <c r="A256" s="1526"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154018</v>
      </c>
      <c r="E257" s="617"/>
      <c r="F257" s="617"/>
      <c r="G257" s="617"/>
      <c r="H257" s="617"/>
      <c r="I257" s="617"/>
      <c r="J257" s="617"/>
      <c r="K257" s="1690">
        <f>SUM(K245:K256)</f>
        <v>154018</v>
      </c>
      <c r="L257" s="1690">
        <f>SUM(L245:L256)</f>
        <v>154400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105617</v>
      </c>
      <c r="E259" s="617"/>
      <c r="F259" s="617"/>
      <c r="G259" s="617"/>
      <c r="H259" s="617"/>
      <c r="I259" s="617"/>
      <c r="J259" s="617"/>
      <c r="K259" s="1692">
        <f>D259</f>
        <v>105617</v>
      </c>
      <c r="L259" s="481">
        <v>115000</v>
      </c>
    </row>
    <row r="260" spans="1:14" s="598" customFormat="1" x14ac:dyDescent="0.2">
      <c r="A260" s="1543" t="s">
        <v>1903</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105617</v>
      </c>
      <c r="E261" s="617"/>
      <c r="F261" s="617"/>
      <c r="G261" s="617"/>
      <c r="H261" s="617"/>
      <c r="I261" s="617"/>
      <c r="J261" s="617"/>
      <c r="K261" s="1690">
        <f>SUM(K259:K260)</f>
        <v>105617</v>
      </c>
      <c r="L261" s="1690">
        <f>SUM(L259:L260)</f>
        <v>115000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9148</v>
      </c>
      <c r="E263" s="617"/>
      <c r="F263" s="617"/>
      <c r="G263" s="617"/>
      <c r="H263" s="617"/>
      <c r="I263" s="617"/>
      <c r="J263" s="617"/>
      <c r="K263" s="1692">
        <f>D263</f>
        <v>9148</v>
      </c>
      <c r="L263" s="481">
        <v>10000</v>
      </c>
    </row>
    <row r="264" spans="1:14" x14ac:dyDescent="0.2">
      <c r="A264" s="1525" t="s">
        <v>483</v>
      </c>
      <c r="B264" s="686">
        <v>2520</v>
      </c>
      <c r="C264" s="617"/>
      <c r="D264" s="466"/>
      <c r="E264" s="617"/>
      <c r="F264" s="617"/>
      <c r="G264" s="617"/>
      <c r="H264" s="617"/>
      <c r="I264" s="617"/>
      <c r="J264" s="617"/>
      <c r="K264" s="1692">
        <f t="shared" ref="K264:K269" si="22">D264</f>
        <v>0</v>
      </c>
      <c r="L264" s="466">
        <v>0</v>
      </c>
    </row>
    <row r="265" spans="1:14" x14ac:dyDescent="0.2">
      <c r="A265" s="1525" t="s">
        <v>4</v>
      </c>
      <c r="B265" s="615">
        <v>2530</v>
      </c>
      <c r="C265" s="617"/>
      <c r="D265" s="466"/>
      <c r="E265" s="617"/>
      <c r="F265" s="617"/>
      <c r="G265" s="617"/>
      <c r="H265" s="617"/>
      <c r="I265" s="617"/>
      <c r="J265" s="617"/>
      <c r="K265" s="1692">
        <f t="shared" si="22"/>
        <v>0</v>
      </c>
      <c r="L265" s="466">
        <v>0</v>
      </c>
    </row>
    <row r="266" spans="1:14" x14ac:dyDescent="0.2">
      <c r="A266" s="1525" t="s">
        <v>206</v>
      </c>
      <c r="B266" s="615">
        <v>2540</v>
      </c>
      <c r="C266" s="617"/>
      <c r="D266" s="466">
        <v>116351</v>
      </c>
      <c r="E266" s="617"/>
      <c r="F266" s="617"/>
      <c r="G266" s="617"/>
      <c r="H266" s="617"/>
      <c r="I266" s="617"/>
      <c r="J266" s="617"/>
      <c r="K266" s="1692">
        <f t="shared" si="22"/>
        <v>116351</v>
      </c>
      <c r="L266" s="466">
        <v>130000</v>
      </c>
    </row>
    <row r="267" spans="1:14" x14ac:dyDescent="0.2">
      <c r="A267" s="1525" t="s">
        <v>1010</v>
      </c>
      <c r="B267" s="615">
        <v>2550</v>
      </c>
      <c r="C267" s="617"/>
      <c r="D267" s="466">
        <v>6099</v>
      </c>
      <c r="E267" s="617"/>
      <c r="F267" s="617"/>
      <c r="G267" s="617"/>
      <c r="H267" s="617"/>
      <c r="I267" s="617"/>
      <c r="J267" s="617"/>
      <c r="K267" s="1692">
        <f t="shared" si="22"/>
        <v>6099</v>
      </c>
      <c r="L267" s="466">
        <v>6300</v>
      </c>
    </row>
    <row r="268" spans="1:14" x14ac:dyDescent="0.2">
      <c r="A268" s="1525" t="s">
        <v>102</v>
      </c>
      <c r="B268" s="615">
        <v>2560</v>
      </c>
      <c r="C268" s="617"/>
      <c r="D268" s="466">
        <v>77645</v>
      </c>
      <c r="E268" s="617"/>
      <c r="F268" s="617"/>
      <c r="G268" s="617"/>
      <c r="H268" s="617"/>
      <c r="I268" s="617"/>
      <c r="J268" s="617"/>
      <c r="K268" s="1692">
        <f t="shared" si="22"/>
        <v>77645</v>
      </c>
      <c r="L268" s="466">
        <v>85000</v>
      </c>
    </row>
    <row r="269" spans="1:14" x14ac:dyDescent="0.2">
      <c r="A269" s="1525"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209243</v>
      </c>
      <c r="E270" s="617"/>
      <c r="F270" s="617"/>
      <c r="G270" s="617"/>
      <c r="H270" s="617"/>
      <c r="I270" s="617"/>
      <c r="J270" s="617"/>
      <c r="K270" s="1690">
        <f>SUM(K263:K269)</f>
        <v>209243</v>
      </c>
      <c r="L270" s="1690">
        <f>SUM(L263:L269)</f>
        <v>231300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2">
        <f>D272</f>
        <v>0</v>
      </c>
      <c r="L272" s="481">
        <v>0</v>
      </c>
    </row>
    <row r="273" spans="1:12" x14ac:dyDescent="0.2">
      <c r="A273" s="1525" t="s">
        <v>628</v>
      </c>
      <c r="B273" s="629">
        <v>2620</v>
      </c>
      <c r="C273" s="617"/>
      <c r="D273" s="466"/>
      <c r="E273" s="617"/>
      <c r="F273" s="617"/>
      <c r="G273" s="617"/>
      <c r="H273" s="617"/>
      <c r="I273" s="617"/>
      <c r="J273" s="617"/>
      <c r="K273" s="1692">
        <f>D273</f>
        <v>0</v>
      </c>
      <c r="L273" s="466">
        <v>0</v>
      </c>
    </row>
    <row r="274" spans="1:12" ht="12" customHeight="1" x14ac:dyDescent="0.2">
      <c r="A274" s="1525" t="s">
        <v>1121</v>
      </c>
      <c r="B274" s="615">
        <v>2630</v>
      </c>
      <c r="C274" s="617"/>
      <c r="D274" s="466"/>
      <c r="E274" s="617"/>
      <c r="F274" s="617"/>
      <c r="G274" s="617"/>
      <c r="H274" s="617"/>
      <c r="I274" s="617"/>
      <c r="J274" s="617"/>
      <c r="K274" s="1692">
        <f>D274</f>
        <v>0</v>
      </c>
      <c r="L274" s="466">
        <v>0</v>
      </c>
    </row>
    <row r="275" spans="1:12" x14ac:dyDescent="0.2">
      <c r="A275" s="1525" t="s">
        <v>423</v>
      </c>
      <c r="B275" s="615">
        <v>2640</v>
      </c>
      <c r="C275" s="617"/>
      <c r="D275" s="466"/>
      <c r="E275" s="617"/>
      <c r="F275" s="617"/>
      <c r="G275" s="617"/>
      <c r="H275" s="617"/>
      <c r="I275" s="617"/>
      <c r="J275" s="617"/>
      <c r="K275" s="1692">
        <f>D275</f>
        <v>0</v>
      </c>
      <c r="L275" s="466">
        <v>0</v>
      </c>
    </row>
    <row r="276" spans="1:12" x14ac:dyDescent="0.2">
      <c r="A276" s="1525" t="s">
        <v>424</v>
      </c>
      <c r="B276" s="615">
        <v>2660</v>
      </c>
      <c r="C276" s="617"/>
      <c r="D276" s="466">
        <v>12982</v>
      </c>
      <c r="E276" s="617"/>
      <c r="F276" s="617"/>
      <c r="G276" s="617"/>
      <c r="H276" s="617"/>
      <c r="I276" s="617"/>
      <c r="J276" s="617"/>
      <c r="K276" s="1692">
        <f>D276</f>
        <v>12982</v>
      </c>
      <c r="L276" s="466">
        <v>15000</v>
      </c>
    </row>
    <row r="277" spans="1:12" ht="12.75" customHeight="1" thickBot="1" x14ac:dyDescent="0.25">
      <c r="A277" s="1711" t="s">
        <v>37</v>
      </c>
      <c r="B277" s="1689" t="s">
        <v>36</v>
      </c>
      <c r="C277" s="617"/>
      <c r="D277" s="1690">
        <f>SUM(D272:D276)</f>
        <v>12982</v>
      </c>
      <c r="E277" s="617"/>
      <c r="F277" s="617"/>
      <c r="G277" s="617"/>
      <c r="H277" s="617"/>
      <c r="I277" s="617"/>
      <c r="J277" s="617"/>
      <c r="K277" s="1690">
        <f>SUM(K272:K276)</f>
        <v>12982</v>
      </c>
      <c r="L277" s="1690">
        <f>SUM(L272:L276)</f>
        <v>15000</v>
      </c>
    </row>
    <row r="278" spans="1:12" ht="13.5" customHeight="1" thickTop="1" x14ac:dyDescent="0.2">
      <c r="A278" s="1531"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523410</v>
      </c>
      <c r="E279" s="617"/>
      <c r="F279" s="617"/>
      <c r="G279" s="617"/>
      <c r="H279" s="617"/>
      <c r="I279" s="617"/>
      <c r="J279" s="617"/>
      <c r="K279" s="1697">
        <f>SUM(K238,K243,K257,K261,K270,K277,K278)</f>
        <v>523410</v>
      </c>
      <c r="L279" s="1697">
        <f>SUM(L238,L243,L257,L261,L270,L277,L278)</f>
        <v>559700</v>
      </c>
    </row>
    <row r="280" spans="1:12" ht="15.75" customHeight="1" thickTop="1" thickBot="1" x14ac:dyDescent="0.25">
      <c r="A280" s="1645" t="s">
        <v>930</v>
      </c>
      <c r="B280" s="1634">
        <v>3000</v>
      </c>
      <c r="C280" s="617"/>
      <c r="D280" s="576">
        <v>2034</v>
      </c>
      <c r="E280" s="617"/>
      <c r="F280" s="617"/>
      <c r="G280" s="617"/>
      <c r="H280" s="617"/>
      <c r="I280" s="617"/>
      <c r="J280" s="617"/>
      <c r="K280" s="1699">
        <f>D280</f>
        <v>2034</v>
      </c>
      <c r="L280" s="576">
        <v>50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1" t="s">
        <v>517</v>
      </c>
      <c r="B282" s="691" t="s">
        <v>1952</v>
      </c>
      <c r="C282" s="617"/>
      <c r="D282" s="467"/>
      <c r="E282" s="617"/>
      <c r="F282" s="617"/>
      <c r="G282" s="617"/>
      <c r="H282" s="617"/>
      <c r="I282" s="617"/>
      <c r="J282" s="617"/>
      <c r="K282" s="1691">
        <f>D282</f>
        <v>0</v>
      </c>
      <c r="L282" s="467">
        <v>0</v>
      </c>
    </row>
    <row r="283" spans="1:12" x14ac:dyDescent="0.2">
      <c r="A283" s="1525" t="s">
        <v>322</v>
      </c>
      <c r="B283" s="615">
        <v>4120</v>
      </c>
      <c r="C283" s="617"/>
      <c r="D283" s="466"/>
      <c r="E283" s="617"/>
      <c r="F283" s="617"/>
      <c r="G283" s="617"/>
      <c r="H283" s="617"/>
      <c r="I283" s="617"/>
      <c r="J283" s="617"/>
      <c r="K283" s="1691">
        <f>D283</f>
        <v>0</v>
      </c>
      <c r="L283" s="466">
        <v>0</v>
      </c>
    </row>
    <row r="284" spans="1:12" x14ac:dyDescent="0.2">
      <c r="A284" s="1525"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1">
        <f>H288</f>
        <v>0</v>
      </c>
      <c r="L288" s="466">
        <v>0</v>
      </c>
    </row>
    <row r="289" spans="1:14" x14ac:dyDescent="0.2">
      <c r="A289" s="1525" t="s">
        <v>90</v>
      </c>
      <c r="B289" s="615">
        <v>5120</v>
      </c>
      <c r="C289" s="617"/>
      <c r="D289" s="617"/>
      <c r="E289" s="617"/>
      <c r="F289" s="617"/>
      <c r="G289" s="617"/>
      <c r="H289" s="466"/>
      <c r="I289" s="617"/>
      <c r="J289" s="617"/>
      <c r="K289" s="1691">
        <f>H289</f>
        <v>0</v>
      </c>
      <c r="L289" s="466">
        <v>0</v>
      </c>
    </row>
    <row r="290" spans="1:14" ht="12.75" customHeight="1" x14ac:dyDescent="0.2">
      <c r="A290" s="1525" t="s">
        <v>1232</v>
      </c>
      <c r="B290" s="629" t="s">
        <v>638</v>
      </c>
      <c r="C290" s="617"/>
      <c r="D290" s="617"/>
      <c r="E290" s="617"/>
      <c r="F290" s="617"/>
      <c r="G290" s="617"/>
      <c r="H290" s="466"/>
      <c r="I290" s="617"/>
      <c r="J290" s="617"/>
      <c r="K290" s="1691">
        <f>H290</f>
        <v>0</v>
      </c>
      <c r="L290" s="466">
        <v>0</v>
      </c>
    </row>
    <row r="291" spans="1:14" x14ac:dyDescent="0.2">
      <c r="A291" s="1525" t="s">
        <v>91</v>
      </c>
      <c r="B291" s="615" t="s">
        <v>610</v>
      </c>
      <c r="C291" s="617"/>
      <c r="D291" s="617"/>
      <c r="E291" s="617"/>
      <c r="F291" s="617"/>
      <c r="G291" s="617"/>
      <c r="H291" s="466"/>
      <c r="I291" s="617"/>
      <c r="J291" s="617"/>
      <c r="K291" s="1691">
        <f>H291</f>
        <v>0</v>
      </c>
      <c r="L291" s="466">
        <v>0</v>
      </c>
    </row>
    <row r="292" spans="1:14" x14ac:dyDescent="0.2">
      <c r="A292" s="1525"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23" t="s">
        <v>526</v>
      </c>
      <c r="B295" s="2224"/>
      <c r="C295" s="617"/>
      <c r="D295" s="1690">
        <f>SUM(D229,D279,D280,D285)</f>
        <v>782382</v>
      </c>
      <c r="E295" s="617"/>
      <c r="F295" s="617"/>
      <c r="G295" s="617"/>
      <c r="H295" s="1690">
        <f>H293</f>
        <v>0</v>
      </c>
      <c r="I295" s="617"/>
      <c r="J295" s="617"/>
      <c r="K295" s="1690">
        <f>SUM(K229,K279,K280,K285,K293,K294)</f>
        <v>782382</v>
      </c>
      <c r="L295" s="1690">
        <f>SUM(L229,L279,L280,L285,L293,L294)</f>
        <v>825250</v>
      </c>
    </row>
    <row r="296" spans="1:14" ht="13.5" thickTop="1" x14ac:dyDescent="0.2">
      <c r="A296" s="2232" t="s">
        <v>1053</v>
      </c>
      <c r="B296" s="2233"/>
      <c r="C296" s="617"/>
      <c r="D296" s="619"/>
      <c r="E296" s="617"/>
      <c r="F296" s="617"/>
      <c r="G296" s="617"/>
      <c r="H296" s="688"/>
      <c r="I296" s="617"/>
      <c r="J296" s="617"/>
      <c r="K296" s="1704">
        <f>'Revenues 9-14'!G275-'Expenditures 15-22'!K295</f>
        <v>-110379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5" t="s">
        <v>145</v>
      </c>
      <c r="B298" s="220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3361417</v>
      </c>
      <c r="H301" s="466"/>
      <c r="I301" s="467"/>
      <c r="J301" s="467"/>
      <c r="K301" s="1691">
        <f>SUM(C301:J301)</f>
        <v>3361417</v>
      </c>
      <c r="L301" s="467">
        <v>5500000</v>
      </c>
    </row>
    <row r="302" spans="1:14" ht="13.5" customHeight="1" x14ac:dyDescent="0.2">
      <c r="A302" s="1538"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3361417</v>
      </c>
      <c r="H303" s="1697">
        <f t="shared" si="23"/>
        <v>0</v>
      </c>
      <c r="I303" s="1697">
        <f t="shared" si="23"/>
        <v>0</v>
      </c>
      <c r="J303" s="1697">
        <f t="shared" si="23"/>
        <v>0</v>
      </c>
      <c r="K303" s="1697">
        <f t="shared" si="23"/>
        <v>3361417</v>
      </c>
      <c r="L303" s="1697">
        <f t="shared" si="23"/>
        <v>5500000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1957</v>
      </c>
      <c r="B306" s="691" t="s">
        <v>1952</v>
      </c>
      <c r="C306" s="617"/>
      <c r="D306" s="617"/>
      <c r="E306" s="467"/>
      <c r="F306" s="617"/>
      <c r="G306" s="617"/>
      <c r="H306" s="467"/>
      <c r="I306" s="617"/>
      <c r="J306" s="617"/>
      <c r="K306" s="1691">
        <f>SUM(E306,H306)</f>
        <v>0</v>
      </c>
      <c r="L306" s="467">
        <v>0</v>
      </c>
    </row>
    <row r="307" spans="1:14" x14ac:dyDescent="0.2">
      <c r="A307" s="1525" t="s">
        <v>322</v>
      </c>
      <c r="B307" s="615">
        <v>4120</v>
      </c>
      <c r="C307" s="617"/>
      <c r="D307" s="617"/>
      <c r="E307" s="467"/>
      <c r="F307" s="617"/>
      <c r="G307" s="617"/>
      <c r="H307" s="467"/>
      <c r="I307" s="477"/>
      <c r="J307" s="617"/>
      <c r="K307" s="1691">
        <f>SUM(E307,H307)</f>
        <v>0</v>
      </c>
      <c r="L307" s="466">
        <v>0</v>
      </c>
    </row>
    <row r="308" spans="1:14" x14ac:dyDescent="0.2">
      <c r="A308" s="1525" t="s">
        <v>721</v>
      </c>
      <c r="B308" s="615">
        <v>4140</v>
      </c>
      <c r="C308" s="617"/>
      <c r="D308" s="617"/>
      <c r="E308" s="467"/>
      <c r="F308" s="617"/>
      <c r="G308" s="617"/>
      <c r="H308" s="467"/>
      <c r="I308" s="477"/>
      <c r="J308" s="617"/>
      <c r="K308" s="1691">
        <f>SUM(E308,H308)</f>
        <v>0</v>
      </c>
      <c r="L308" s="466">
        <v>0</v>
      </c>
    </row>
    <row r="309" spans="1:14" ht="12.75" customHeight="1" x14ac:dyDescent="0.2">
      <c r="A309" s="1529"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20" t="s">
        <v>295</v>
      </c>
      <c r="B312" s="2221"/>
      <c r="C312" s="1690">
        <f>SUM(C303)</f>
        <v>0</v>
      </c>
      <c r="D312" s="1690">
        <f>SUM(D303)</f>
        <v>0</v>
      </c>
      <c r="E312" s="1690">
        <f>SUM(E303,E310)</f>
        <v>0</v>
      </c>
      <c r="F312" s="1690">
        <f>SUM(F303)</f>
        <v>0</v>
      </c>
      <c r="G312" s="1690">
        <f>SUM(G303)</f>
        <v>3361417</v>
      </c>
      <c r="H312" s="1690">
        <f>SUM(H303,H310)</f>
        <v>0</v>
      </c>
      <c r="I312" s="1690">
        <f>SUM(I303)</f>
        <v>0</v>
      </c>
      <c r="J312" s="1690">
        <f>SUM(J303)</f>
        <v>0</v>
      </c>
      <c r="K312" s="1690">
        <f>SUM(K303,K310,K311)</f>
        <v>3361417</v>
      </c>
      <c r="L312" s="1690">
        <f>SUM(L303,L310,L311)</f>
        <v>5500000</v>
      </c>
      <c r="M312" s="666"/>
      <c r="N312" s="666"/>
    </row>
    <row r="313" spans="1:14" ht="13.5" thickTop="1" x14ac:dyDescent="0.2">
      <c r="A313" s="2216" t="s">
        <v>1053</v>
      </c>
      <c r="B313" s="2217"/>
      <c r="C313" s="627"/>
      <c r="D313" s="627"/>
      <c r="E313" s="627"/>
      <c r="F313" s="627"/>
      <c r="G313" s="627"/>
      <c r="H313" s="627"/>
      <c r="I313" s="627"/>
      <c r="J313" s="627"/>
      <c r="K313" s="1705">
        <f>'Revenues 9-14'!H275-'Expenditures 15-22'!K312</f>
        <v>-2264206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9" t="s">
        <v>151</v>
      </c>
      <c r="B315" s="223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1" t="s">
        <v>954</v>
      </c>
      <c r="B317" s="223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4" t="s">
        <v>1904</v>
      </c>
      <c r="B320" s="699" t="s">
        <v>300</v>
      </c>
      <c r="C320" s="467"/>
      <c r="D320" s="467"/>
      <c r="E320" s="467">
        <v>194216</v>
      </c>
      <c r="F320" s="467"/>
      <c r="G320" s="467"/>
      <c r="H320" s="467"/>
      <c r="I320" s="467"/>
      <c r="J320" s="467"/>
      <c r="K320" s="1691">
        <f t="shared" ref="K320:K327" si="24">SUM(C320:J320)</f>
        <v>194216</v>
      </c>
      <c r="L320" s="467">
        <v>225000</v>
      </c>
      <c r="M320" s="666"/>
      <c r="N320" s="666"/>
    </row>
    <row r="321" spans="1:14" s="675" customFormat="1" x14ac:dyDescent="0.2">
      <c r="A321" s="1540" t="s">
        <v>318</v>
      </c>
      <c r="B321" s="698" t="s">
        <v>301</v>
      </c>
      <c r="C321" s="467"/>
      <c r="D321" s="467"/>
      <c r="E321" s="467">
        <v>22040</v>
      </c>
      <c r="F321" s="467"/>
      <c r="G321" s="467"/>
      <c r="H321" s="467"/>
      <c r="I321" s="467"/>
      <c r="J321" s="467"/>
      <c r="K321" s="1691">
        <f t="shared" si="24"/>
        <v>22040</v>
      </c>
      <c r="L321" s="467">
        <v>30000</v>
      </c>
      <c r="M321" s="666"/>
      <c r="N321" s="666"/>
    </row>
    <row r="322" spans="1:14" s="675" customFormat="1" x14ac:dyDescent="0.2">
      <c r="A322" s="1540" t="s">
        <v>256</v>
      </c>
      <c r="B322" s="698" t="s">
        <v>302</v>
      </c>
      <c r="C322" s="467"/>
      <c r="D322" s="467"/>
      <c r="E322" s="467">
        <v>161898</v>
      </c>
      <c r="F322" s="467"/>
      <c r="G322" s="467"/>
      <c r="H322" s="467"/>
      <c r="I322" s="467"/>
      <c r="J322" s="467"/>
      <c r="K322" s="1691">
        <f t="shared" si="24"/>
        <v>161898</v>
      </c>
      <c r="L322" s="467">
        <v>160000</v>
      </c>
      <c r="M322" s="666"/>
      <c r="N322" s="666"/>
    </row>
    <row r="323" spans="1:14" s="675" customFormat="1" x14ac:dyDescent="0.2">
      <c r="A323" s="1540" t="s">
        <v>726</v>
      </c>
      <c r="B323" s="698" t="s">
        <v>303</v>
      </c>
      <c r="C323" s="467"/>
      <c r="D323" s="467"/>
      <c r="E323" s="467"/>
      <c r="F323" s="467"/>
      <c r="G323" s="467"/>
      <c r="H323" s="467"/>
      <c r="I323" s="467"/>
      <c r="J323" s="467"/>
      <c r="K323" s="1691">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0" t="s">
        <v>1028</v>
      </c>
      <c r="B327" s="698" t="s">
        <v>307</v>
      </c>
      <c r="C327" s="467"/>
      <c r="D327" s="467"/>
      <c r="E327" s="467">
        <v>26711</v>
      </c>
      <c r="F327" s="467"/>
      <c r="G327" s="467"/>
      <c r="H327" s="467"/>
      <c r="I327" s="467"/>
      <c r="J327" s="467"/>
      <c r="K327" s="1691">
        <f t="shared" si="24"/>
        <v>26711</v>
      </c>
      <c r="L327" s="467">
        <v>50000</v>
      </c>
      <c r="M327" s="666"/>
      <c r="N327" s="666"/>
    </row>
    <row r="328" spans="1:14" s="675" customFormat="1" x14ac:dyDescent="0.2">
      <c r="A328" s="1541"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404865</v>
      </c>
      <c r="F330" s="1690">
        <f t="shared" si="25"/>
        <v>0</v>
      </c>
      <c r="G330" s="1690">
        <f t="shared" si="25"/>
        <v>0</v>
      </c>
      <c r="H330" s="1690">
        <f t="shared" si="25"/>
        <v>0</v>
      </c>
      <c r="I330" s="1690">
        <f t="shared" si="25"/>
        <v>0</v>
      </c>
      <c r="J330" s="1690">
        <f t="shared" si="25"/>
        <v>0</v>
      </c>
      <c r="K330" s="1690">
        <f>SUM(K319:K329)</f>
        <v>404865</v>
      </c>
      <c r="L330" s="1690">
        <f>SUM(L319:L329)</f>
        <v>465000</v>
      </c>
      <c r="M330" s="666"/>
      <c r="N330" s="666"/>
    </row>
    <row r="331" spans="1:14" s="675" customFormat="1" ht="12.75" customHeight="1" thickTop="1" x14ac:dyDescent="0.2">
      <c r="A331" s="1852" t="s">
        <v>1958</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1952</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1954</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1959</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1">
        <f>H337</f>
        <v>0</v>
      </c>
      <c r="L337" s="478">
        <v>0</v>
      </c>
    </row>
    <row r="338" spans="1:14" ht="12.75" customHeight="1" x14ac:dyDescent="0.2">
      <c r="A338" s="1539" t="s">
        <v>1232</v>
      </c>
      <c r="B338" s="691" t="s">
        <v>638</v>
      </c>
      <c r="C338" s="639"/>
      <c r="D338" s="639"/>
      <c r="E338" s="639"/>
      <c r="F338" s="639"/>
      <c r="G338" s="639"/>
      <c r="H338" s="478"/>
      <c r="I338" s="639"/>
      <c r="J338" s="639"/>
      <c r="K338" s="1691">
        <f>H338</f>
        <v>0</v>
      </c>
      <c r="L338" s="478">
        <v>0</v>
      </c>
    </row>
    <row r="339" spans="1:14" x14ac:dyDescent="0.2">
      <c r="A339" s="1525"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25000</v>
      </c>
    </row>
    <row r="342" spans="1:14" ht="12.75" customHeight="1" thickTop="1" thickBot="1" x14ac:dyDescent="0.25">
      <c r="A342" s="1706" t="s">
        <v>526</v>
      </c>
      <c r="B342" s="1721"/>
      <c r="C342" s="1690">
        <f>SUM(C330)</f>
        <v>0</v>
      </c>
      <c r="D342" s="1690">
        <f>SUM(D330)</f>
        <v>0</v>
      </c>
      <c r="E342" s="1690">
        <f>SUM(E330)</f>
        <v>404865</v>
      </c>
      <c r="F342" s="1690">
        <f>SUM(F330)</f>
        <v>0</v>
      </c>
      <c r="G342" s="1690">
        <f>SUM(G330)</f>
        <v>0</v>
      </c>
      <c r="H342" s="1690">
        <f>SUM(H330,H334,H340)</f>
        <v>0</v>
      </c>
      <c r="I342" s="1690">
        <f>SUM(I330)</f>
        <v>0</v>
      </c>
      <c r="J342" s="1690">
        <f>SUM(J330)</f>
        <v>0</v>
      </c>
      <c r="K342" s="1690">
        <f>SUM(K330,K334,K340)</f>
        <v>404865</v>
      </c>
      <c r="L342" s="1697">
        <f>SUM(L330,L340,L341)</f>
        <v>490000</v>
      </c>
    </row>
    <row r="343" spans="1:14" ht="12.75" customHeight="1" thickTop="1" x14ac:dyDescent="0.2">
      <c r="A343" s="2218" t="s">
        <v>1053</v>
      </c>
      <c r="B343" s="2219"/>
      <c r="C343" s="617"/>
      <c r="D343" s="617"/>
      <c r="E343" s="617"/>
      <c r="F343" s="617"/>
      <c r="G343" s="617"/>
      <c r="H343" s="617"/>
      <c r="I343" s="617"/>
      <c r="J343" s="617"/>
      <c r="K343" s="1704">
        <f>'Revenues 9-14'!J275-'Expenditures 15-22'!K342</f>
        <v>88129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8" t="s">
        <v>1023</v>
      </c>
      <c r="B345" s="220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84508</v>
      </c>
      <c r="H348" s="466"/>
      <c r="I348" s="467"/>
      <c r="J348" s="467"/>
      <c r="K348" s="1691">
        <f>SUM(C348:J348)</f>
        <v>84508</v>
      </c>
      <c r="L348" s="466">
        <v>200000</v>
      </c>
    </row>
    <row r="349" spans="1:14" x14ac:dyDescent="0.2">
      <c r="A349" s="1525"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84508</v>
      </c>
      <c r="H350" s="1690">
        <f t="shared" si="26"/>
        <v>0</v>
      </c>
      <c r="I350" s="1690">
        <f t="shared" si="26"/>
        <v>0</v>
      </c>
      <c r="J350" s="1690">
        <f t="shared" si="26"/>
        <v>0</v>
      </c>
      <c r="K350" s="1690">
        <f t="shared" si="26"/>
        <v>84508</v>
      </c>
      <c r="L350" s="1690">
        <f t="shared" si="26"/>
        <v>200000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84508</v>
      </c>
      <c r="H352" s="1690">
        <f t="shared" si="27"/>
        <v>0</v>
      </c>
      <c r="I352" s="1690">
        <f t="shared" si="27"/>
        <v>0</v>
      </c>
      <c r="J352" s="1690">
        <f t="shared" si="27"/>
        <v>0</v>
      </c>
      <c r="K352" s="1690">
        <f t="shared" si="27"/>
        <v>84508</v>
      </c>
      <c r="L352" s="1690">
        <f t="shared" si="27"/>
        <v>200000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5" t="s">
        <v>1960</v>
      </c>
      <c r="B354" s="684" t="s">
        <v>1952</v>
      </c>
      <c r="C354" s="617"/>
      <c r="D354" s="617"/>
      <c r="E354" s="617"/>
      <c r="F354" s="617"/>
      <c r="G354" s="617"/>
      <c r="H354" s="474"/>
      <c r="I354" s="702"/>
      <c r="J354" s="617"/>
      <c r="K354" s="1719">
        <f>H354</f>
        <v>0</v>
      </c>
      <c r="L354" s="471">
        <v>0</v>
      </c>
    </row>
    <row r="355" spans="1:14" ht="12.75" customHeight="1" x14ac:dyDescent="0.2">
      <c r="A355" s="1534" t="s">
        <v>1961</v>
      </c>
      <c r="B355" s="691" t="s">
        <v>1954</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1">
        <f>SUM(C360:J360)</f>
        <v>0</v>
      </c>
      <c r="L360" s="466">
        <v>0</v>
      </c>
    </row>
    <row r="361" spans="1:14" ht="12.75" customHeight="1" x14ac:dyDescent="0.2">
      <c r="A361" s="1526"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2"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84508</v>
      </c>
      <c r="H367" s="1690">
        <f t="shared" si="28"/>
        <v>0</v>
      </c>
      <c r="I367" s="1690">
        <f t="shared" si="28"/>
        <v>0</v>
      </c>
      <c r="J367" s="1690">
        <f t="shared" si="28"/>
        <v>0</v>
      </c>
      <c r="K367" s="1690">
        <f t="shared" si="28"/>
        <v>84508</v>
      </c>
      <c r="L367" s="1690">
        <f t="shared" si="28"/>
        <v>200000</v>
      </c>
    </row>
    <row r="368" spans="1:14" ht="13.5" thickTop="1" x14ac:dyDescent="0.2">
      <c r="A368" s="2232" t="s">
        <v>1053</v>
      </c>
      <c r="B368" s="2233"/>
      <c r="C368" s="655"/>
      <c r="D368" s="655"/>
      <c r="E368" s="627"/>
      <c r="F368" s="627"/>
      <c r="G368" s="627"/>
      <c r="H368" s="627"/>
      <c r="I368" s="627"/>
      <c r="J368" s="624"/>
      <c r="K368" s="1691">
        <f>'Revenues 9-14'!K275-'Expenditures 15-22'!K367</f>
        <v>-1995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to the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terms/"/>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22</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(5)</vt:lpstr>
      <vt:lpstr> SEFA (6)</vt:lpstr>
      <vt:lpstr> SEFA (7)</vt:lpstr>
      <vt:lpstr>SF&amp;QC Sec-1</vt:lpstr>
      <vt:lpstr>SF&amp;QC Sec-2</vt:lpstr>
      <vt:lpstr>SF&amp;QC Sec-2 (2)</vt:lpstr>
      <vt:lpstr>SF&amp;QC Sec-2 (3)</vt:lpstr>
      <vt:lpstr>SF&amp;QC Sec-3</vt:lpstr>
      <vt:lpstr>SSPAF</vt:lpstr>
      <vt:lpstr>' SEFA'!Print_Area</vt:lpstr>
      <vt:lpstr>' SEFA (2)'!Print_Area</vt:lpstr>
      <vt:lpstr>' SEFA (3)'!Print_Area</vt:lpstr>
      <vt:lpstr>' SEFA (5)'!Print_Area</vt:lpstr>
      <vt:lpstr>' SEFA (6)'!Print_Area</vt:lpstr>
      <vt:lpstr>' SEFA (7)'!Print_Area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2018-10-06T12:14:52Z</cp:lastPrinted>
  <dcterms:created xsi:type="dcterms:W3CDTF">2003-10-29T19:06:34Z</dcterms:created>
  <dcterms:modified xsi:type="dcterms:W3CDTF">2018-12-12T22:02:04Z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